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'всього'!$B$1:$AW$45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<sst xmlns="http://schemas.openxmlformats.org/spreadsheetml/2006/main" count="1161" uniqueCount="126">
  <si>
    <t>%</t>
  </si>
  <si>
    <t>Сальдо</t>
  </si>
  <si>
    <t xml:space="preserve"> Первомайський р-н</t>
  </si>
  <si>
    <t xml:space="preserve"> Сахновщинський р-н</t>
  </si>
  <si>
    <t xml:space="preserve"> м. Лозова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</si>
  <si>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</si>
  <si>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</si>
  <si>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</si>
  <si>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</si>
  <si>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</si>
  <si>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</si>
  <si>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</si>
  <si>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</si>
  <si>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</si>
  <si>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</si>
  <si>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</si>
  <si>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</si>
  <si>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</si>
  <si>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</si>
  <si>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</si>
  <si>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</si>
  <si>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</si>
  <si>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</si>
  <si>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</si>
  <si>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</si>
  <si>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</si>
  <si>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</si>
  <si>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</si>
  <si>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</si>
  <si>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</si>
  <si>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</si>
  <si>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</si>
  <si>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</si>
  <si>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</si>
  <si>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</si>
  <si>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</si>
  <si>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</si>
  <si>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</si>
  <si>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</si>
  <si>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</si>
  <si>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</si>
  <si>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</si>
  <si>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</si>
  <si>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</si>
  <si>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</si>
  <si>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</si>
  <si>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>№</t>
  </si>
  <si>
    <t>п.п.</t>
  </si>
  <si>
    <t xml:space="preserve"> м. Чугуїв </t>
  </si>
  <si>
    <t xml:space="preserve"> Балаклійський 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</si>
  <si>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</si>
  <si>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</si>
  <si>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</si>
  <si>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</si>
  <si>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</si>
  <si>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</si>
  <si>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</si>
  <si>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</si>
  <si>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</si>
  <si>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Лозівський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</si>
  <si>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</si>
  <si>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</si>
  <si>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</si>
  <si>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</si>
  <si>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</si>
  <si>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</si>
  <si>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>м. Харків:</t>
  </si>
  <si>
    <t xml:space="preserve">КП "Харківводоканал"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</si>
  <si>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</si>
  <si>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</si>
  <si>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</si>
  <si>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</si>
  <si>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</si>
  <si>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</si>
  <si>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</si>
  <si>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</si>
  <si>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</si>
  <si>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январь</t>
  </si>
  <si>
    <t>начислено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</si>
  <si>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</si>
  <si>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</si>
  <si>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</si>
  <si>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</si>
  <si>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</si>
  <si>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</si>
  <si>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</si>
  <si>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</si>
  <si>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</si>
  <si>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01.01.2018</t>
  </si>
  <si>
    <t xml:space="preserve">Задолженность за 2018 год по состоянию на 01.03.2018 </t>
  </si>
  <si>
    <t>1 квартал 2018</t>
  </si>
  <si>
    <t>2 квартал 2018</t>
  </si>
  <si>
    <t>3 квартал 2018</t>
  </si>
  <si>
    <t>нараховано</t>
  </si>
  <si>
    <t>тис. грн</t>
  </si>
  <si>
    <t xml:space="preserve"> Близнюківський р-н </t>
  </si>
  <si>
    <t xml:space="preserve"> Великобурлуцький  р-н </t>
  </si>
  <si>
    <t xml:space="preserve"> Дергачівський р-н </t>
  </si>
  <si>
    <t xml:space="preserve"> Коломацький р-н</t>
  </si>
  <si>
    <t xml:space="preserve"> Куп'янський р-н </t>
  </si>
  <si>
    <t xml:space="preserve"> Нововодолазький  р-н </t>
  </si>
  <si>
    <t xml:space="preserve"> Харківський р-н</t>
  </si>
  <si>
    <t>КП "Коменерго"</t>
  </si>
  <si>
    <t>КП "Теплові мережі Роганської селищної ради"</t>
  </si>
  <si>
    <t xml:space="preserve"> м. Куп'янськ </t>
  </si>
  <si>
    <t>Всього</t>
  </si>
  <si>
    <t>Назва  районів, міст</t>
  </si>
  <si>
    <t>По районах та містах области, у т.ч.:</t>
  </si>
  <si>
    <t xml:space="preserve">Директор Департаменту житлово-комунального господарства та розвитку інфраструктури Харківської обласної державної адміністрації 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</si>
  <si>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</si>
  <si>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</si>
  <si>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</si>
  <si>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з початку 2019 року</t>
  </si>
  <si>
    <t>на 01.01.2019</t>
  </si>
  <si>
    <t>лютий</t>
  </si>
  <si>
    <t>Інформація щодо заборгованості споживачів за послуги з водопостачання та водовідведення станом на 01.04.2019</t>
  </si>
  <si>
    <t xml:space="preserve">Заборгованість за 2019 рік станом на 01.04.2019 </t>
  </si>
  <si>
    <t>Загальна заборгованість станом на 01.04.2019 (з урахуванням боргів минулих років)</t>
  </si>
  <si>
    <t>березень</t>
  </si>
  <si>
    <r>
      <t xml:space="preserve">Інформація щодо заборгованості </t>
    </r>
    <r>
      <rPr>
        <b/>
        <u val="single"/>
        <sz val="26"/>
        <rFont val="Times New Roman"/>
        <family val="1"/>
      </rPr>
      <t>населення</t>
    </r>
    <r>
      <rPr>
        <b/>
        <sz val="26"/>
        <rFont val="Times New Roman"/>
        <family val="1"/>
      </rPr>
      <t xml:space="preserve"> за послуги з водопостачання та водовідведення станом на 01.04.2019</t>
    </r>
  </si>
  <si>
    <r>
      <t xml:space="preserve">Відшкодування </t>
    </r>
    <r>
      <rPr>
        <b/>
        <u val="single"/>
        <sz val="26"/>
        <rFont val="Times New Roman"/>
        <family val="1"/>
      </rPr>
      <t>пільг</t>
    </r>
    <r>
      <rPr>
        <b/>
        <sz val="26"/>
        <rFont val="Times New Roman"/>
        <family val="1"/>
      </rPr>
      <t xml:space="preserve"> за надані послуги з водопостачання та водовідведення станом на 01.04.2019</t>
    </r>
  </si>
  <si>
    <r>
      <t xml:space="preserve">Відшкодування </t>
    </r>
    <r>
      <rPr>
        <b/>
        <u val="single"/>
        <sz val="26"/>
        <rFont val="Times New Roman"/>
        <family val="1"/>
      </rPr>
      <t>субсидій</t>
    </r>
    <r>
      <rPr>
        <b/>
        <sz val="26"/>
        <rFont val="Times New Roman"/>
        <family val="1"/>
      </rPr>
      <t xml:space="preserve"> за надані послуги з водопостачання та водовідведення станом на 01.04.2019</t>
    </r>
  </si>
  <si>
    <r>
      <t xml:space="preserve">Інформація щодо заборгованості установ, які фінансуються </t>
    </r>
    <r>
      <rPr>
        <b/>
        <u val="single"/>
        <sz val="26"/>
        <rFont val="Times New Roman"/>
        <family val="1"/>
      </rPr>
      <t>з державного бюджету</t>
    </r>
    <r>
      <rPr>
        <b/>
        <sz val="26"/>
        <rFont val="Times New Roman"/>
        <family val="1"/>
      </rPr>
      <t>, за послуги з водопостачання та водовідведення 
станом на 01.04.2019</t>
    </r>
  </si>
  <si>
    <r>
      <t xml:space="preserve">Інформація щодо заборгованості установ, які фінансуються </t>
    </r>
    <r>
      <rPr>
        <b/>
        <u val="single"/>
        <sz val="26"/>
        <rFont val="Times New Roman"/>
        <family val="1"/>
      </rPr>
      <t>з місцевого бюджету</t>
    </r>
    <r>
      <rPr>
        <b/>
        <sz val="26"/>
        <rFont val="Times New Roman"/>
        <family val="1"/>
      </rPr>
      <t>, за послуги з водопостачання та водовідведення 
станом на 01.04.2019</t>
    </r>
  </si>
  <si>
    <r>
      <t xml:space="preserve">Інформація щодо заборгованості установ, які фінансуються </t>
    </r>
    <r>
      <rPr>
        <b/>
        <u val="single"/>
        <sz val="26"/>
        <rFont val="Times New Roman"/>
        <family val="1"/>
      </rPr>
      <t>з обласного бюджету</t>
    </r>
    <r>
      <rPr>
        <b/>
        <sz val="26"/>
        <rFont val="Times New Roman"/>
        <family val="1"/>
      </rPr>
      <t>, за послуги з водопостачання та водовідведення 
станом на 01.04.2019</t>
    </r>
  </si>
  <si>
    <r>
      <t xml:space="preserve">Інформація щодо заборгованості </t>
    </r>
    <r>
      <rPr>
        <b/>
        <u val="single"/>
        <sz val="26"/>
        <rFont val="Times New Roman"/>
        <family val="1"/>
      </rPr>
      <t>інших споживачів</t>
    </r>
    <r>
      <rPr>
        <b/>
        <sz val="26"/>
        <rFont val="Times New Roman"/>
        <family val="1"/>
      </rPr>
      <t xml:space="preserve"> за послуги водопостачання та водовідведення 
станом на 01.04.2019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</si>
</sst>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2" fontId="17" fillId="0" borderId="10" xfId="0" applyNumberFormat="1" applyFont="1" applyFill="1" applyBorder="1" applyAlignment="1">
      <alignment wrapText="1"/>
    </xf>
    <xf numFmtId="192" fontId="10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0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3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88" fontId="67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5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8" fontId="68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192" fontId="11" fillId="0" borderId="11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 wrapText="1"/>
    </xf>
    <xf numFmtId="192" fontId="15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15" fillId="0" borderId="13" xfId="0" applyNumberFormat="1" applyFont="1" applyFill="1" applyBorder="1" applyAlignment="1">
      <alignment/>
    </xf>
    <xf numFmtId="192" fontId="10" fillId="0" borderId="13" xfId="0" applyNumberFormat="1" applyFont="1" applyFill="1" applyBorder="1" applyAlignment="1">
      <alignment wrapText="1"/>
    </xf>
    <xf numFmtId="192" fontId="15" fillId="0" borderId="14" xfId="0" applyNumberFormat="1" applyFont="1" applyFill="1" applyBorder="1" applyAlignment="1">
      <alignment/>
    </xf>
    <xf numFmtId="192" fontId="10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192" fontId="15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192" fontId="13" fillId="0" borderId="1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 wrapText="1"/>
    </xf>
    <xf numFmtId="0" fontId="18" fillId="0" borderId="15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3" fillId="0" borderId="11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192" fontId="13" fillId="0" borderId="10" xfId="0" applyNumberFormat="1" applyFont="1" applyFill="1" applyBorder="1" applyAlignment="1">
      <alignment/>
    </xf>
    <xf numFmtId="192" fontId="13" fillId="0" borderId="13" xfId="0" applyNumberFormat="1" applyFont="1" applyFill="1" applyBorder="1" applyAlignment="1">
      <alignment/>
    </xf>
    <xf numFmtId="192" fontId="13" fillId="0" borderId="14" xfId="0" applyNumberFormat="1" applyFont="1" applyFill="1" applyBorder="1" applyAlignment="1">
      <alignment/>
    </xf>
    <xf numFmtId="192" fontId="13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1" fillId="0" borderId="0" xfId="0" applyNumberFormat="1" applyFont="1" applyFill="1" applyBorder="1" applyAlignment="1">
      <alignment horizontal="center" vertical="center" wrapText="1"/>
    </xf>
    <xf numFmtId="192" fontId="11" fillId="0" borderId="13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/>
    </xf>
    <xf numFmtId="192" fontId="11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 wrapText="1"/>
    </xf>
    <xf numFmtId="192" fontId="72" fillId="0" borderId="14" xfId="0" applyNumberFormat="1" applyFont="1" applyFill="1" applyBorder="1" applyAlignment="1">
      <alignment wrapText="1"/>
    </xf>
    <xf numFmtId="192" fontId="73" fillId="0" borderId="10" xfId="0" applyNumberFormat="1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192" fontId="74" fillId="0" borderId="10" xfId="0" applyNumberFormat="1" applyFont="1" applyFill="1" applyBorder="1" applyAlignment="1">
      <alignment wrapText="1"/>
    </xf>
    <xf numFmtId="19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11" fillId="0" borderId="0" xfId="0" applyNumberFormat="1" applyFont="1" applyFill="1" applyAlignment="1">
      <alignment/>
    </xf>
    <xf numFmtId="192" fontId="68" fillId="0" borderId="14" xfId="0" applyNumberFormat="1" applyFont="1" applyFill="1" applyBorder="1" applyAlignment="1">
      <alignment wrapText="1"/>
    </xf>
    <xf numFmtId="0" fontId="7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center"/>
    </xf>
    <xf numFmtId="192" fontId="69" fillId="0" borderId="0" xfId="0" applyNumberFormat="1" applyFont="1" applyFill="1" applyBorder="1" applyAlignment="1">
      <alignment wrapText="1"/>
    </xf>
    <xf numFmtId="0" fontId="69" fillId="0" borderId="0" xfId="0" applyFont="1" applyFill="1" applyAlignment="1">
      <alignment wrapText="1"/>
    </xf>
    <xf numFmtId="192" fontId="3" fillId="0" borderId="10" xfId="0" applyNumberFormat="1" applyFont="1" applyFill="1" applyBorder="1" applyAlignment="1">
      <alignment/>
    </xf>
    <xf numFmtId="192" fontId="10" fillId="0" borderId="11" xfId="0" applyNumberFormat="1" applyFont="1" applyFill="1" applyBorder="1" applyAlignment="1">
      <alignment/>
    </xf>
    <xf numFmtId="192" fontId="67" fillId="0" borderId="11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74" fillId="0" borderId="0" xfId="0" applyNumberFormat="1" applyFont="1" applyFill="1" applyBorder="1" applyAlignment="1">
      <alignment/>
    </xf>
    <xf numFmtId="192" fontId="74" fillId="0" borderId="0" xfId="0" applyNumberFormat="1" applyFont="1" applyFill="1" applyBorder="1" applyAlignment="1">
      <alignment wrapText="1"/>
    </xf>
    <xf numFmtId="1" fontId="75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192" fontId="75" fillId="0" borderId="0" xfId="0" applyNumberFormat="1" applyFont="1" applyFill="1" applyBorder="1" applyAlignment="1">
      <alignment wrapText="1"/>
    </xf>
    <xf numFmtId="192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88" fontId="75" fillId="0" borderId="0" xfId="0" applyNumberFormat="1" applyFont="1" applyFill="1" applyAlignment="1">
      <alignment/>
    </xf>
    <xf numFmtId="192" fontId="76" fillId="0" borderId="0" xfId="0" applyNumberFormat="1" applyFont="1" applyFill="1" applyBorder="1" applyAlignment="1">
      <alignment horizontal="center" vertical="center" wrapText="1"/>
    </xf>
    <xf numFmtId="192" fontId="75" fillId="0" borderId="13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 wrapText="1"/>
    </xf>
    <xf numFmtId="192" fontId="74" fillId="0" borderId="13" xfId="0" applyNumberFormat="1" applyFont="1" applyFill="1" applyBorder="1" applyAlignment="1">
      <alignment wrapText="1"/>
    </xf>
    <xf numFmtId="192" fontId="74" fillId="0" borderId="10" xfId="0" applyNumberFormat="1" applyFont="1" applyFill="1" applyBorder="1" applyAlignment="1">
      <alignment/>
    </xf>
    <xf numFmtId="0" fontId="77" fillId="0" borderId="16" xfId="0" applyFont="1" applyFill="1" applyBorder="1" applyAlignment="1">
      <alignment vertical="center"/>
    </xf>
    <xf numFmtId="0" fontId="78" fillId="0" borderId="16" xfId="0" applyFont="1" applyFill="1" applyBorder="1" applyAlignment="1">
      <alignment vertical="center"/>
    </xf>
    <xf numFmtId="192" fontId="75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192" fontId="6" fillId="0" borderId="16" xfId="0" applyNumberFormat="1" applyFont="1" applyFill="1" applyBorder="1" applyAlignment="1">
      <alignment horizontal="left" wrapText="1"/>
    </xf>
    <xf numFmtId="192" fontId="5" fillId="0" borderId="16" xfId="0" applyNumberFormat="1" applyFont="1" applyFill="1" applyBorder="1" applyAlignment="1">
      <alignment horizontal="left" wrapText="1"/>
    </xf>
    <xf numFmtId="0" fontId="68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right" wrapText="1"/>
    </xf>
    <xf numFmtId="49" fontId="75" fillId="0" borderId="10" xfId="0" applyNumberFormat="1" applyFont="1" applyFill="1" applyBorder="1" applyAlignment="1">
      <alignment horizontal="center"/>
    </xf>
    <xf numFmtId="192" fontId="79" fillId="0" borderId="10" xfId="0" applyNumberFormat="1" applyFont="1" applyFill="1" applyBorder="1" applyAlignment="1">
      <alignment/>
    </xf>
    <xf numFmtId="192" fontId="79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75" fillId="0" borderId="16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0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right"/>
    </xf>
    <xf numFmtId="0" fontId="6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80" zoomScaleNormal="50" zoomScaleSheetLayoutView="80" zoomScalePageLayoutView="0" workbookViewId="0" topLeftCell="B3">
      <pane xSplit="6" ySplit="4" topLeftCell="H13" activePane="bottomRight" state="frozen"/>
      <selection pane="topLeft" activeCell="B3" sqref="B3"/>
      <selection pane="topRight" activeCell="H3" sqref="H3"/>
      <selection pane="bottomLeft" activeCell="B7" sqref="B7"/>
      <selection pane="bottomRight" activeCell="AX3" sqref="A3:IV3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1" customWidth="1"/>
    <col min="5" max="5" width="12.75390625" style="11" customWidth="1"/>
    <col min="6" max="6" width="11.00390625" style="11" customWidth="1"/>
    <col min="7" max="8" width="14.75390625" style="2" customWidth="1"/>
    <col min="9" max="9" width="11.00390625" style="11" customWidth="1"/>
    <col min="10" max="11" width="14.75390625" style="2" customWidth="1"/>
    <col min="12" max="12" width="11.00390625" style="11" customWidth="1"/>
    <col min="13" max="13" width="15.75390625" style="11" hidden="1" customWidth="1"/>
    <col min="14" max="14" width="14.625" style="11" hidden="1" customWidth="1"/>
    <col min="15" max="15" width="12.75390625" style="11" hidden="1" customWidth="1"/>
    <col min="16" max="17" width="14.625" style="2" hidden="1" customWidth="1"/>
    <col min="18" max="18" width="11.00390625" style="11" hidden="1" customWidth="1"/>
    <col min="19" max="20" width="14.625" style="2" hidden="1" customWidth="1"/>
    <col min="21" max="21" width="11.00390625" style="11" hidden="1" customWidth="1"/>
    <col min="22" max="22" width="14.25390625" style="11" hidden="1" customWidth="1"/>
    <col min="23" max="23" width="13.00390625" style="11" hidden="1" customWidth="1"/>
    <col min="24" max="24" width="11.00390625" style="11" hidden="1" customWidth="1"/>
    <col min="25" max="25" width="14.00390625" style="11" hidden="1" customWidth="1"/>
    <col min="26" max="26" width="12.75390625" style="11" hidden="1" customWidth="1"/>
    <col min="27" max="27" width="11.00390625" style="11" hidden="1" customWidth="1"/>
    <col min="28" max="28" width="14.25390625" style="11" hidden="1" customWidth="1"/>
    <col min="29" max="29" width="13.00390625" style="11" hidden="1" customWidth="1"/>
    <col min="30" max="30" width="11.00390625" style="11" hidden="1" customWidth="1"/>
    <col min="31" max="31" width="14.25390625" style="11" hidden="1" customWidth="1"/>
    <col min="32" max="32" width="13.00390625" style="11" hidden="1" customWidth="1"/>
    <col min="33" max="33" width="11.00390625" style="11" hidden="1" customWidth="1"/>
    <col min="34" max="34" width="13.25390625" style="11" hidden="1" customWidth="1"/>
    <col min="35" max="35" width="12.75390625" style="11" hidden="1" customWidth="1"/>
    <col min="36" max="36" width="14.00390625" style="11" hidden="1" customWidth="1"/>
    <col min="37" max="37" width="12.75390625" style="11" hidden="1" customWidth="1"/>
    <col min="38" max="38" width="11.00390625" style="11" hidden="1" customWidth="1"/>
    <col min="39" max="39" width="13.25390625" style="11" hidden="1" customWidth="1"/>
    <col min="40" max="40" width="13.875" style="11" hidden="1" customWidth="1"/>
    <col min="41" max="41" width="13.25390625" style="11" hidden="1" customWidth="1"/>
    <col min="42" max="42" width="12.875" style="11" hidden="1" customWidth="1"/>
    <col min="43" max="43" width="13.25390625" style="11" hidden="1" customWidth="1"/>
    <col min="44" max="44" width="13.375" style="11" hidden="1" customWidth="1"/>
    <col min="45" max="46" width="14.625" style="2" customWidth="1"/>
    <col min="47" max="47" width="11.00390625" style="11" customWidth="1"/>
    <col min="48" max="48" width="20.75390625" style="2" customWidth="1"/>
    <col min="49" max="49" width="25.375" style="2" customWidth="1"/>
    <col min="50" max="50" width="16.00390625" style="2" customWidth="1"/>
    <col min="51" max="51" width="14.375" style="2" customWidth="1"/>
    <col min="52" max="52" width="11.125" style="2" customWidth="1"/>
    <col min="53" max="53" width="14.625" style="2" customWidth="1"/>
    <col min="54" max="56" width="6.75390625" style="2" customWidth="1"/>
    <col min="57" max="57" width="13.875" style="2" bestFit="1" customWidth="1"/>
    <col min="58" max="16384" width="6.75390625" style="2" customWidth="1"/>
  </cols>
  <sheetData>
    <row r="1" spans="4:49" ht="22.5" customHeight="1" hidden="1"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5"/>
      <c r="AT1" s="165"/>
      <c r="AU1" s="165"/>
      <c r="AV1" s="165"/>
      <c r="AW1" s="165"/>
    </row>
    <row r="2" spans="1:49" s="52" customFormat="1" ht="60" customHeight="1">
      <c r="A2" s="51"/>
      <c r="B2" s="162" t="s">
        <v>115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</row>
    <row r="3" spans="1:51" s="157" customFormat="1" ht="60" customHeight="1">
      <c r="A3" s="156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Y3" s="158"/>
    </row>
    <row r="4" spans="2:49" ht="49.5" customHeight="1">
      <c r="B4" s="166"/>
      <c r="C4" s="166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94</v>
      </c>
    </row>
    <row r="5" spans="1:57" ht="36.75" customHeight="1">
      <c r="A5" s="42" t="s">
        <v>46</v>
      </c>
      <c r="B5" s="43"/>
      <c r="C5" s="44" t="s">
        <v>1</v>
      </c>
      <c r="D5" s="169" t="s">
        <v>111</v>
      </c>
      <c r="E5" s="170"/>
      <c r="F5" s="171"/>
      <c r="G5" s="159" t="s">
        <v>114</v>
      </c>
      <c r="H5" s="160"/>
      <c r="I5" s="161"/>
      <c r="J5" s="159" t="s">
        <v>118</v>
      </c>
      <c r="K5" s="160"/>
      <c r="L5" s="161"/>
      <c r="M5" s="159" t="s">
        <v>90</v>
      </c>
      <c r="N5" s="160"/>
      <c r="O5" s="161"/>
      <c r="P5" s="159" t="s">
        <v>79</v>
      </c>
      <c r="Q5" s="160"/>
      <c r="R5" s="161"/>
      <c r="S5" s="159" t="s">
        <v>80</v>
      </c>
      <c r="T5" s="160"/>
      <c r="U5" s="161"/>
      <c r="V5" s="159" t="s">
        <v>81</v>
      </c>
      <c r="W5" s="160"/>
      <c r="X5" s="161"/>
      <c r="Y5" s="159" t="s">
        <v>91</v>
      </c>
      <c r="Z5" s="160"/>
      <c r="AA5" s="161"/>
      <c r="AB5" s="159" t="s">
        <v>82</v>
      </c>
      <c r="AC5" s="160"/>
      <c r="AD5" s="161"/>
      <c r="AE5" s="159" t="s">
        <v>83</v>
      </c>
      <c r="AF5" s="160"/>
      <c r="AG5" s="161"/>
      <c r="AH5" s="159" t="s">
        <v>84</v>
      </c>
      <c r="AI5" s="161"/>
      <c r="AJ5" s="159" t="s">
        <v>92</v>
      </c>
      <c r="AK5" s="160"/>
      <c r="AL5" s="161"/>
      <c r="AM5" s="159" t="s">
        <v>85</v>
      </c>
      <c r="AN5" s="161"/>
      <c r="AO5" s="159" t="s">
        <v>86</v>
      </c>
      <c r="AP5" s="161"/>
      <c r="AQ5" s="159" t="s">
        <v>87</v>
      </c>
      <c r="AR5" s="161"/>
      <c r="AS5" s="169" t="s">
        <v>112</v>
      </c>
      <c r="AT5" s="170"/>
      <c r="AU5" s="171"/>
      <c r="AV5" s="167" t="s">
        <v>116</v>
      </c>
      <c r="AW5" s="167" t="s">
        <v>117</v>
      </c>
      <c r="AX5" s="17">
        <f>'насел.'!AW7+пільги!AW7+субсидії!AW7+'держ.бюджет'!AW7+'місц.-районн.бюджет'!AW7+областной!AW7+інші!AW7</f>
        <v>52730.3</v>
      </c>
      <c r="BE5" s="17"/>
    </row>
    <row r="6" spans="1:53" ht="84.75" customHeight="1">
      <c r="A6" s="45" t="s">
        <v>47</v>
      </c>
      <c r="B6" s="46" t="s">
        <v>106</v>
      </c>
      <c r="C6" s="41" t="s">
        <v>113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93</v>
      </c>
      <c r="AT6" s="46" t="s">
        <v>69</v>
      </c>
      <c r="AU6" s="48" t="s">
        <v>0</v>
      </c>
      <c r="AV6" s="168"/>
      <c r="AW6" s="168"/>
      <c r="AX6" s="17">
        <f>AX7+AX43</f>
        <v>544787.6</v>
      </c>
      <c r="AY6" s="17">
        <f>AY7+AY43</f>
        <v>487264</v>
      </c>
      <c r="AZ6" s="17">
        <f>AZ7+AZ43</f>
        <v>57523.600000000006</v>
      </c>
      <c r="BA6" s="17">
        <f>BA7+BA43</f>
        <v>1158800.6</v>
      </c>
    </row>
    <row r="7" spans="1:53" s="11" customFormat="1" ht="34.5" customHeight="1">
      <c r="A7" s="8"/>
      <c r="B7" s="114" t="s">
        <v>107</v>
      </c>
      <c r="C7" s="16">
        <f>'насел.'!C7+пільги!C7+субсидії!C7+'держ.бюджет'!C7+'місц.-районн.бюджет'!C7+областной!C7+інші!C7</f>
        <v>45787.4</v>
      </c>
      <c r="D7" s="16">
        <f>'насел.'!D7+пільги!D7+субсидії!D7+'держ.бюджет'!D7+'місц.-районн.бюджет'!D7+областной!D7+інші!D7</f>
        <v>33755.1</v>
      </c>
      <c r="E7" s="16">
        <f>'насел.'!E7+пільги!E7+субсидії!E7+'держ.бюджет'!E7+'місц.-районн.бюджет'!E7+областной!E7+інші!E7</f>
        <v>28171.800000000003</v>
      </c>
      <c r="F7" s="10">
        <f aca="true" t="shared" si="0" ref="F7:F45">E7/D7*100</f>
        <v>83.45938835909242</v>
      </c>
      <c r="G7" s="16">
        <f>'насел.'!G7+пільги!G7+субсидії!G7+'держ.бюджет'!G7+'місц.-районн.бюджет'!G7+областной!G7+інші!G7</f>
        <v>28871.9</v>
      </c>
      <c r="H7" s="16">
        <f>'насел.'!H7+пільги!H7+субсидії!H7+'держ.бюджет'!H7+'місц.-районн.бюджет'!H7+областной!H7+інші!H7</f>
        <v>31653.7</v>
      </c>
      <c r="I7" s="10">
        <f aca="true" t="shared" si="1" ref="I7:I45">H7/G7*100</f>
        <v>109.63497379805278</v>
      </c>
      <c r="J7" s="16">
        <f>'насел.'!J7+пільги!J7+субсидії!J7+'держ.бюджет'!J7+'місц.-районн.бюджет'!J7+областной!J7+інші!J7</f>
        <v>34623.7</v>
      </c>
      <c r="K7" s="16">
        <f>'насел.'!K7+пільги!K7+субсидії!K7+'держ.бюджет'!K7+'місц.-районн.бюджет'!K7+областной!K7+інші!K7</f>
        <v>30482.300000000003</v>
      </c>
      <c r="L7" s="10">
        <f aca="true" t="shared" si="2" ref="L7:L24">K7/J7*100</f>
        <v>88.03882889465888</v>
      </c>
      <c r="M7" s="10">
        <f>'насел.'!M7+пільги!M7+субсидії!M7+'держ.бюджет'!M7+'місц.-районн.бюджет'!M7+областной!M7+інші!M7</f>
        <v>90082.3</v>
      </c>
      <c r="N7" s="10">
        <f>'насел.'!N7+пільги!N7+субсидії!N7+'держ.бюджет'!N7+'місц.-районн.бюджет'!N7+областной!N7+інші!N7</f>
        <v>85177.09999999999</v>
      </c>
      <c r="O7" s="10">
        <f>N7/M7*100</f>
        <v>94.55475714985073</v>
      </c>
      <c r="P7" s="16">
        <f>'насел.'!P7+пільги!P7+субсидії!P7+'держ.бюджет'!P7+'місц.-районн.бюджет'!P7+областной!P7+інші!P7</f>
        <v>0</v>
      </c>
      <c r="Q7" s="16">
        <f>'насел.'!Q7+пільги!Q7+субсидії!Q7+'держ.бюджет'!Q7+'місц.-районн.бюджет'!Q7+областной!Q7+інші!Q7</f>
        <v>0</v>
      </c>
      <c r="R7" s="16" t="e">
        <f>'насел.'!R7+пільги!R7+субсидії!R7+'держ.бюджет'!R7+'місц.-районн.бюджет'!R7+областной!R7+інші!R7</f>
        <v>#DIV/0!</v>
      </c>
      <c r="S7" s="16">
        <f>'насел.'!S7+пільги!S7+субсидії!S7+'держ.бюджет'!S7+'місц.-районн.бюджет'!S7+областной!S7+інші!S7</f>
        <v>0</v>
      </c>
      <c r="T7" s="16">
        <f>'насел.'!T7+пільги!T7+субсидії!T7+'держ.бюджет'!T7+'місц.-районн.бюджет'!T7+областной!T7+інші!T7</f>
        <v>0</v>
      </c>
      <c r="U7" s="16" t="e">
        <f>'насел.'!U7+пільги!U7+субсидії!U7+'держ.бюджет'!U7+'місц.-районн.бюджет'!U7+областной!U7+інші!U7</f>
        <v>#DIV/0!</v>
      </c>
      <c r="V7" s="16">
        <f>'насел.'!V7+пільги!V7+субсидії!V7+'держ.бюджет'!V7+'місц.-районн.бюджет'!V7+областной!V7+інші!V7</f>
        <v>0</v>
      </c>
      <c r="W7" s="16">
        <f>'насел.'!W7+пільги!W7+субсидії!W7+'держ.бюджет'!W7+'місц.-районн.бюджет'!W7+областной!W7+інші!W7</f>
        <v>0</v>
      </c>
      <c r="X7" s="16" t="e">
        <f>'насел.'!X7+пільги!X7+субсидії!X7+'держ.бюджет'!X7+'місц.-районн.бюджет'!X7+областной!X7+інші!X7</f>
        <v>#DIV/0!</v>
      </c>
      <c r="Y7" s="16">
        <f>'насел.'!Y7+пільги!Y7+субсидії!Y7+'держ.бюджет'!Y7+'місц.-районн.бюджет'!Y7+областной!Y7+інші!Y7</f>
        <v>0</v>
      </c>
      <c r="Z7" s="16">
        <f>'насел.'!Z7+пільги!Z7+субсидії!Z7+'держ.бюджет'!Z7+'місц.-районн.бюджет'!Z7+областной!Z7+інші!Z7</f>
        <v>0</v>
      </c>
      <c r="AA7" s="10" t="e">
        <f aca="true" t="shared" si="3" ref="AA7:AA28">Z7/Y7*100</f>
        <v>#DIV/0!</v>
      </c>
      <c r="AB7" s="16">
        <f>'насел.'!AB7+пільги!AB7+субсидії!AB7+'держ.бюджет'!AB7+'місц.-районн.бюджет'!AB7+областной!AB7+інші!AB7</f>
        <v>0</v>
      </c>
      <c r="AC7" s="16">
        <f>'насел.'!AC7+пільги!AC7+субсидії!AC7+'держ.бюджет'!AC7+'місц.-районн.бюджет'!AC7+областной!AC7+інші!AC7</f>
        <v>0</v>
      </c>
      <c r="AD7" s="16" t="e">
        <f>'насел.'!AD7+пільги!AD7+субсидії!AD7+'держ.бюджет'!AD7+'місц.-районн.бюджет'!AD7+областной!AD7+інші!AD7</f>
        <v>#DIV/0!</v>
      </c>
      <c r="AE7" s="16">
        <f>'насел.'!AE7+пільги!AE7+субсидії!AE7+'держ.бюджет'!AE7+'місц.-районн.бюджет'!AE7+областной!AE7+інші!AE7</f>
        <v>0</v>
      </c>
      <c r="AF7" s="16">
        <f>'насел.'!AF7+пільги!AF7+субсидії!AF7+'держ.бюджет'!AF7+'місц.-районн.бюджет'!AF7+областной!AF7+інші!AF7</f>
        <v>0</v>
      </c>
      <c r="AG7" s="16" t="e">
        <f>'насел.'!AG7+пільги!AG7+субсидії!AG7+'держ.бюджет'!AG7+'місц.-районн.бюджет'!AG7+областной!AG7+інші!AG7</f>
        <v>#DIV/0!</v>
      </c>
      <c r="AH7" s="16">
        <f>'насел.'!AH7+пільги!AH7+субсидії!AH7+'держ.бюджет'!AH7+'місц.-районн.бюджет'!AH7+областной!AH7+інші!AH7</f>
        <v>0</v>
      </c>
      <c r="AI7" s="16">
        <f>'насел.'!AI7+пільги!AI7+субсидії!AI7+'держ.бюджет'!AI7+'місц.-районн.бюджет'!AI7+областной!AI7+інші!AI7</f>
        <v>0</v>
      </c>
      <c r="AJ7" s="16">
        <f>'насел.'!AJ7+пільги!AJ7+субсидії!AJ7+'держ.бюджет'!AJ7+'місц.-районн.бюджет'!AJ7+областной!AJ7+інші!AJ7</f>
        <v>0</v>
      </c>
      <c r="AK7" s="16">
        <f>'насел.'!AK7+пільги!AK7+субсидії!AK7+'держ.бюджет'!AK7+'місц.-районн.бюджет'!AK7+областной!AK7+інші!AK7</f>
        <v>0</v>
      </c>
      <c r="AL7" s="16" t="e">
        <f>AK7/AJ7*100</f>
        <v>#DIV/0!</v>
      </c>
      <c r="AM7" s="16">
        <f>'насел.'!AM7+пільги!AM7+субсидії!AM7+'держ.бюджет'!AM7+'місц.-районн.бюджет'!AM7+областной!AM7+інші!AM7</f>
        <v>0</v>
      </c>
      <c r="AN7" s="16">
        <f>'насел.'!AN7+пільги!AN7+субсидії!AN7+'держ.бюджет'!AN7+'місц.-районн.бюджет'!AN7+областной!AN7+інші!AN7</f>
        <v>0</v>
      </c>
      <c r="AO7" s="16">
        <f>'насел.'!AO7+пільги!AO7+субсидії!AO7+'держ.бюджет'!AO7+'місц.-районн.бюджет'!AO7+областной!AO7+інші!AO7</f>
        <v>0</v>
      </c>
      <c r="AP7" s="16">
        <f>'насел.'!AP7+пільги!AP7+субсидії!AP7+'держ.бюджет'!AP7+'місц.-районн.бюджет'!AP7+областной!AP7+інші!AP7</f>
        <v>0</v>
      </c>
      <c r="AQ7" s="16">
        <f>'насел.'!AQ7+пільги!AQ7+субсидії!AQ7+'держ.бюджет'!AQ7+'місц.-районн.бюджет'!AQ7+областной!AQ7+інші!AQ7</f>
        <v>0</v>
      </c>
      <c r="AR7" s="16">
        <f>'насел.'!AR7+пільги!AR7+субсидії!AR7+'держ.бюджет'!AR7+'місц.-районн.бюджет'!AR7+областной!AR7+інші!AR7</f>
        <v>0</v>
      </c>
      <c r="AS7" s="16">
        <f>'насел.'!AS7+пільги!AS7+субсидії!AS7+'держ.бюджет'!AS7+'місц.-районн.бюджет'!AS7+областной!AS7+інші!AS7</f>
        <v>97250.70000000001</v>
      </c>
      <c r="AT7" s="16">
        <f>'насел.'!AT7+пільги!AT7+субсидії!AT7+'держ.бюджет'!AT7+'місц.-районн.бюджет'!AT7+областной!AT7+інші!AT7</f>
        <v>90307.79999999999</v>
      </c>
      <c r="AU7" s="10">
        <f aca="true" t="shared" si="4" ref="AU7:AU45">AT7/AS7*100</f>
        <v>92.8608225956214</v>
      </c>
      <c r="AV7" s="16">
        <f>'насел.'!AV7+пільги!AV7+субсидії!AV7+'держ.бюджет'!AV7+'місц.-районн.бюджет'!AV7+областной!AV7+інші!AV7</f>
        <v>6942.899999999998</v>
      </c>
      <c r="AW7" s="16">
        <f>'насел.'!AW7+пільги!AW7+субсидії!AW7+'держ.бюджет'!AW7+'місц.-районн.бюджет'!AW7+областной!AW7+інші!AW7</f>
        <v>52730.3</v>
      </c>
      <c r="AX7" s="40">
        <f>D7+G7+J7</f>
        <v>97250.7</v>
      </c>
      <c r="AY7" s="40">
        <f>E7+H7+K7</f>
        <v>90307.8</v>
      </c>
      <c r="AZ7" s="40">
        <f>AX7-AY7</f>
        <v>6942.899999999994</v>
      </c>
      <c r="BA7" s="40">
        <f>C7+AX7-AY7</f>
        <v>52730.3</v>
      </c>
    </row>
    <row r="8" spans="1:53" ht="34.5" customHeight="1">
      <c r="A8" s="12" t="s">
        <v>5</v>
      </c>
      <c r="B8" s="58" t="s">
        <v>49</v>
      </c>
      <c r="C8" s="16">
        <f>'насел.'!C8+пільги!C8+субсидії!C8+'держ.бюджет'!C8+'місц.-районн.бюджет'!C8+областной!C8+інші!C8</f>
        <v>-268.1</v>
      </c>
      <c r="D8" s="16">
        <f>'насел.'!D8+пільги!D8+субсидії!D8+'держ.бюджет'!D8+'місц.-районн.бюджет'!D8+областной!D8+інші!D8</f>
        <v>2378.4</v>
      </c>
      <c r="E8" s="16">
        <f>'насел.'!E8+пільги!E8+субсидії!E8+'держ.бюджет'!E8+'місц.-районн.бюджет'!E8+областной!E8+інші!E8</f>
        <v>2385.4</v>
      </c>
      <c r="F8" s="10">
        <f t="shared" si="0"/>
        <v>100.29431550622267</v>
      </c>
      <c r="G8" s="16">
        <f>'насел.'!G8+пільги!G8+субсидії!G8+'держ.бюджет'!G8+'місц.-районн.бюджет'!G8+областной!G8+інші!G8</f>
        <v>2383.7</v>
      </c>
      <c r="H8" s="16">
        <f>'насел.'!H8+пільги!H8+субсидії!H8+'держ.бюджет'!H8+'місц.-районн.бюджет'!H8+областной!H8+інші!H8</f>
        <v>2542.2000000000003</v>
      </c>
      <c r="I8" s="10">
        <f t="shared" si="1"/>
        <v>106.64932667701474</v>
      </c>
      <c r="J8" s="16">
        <f>'насел.'!J8+пільги!J8+субсидії!J8+'держ.бюджет'!J8+'місц.-районн.бюджет'!J8+областной!J8+інші!J8</f>
        <v>2239.2</v>
      </c>
      <c r="K8" s="16">
        <f>'насел.'!K8+пільги!K8+субсидії!K8+'держ.бюджет'!K8+'місц.-районн.бюджет'!K8+областной!K8+інші!K8</f>
        <v>1995.9</v>
      </c>
      <c r="L8" s="10">
        <f t="shared" si="2"/>
        <v>89.13451232583066</v>
      </c>
      <c r="M8" s="10">
        <f>'насел.'!M8+пільги!M8+субсидії!M8+'держ.бюджет'!M8+'місц.-районн.бюджет'!M8+областной!M8+інші!M8</f>
        <v>7001.299999999999</v>
      </c>
      <c r="N8" s="10">
        <f>'насел.'!N8+пільги!N8+субсидії!N8+'держ.бюджет'!N8+'місц.-районн.бюджет'!N8+областной!N8+інші!N8</f>
        <v>6923.5</v>
      </c>
      <c r="O8" s="10">
        <f aca="true" t="shared" si="5" ref="O8:O45">N8/M8*100</f>
        <v>98.88877779840888</v>
      </c>
      <c r="P8" s="16">
        <f>'насел.'!P8+пільги!P8+субсидії!P8+'держ.бюджет'!P8+'місц.-районн.бюджет'!P8+областной!P8+інші!P8</f>
        <v>0</v>
      </c>
      <c r="Q8" s="16">
        <f>'насел.'!Q8+пільги!Q8+субсидії!Q8+'держ.бюджет'!Q8+'місц.-районн.бюджет'!Q8+областной!Q8+інші!Q8</f>
        <v>0</v>
      </c>
      <c r="R8" s="10" t="e">
        <f aca="true" t="shared" si="6" ref="R8:R28">Q8/P8*100</f>
        <v>#DIV/0!</v>
      </c>
      <c r="S8" s="16">
        <f>'насел.'!S8+пільги!S8+субсидії!S8+'держ.бюджет'!S8+'місц.-районн.бюджет'!S8+областной!S8+інші!S8</f>
        <v>0</v>
      </c>
      <c r="T8" s="16">
        <f>'насел.'!T8+пільги!T8+субсидії!T8+'держ.бюджет'!T8+'місц.-районн.бюджет'!T8+областной!T8+інші!T8</f>
        <v>0</v>
      </c>
      <c r="U8" s="10" t="e">
        <f aca="true" t="shared" si="7" ref="U8:U28">T8/S8*100</f>
        <v>#DIV/0!</v>
      </c>
      <c r="V8" s="16">
        <f>'насел.'!V8+пільги!V8+субсидії!V8+'держ.бюджет'!V8+'місц.-районн.бюджет'!V8+областной!V8+інші!V8</f>
        <v>0</v>
      </c>
      <c r="W8" s="16">
        <f>'насел.'!W8+пільги!W8+субсидії!W8+'держ.бюджет'!W8+'місц.-районн.бюджет'!W8+областной!W8+інші!W8</f>
        <v>0</v>
      </c>
      <c r="X8" s="10" t="e">
        <f aca="true" t="shared" si="8" ref="X8:X28">W8/V8*100</f>
        <v>#DIV/0!</v>
      </c>
      <c r="Y8" s="16">
        <f>'насел.'!Y8+пільги!Y8+субсидії!Y8+'держ.бюджет'!Y8+'місц.-районн.бюджет'!Y8+областной!Y8+інші!Y8</f>
        <v>0</v>
      </c>
      <c r="Z8" s="16">
        <f>'насел.'!Z8+пільги!Z8+субсидії!Z8+'держ.бюджет'!Z8+'місц.-районн.бюджет'!Z8+областной!Z8+інші!Z8</f>
        <v>0</v>
      </c>
      <c r="AA8" s="10" t="e">
        <f t="shared" si="3"/>
        <v>#DIV/0!</v>
      </c>
      <c r="AB8" s="16">
        <f>'насел.'!AB8+пільги!AB8+субсидії!AB8+'держ.бюджет'!AB8+'місц.-районн.бюджет'!AB8+областной!AB8+інші!AB8</f>
        <v>0</v>
      </c>
      <c r="AC8" s="16">
        <f>'насел.'!AC8+пільги!AC8+субсидії!AC8+'держ.бюджет'!AC8+'місц.-районн.бюджет'!AC8+областной!AC8+інші!AC8</f>
        <v>0</v>
      </c>
      <c r="AD8" s="10" t="e">
        <f aca="true" t="shared" si="9" ref="AD8:AD28">AC8/AB8*100</f>
        <v>#DIV/0!</v>
      </c>
      <c r="AE8" s="16">
        <f>'насел.'!AE8+пільги!AE8+субсидії!AE8+'держ.бюджет'!AE8+'місц.-районн.бюджет'!AE8+областной!AE8+інші!AE8</f>
        <v>0</v>
      </c>
      <c r="AF8" s="16">
        <f>'насел.'!AF8+пільги!AF8+субсидії!AF8+'держ.бюджет'!AF8+'місц.-районн.бюджет'!AF8+областной!AF8+інші!AF8</f>
        <v>0</v>
      </c>
      <c r="AG8" s="10" t="e">
        <f aca="true" t="shared" si="10" ref="AG8:AG28">AF8/AE8*100</f>
        <v>#DIV/0!</v>
      </c>
      <c r="AH8" s="16">
        <f>'насел.'!AH8+пільги!AH8+субсидії!AH8+'держ.бюджет'!AH8+'місц.-районн.бюджет'!AH8+областной!AH8+інші!AH8</f>
        <v>0</v>
      </c>
      <c r="AI8" s="16">
        <f>'насел.'!AI8+пільги!AI8+субсидії!AI8+'держ.бюджет'!AI8+'місц.-районн.бюджет'!AI8+областной!AI8+інші!AI8</f>
        <v>0</v>
      </c>
      <c r="AJ8" s="16">
        <f>'насел.'!AJ8+пільги!AJ8+субсидії!AJ8+'держ.бюджет'!AJ8+'місц.-районн.бюджет'!AJ8+областной!AJ8+інші!AJ8</f>
        <v>0</v>
      </c>
      <c r="AK8" s="16">
        <f>'насел.'!AK8+пільги!AK8+субсидії!AK8+'держ.бюджет'!AK8+'місц.-районн.бюджет'!AK8+областной!AK8+інші!AK8</f>
        <v>0</v>
      </c>
      <c r="AL8" s="16" t="e">
        <f aca="true" t="shared" si="11" ref="AL8:AL45">AK8/AJ8*100</f>
        <v>#DIV/0!</v>
      </c>
      <c r="AM8" s="16">
        <f>'насел.'!AM8+пільги!AM8+субсидії!AM8+'держ.бюджет'!AM8+'місц.-районн.бюджет'!AM8+областной!AM8+інші!AM8</f>
        <v>0</v>
      </c>
      <c r="AN8" s="16">
        <f>'насел.'!AN8+пільги!AN8+субсидії!AN8+'держ.бюджет'!AN8+'місц.-районн.бюджет'!AN8+областной!AN8+інші!AN8</f>
        <v>0</v>
      </c>
      <c r="AO8" s="16">
        <f>'насел.'!AO8+пільги!AO8+субсидії!AO8+'держ.бюджет'!AO8+'місц.-районн.бюджет'!AO8+областной!AO8+інші!AO8</f>
        <v>0</v>
      </c>
      <c r="AP8" s="16">
        <f>'насел.'!AP8+пільги!AP8+субсидії!AP8+'держ.бюджет'!AP8+'місц.-районн.бюджет'!AP8+областной!AP8+інші!AP8</f>
        <v>0</v>
      </c>
      <c r="AQ8" s="16">
        <f>'насел.'!AQ8+пільги!AQ8+субсидії!AQ8+'держ.бюджет'!AQ8+'місц.-районн.бюджет'!AQ8+областной!AQ8+інші!AQ8</f>
        <v>0</v>
      </c>
      <c r="AR8" s="16">
        <f>'насел.'!AR8+пільги!AR8+субсидії!AR8+'держ.бюджет'!AR8+'місц.-районн.бюджет'!AR8+областной!AR8+інші!AR8</f>
        <v>0</v>
      </c>
      <c r="AS8" s="16">
        <f>'насел.'!AS8+пільги!AS8+субсидії!AS8+'держ.бюджет'!AS8+'місц.-районн.бюджет'!AS8+областной!AS8+інші!AS8</f>
        <v>7001.299999999999</v>
      </c>
      <c r="AT8" s="16">
        <f>'насел.'!AT8+пільги!AT8+субсидії!AT8+'держ.бюджет'!AT8+'місц.-районн.бюджет'!AT8+областной!AT8+інші!AT8</f>
        <v>6923.5</v>
      </c>
      <c r="AU8" s="10">
        <f>AT8/AS8*100</f>
        <v>98.88877779840888</v>
      </c>
      <c r="AV8" s="16">
        <f>'насел.'!AV8+пільги!AV8+субсидії!AV8+'держ.бюджет'!AV8+'місц.-районн.бюджет'!AV8+областной!AV8+інші!AV8</f>
        <v>77.79999999999971</v>
      </c>
      <c r="AW8" s="104">
        <f>'насел.'!AW8+пільги!AW8+субсидії!AW8+'держ.бюджет'!AW8+'місц.-районн.бюджет'!AW8+областной!AW8+інші!AW8</f>
        <v>-190.3000000000003</v>
      </c>
      <c r="AX8" s="40">
        <f aca="true" t="shared" si="12" ref="AX8:AX45">D8+G8+J8</f>
        <v>7001.3</v>
      </c>
      <c r="AY8" s="40">
        <f aca="true" t="shared" si="13" ref="AY8:AY45">E8+H8+K8</f>
        <v>6923.5</v>
      </c>
      <c r="AZ8" s="40">
        <f aca="true" t="shared" si="14" ref="AZ8:AZ45">AX8-AY8</f>
        <v>77.80000000000018</v>
      </c>
      <c r="BA8" s="40">
        <f aca="true" t="shared" si="15" ref="BA8:BA45">C8+AX8-AY8</f>
        <v>-190.30000000000018</v>
      </c>
    </row>
    <row r="9" spans="1:53" ht="34.5" customHeight="1">
      <c r="A9" s="12" t="s">
        <v>6</v>
      </c>
      <c r="B9" s="60" t="s">
        <v>65</v>
      </c>
      <c r="C9" s="16">
        <f>'насел.'!C9+пільги!C9+субсидії!C9+'держ.бюджет'!C9+'місц.-районн.бюджет'!C9+областной!C9+інші!C9</f>
        <v>228.00000000000003</v>
      </c>
      <c r="D9" s="16">
        <f>'насел.'!D9+пільги!D9+субсидії!D9+'держ.бюджет'!D9+'місц.-районн.бюджет'!D9+областной!D9+інші!D9</f>
        <v>401.00000000000006</v>
      </c>
      <c r="E9" s="16">
        <f>'насел.'!E9+пільги!E9+субсидії!E9+'держ.бюджет'!E9+'місц.-районн.бюджет'!E9+областной!E9+інші!E9</f>
        <v>558.6999999999999</v>
      </c>
      <c r="F9" s="10">
        <f t="shared" si="0"/>
        <v>139.32668329177054</v>
      </c>
      <c r="G9" s="16">
        <f>'насел.'!G9+пільги!G9+субсидії!G9+'держ.бюджет'!G9+'місц.-районн.бюджет'!G9+областной!G9+інші!G9</f>
        <v>429.5</v>
      </c>
      <c r="H9" s="16">
        <f>'насел.'!H9+пільги!H9+субсидії!H9+'держ.бюджет'!H9+'місц.-районн.бюджет'!H9+областной!H9+інші!H9</f>
        <v>522.5000000000001</v>
      </c>
      <c r="I9" s="10">
        <f t="shared" si="1"/>
        <v>121.65308498253786</v>
      </c>
      <c r="J9" s="16">
        <f>'насел.'!J9+пільги!J9+субсидії!J9+'держ.бюджет'!J9+'місц.-районн.бюджет'!J9+областной!J9+інші!J9</f>
        <v>410.6</v>
      </c>
      <c r="K9" s="16">
        <f>'насел.'!K9+пільги!K9+субсидії!K9+'держ.бюджет'!K9+'місц.-районн.бюджет'!K9+областной!K9+інші!K9</f>
        <v>329.2</v>
      </c>
      <c r="L9" s="10">
        <f t="shared" si="2"/>
        <v>80.17535314174378</v>
      </c>
      <c r="M9" s="10">
        <f>'насел.'!M9+пільги!M9+субсидії!M9+'держ.бюджет'!M9+'місц.-районн.бюджет'!M9+областной!M9+інші!M9</f>
        <v>1241.1000000000001</v>
      </c>
      <c r="N9" s="10">
        <f>'насел.'!N9+пільги!N9+субсидії!N9+'держ.бюджет'!N9+'місц.-районн.бюджет'!N9+областной!N9+інші!N9</f>
        <v>1410.3999999999996</v>
      </c>
      <c r="O9" s="10">
        <f t="shared" si="5"/>
        <v>113.64112480863746</v>
      </c>
      <c r="P9" s="16">
        <f>'насел.'!P9+пільги!P9+субсидії!P9+'держ.бюджет'!P9+'місц.-районн.бюджет'!P9+областной!P9+інші!P9</f>
        <v>0</v>
      </c>
      <c r="Q9" s="16">
        <f>'насел.'!Q9+пільги!Q9+субсидії!Q9+'держ.бюджет'!Q9+'місц.-районн.бюджет'!Q9+областной!Q9+інші!Q9</f>
        <v>0</v>
      </c>
      <c r="R9" s="10" t="e">
        <f t="shared" si="6"/>
        <v>#DIV/0!</v>
      </c>
      <c r="S9" s="16">
        <f>'насел.'!S9+пільги!S9+субсидії!S9+'держ.бюджет'!S9+'місц.-районн.бюджет'!S9+областной!S9+інші!S9</f>
        <v>0</v>
      </c>
      <c r="T9" s="16">
        <f>'насел.'!T9+пільги!T9+субсидії!T9+'держ.бюджет'!T9+'місц.-районн.бюджет'!T9+областной!T9+інші!T9</f>
        <v>0</v>
      </c>
      <c r="U9" s="10" t="e">
        <f t="shared" si="7"/>
        <v>#DIV/0!</v>
      </c>
      <c r="V9" s="16">
        <f>'насел.'!V9+пільги!V9+субсидії!V9+'держ.бюджет'!V9+'місц.-районн.бюджет'!V9+областной!V9+інші!V9</f>
        <v>0</v>
      </c>
      <c r="W9" s="16">
        <f>'насел.'!W9+пільги!W9+субсидії!W9+'держ.бюджет'!W9+'місц.-районн.бюджет'!W9+областной!W9+інші!W9</f>
        <v>0</v>
      </c>
      <c r="X9" s="10" t="e">
        <f t="shared" si="8"/>
        <v>#DIV/0!</v>
      </c>
      <c r="Y9" s="16">
        <f>'насел.'!Y9+пільги!Y9+субсидії!Y9+'держ.бюджет'!Y9+'місц.-районн.бюджет'!Y9+областной!Y9+інші!Y9</f>
        <v>0</v>
      </c>
      <c r="Z9" s="16">
        <f>'насел.'!Z9+пільги!Z9+субсидії!Z9+'держ.бюджет'!Z9+'місц.-районн.бюджет'!Z9+областной!Z9+інші!Z9</f>
        <v>0</v>
      </c>
      <c r="AA9" s="10" t="e">
        <f t="shared" si="3"/>
        <v>#DIV/0!</v>
      </c>
      <c r="AB9" s="16">
        <f>'насел.'!AB9+пільги!AB9+субсидії!AB9+'держ.бюджет'!AB9+'місц.-районн.бюджет'!AB9+областной!AB9+інші!AB9</f>
        <v>0</v>
      </c>
      <c r="AC9" s="16">
        <f>'насел.'!AC9+пільги!AC9+субсидії!AC9+'держ.бюджет'!AC9+'місц.-районн.бюджет'!AC9+областной!AC9+інші!AC9</f>
        <v>0</v>
      </c>
      <c r="AD9" s="10" t="e">
        <f t="shared" si="9"/>
        <v>#DIV/0!</v>
      </c>
      <c r="AE9" s="16">
        <f>'насел.'!AE9+пільги!AE9+субсидії!AE9+'держ.бюджет'!AE9+'місц.-районн.бюджет'!AE9+областной!AE9+інші!AE9</f>
        <v>0</v>
      </c>
      <c r="AF9" s="16">
        <f>'насел.'!AF9+пільги!AF9+субсидії!AF9+'держ.бюджет'!AF9+'місц.-районн.бюджет'!AF9+областной!AF9+інші!AF9</f>
        <v>0</v>
      </c>
      <c r="AG9" s="10" t="e">
        <f t="shared" si="10"/>
        <v>#DIV/0!</v>
      </c>
      <c r="AH9" s="16">
        <f>'насел.'!AH9+пільги!AH9+субсидії!AH9+'держ.бюджет'!AH9+'місц.-районн.бюджет'!AH9+областной!AH9+інші!AH9</f>
        <v>0</v>
      </c>
      <c r="AI9" s="16">
        <f>'насел.'!AI9+пільги!AI9+субсидії!AI9+'держ.бюджет'!AI9+'місц.-районн.бюджет'!AI9+областной!AI9+інші!AI9</f>
        <v>0</v>
      </c>
      <c r="AJ9" s="16">
        <f>'насел.'!AJ9+пільги!AJ9+субсидії!AJ9+'держ.бюджет'!AJ9+'місц.-районн.бюджет'!AJ9+областной!AJ9+інші!AJ9</f>
        <v>0</v>
      </c>
      <c r="AK9" s="16">
        <f>'насел.'!AK9+пільги!AK9+субсидії!AK9+'держ.бюджет'!AK9+'місц.-районн.бюджет'!AK9+областной!AK9+інші!AK9</f>
        <v>0</v>
      </c>
      <c r="AL9" s="16" t="e">
        <f t="shared" si="11"/>
        <v>#DIV/0!</v>
      </c>
      <c r="AM9" s="16">
        <f>'насел.'!AM9+пільги!AM9+субсидії!AM9+'держ.бюджет'!AM9+'місц.-районн.бюджет'!AM9+областной!AM9+інші!AM9</f>
        <v>0</v>
      </c>
      <c r="AN9" s="16">
        <f>'насел.'!AN9+пільги!AN9+субсидії!AN9+'держ.бюджет'!AN9+'місц.-районн.бюджет'!AN9+областной!AN9+інші!AN9</f>
        <v>0</v>
      </c>
      <c r="AO9" s="16">
        <f>'насел.'!AO9+пільги!AO9+субсидії!AO9+'держ.бюджет'!AO9+'місц.-районн.бюджет'!AO9+областной!AO9+інші!AO9</f>
        <v>0</v>
      </c>
      <c r="AP9" s="16">
        <f>'насел.'!AP9+пільги!AP9+субсидії!AP9+'держ.бюджет'!AP9+'місц.-районн.бюджет'!AP9+областной!AP9+інші!AP9</f>
        <v>0</v>
      </c>
      <c r="AQ9" s="16">
        <f>'насел.'!AQ9+пільги!AQ9+субсидії!AQ9+'держ.бюджет'!AQ9+'місц.-районн.бюджет'!AQ9+областной!AQ9+інші!AQ9</f>
        <v>0</v>
      </c>
      <c r="AR9" s="16">
        <f>'насел.'!AR9+пільги!AR9+субсидії!AR9+'держ.бюджет'!AR9+'місц.-районн.бюджет'!AR9+областной!AR9+інші!AR9</f>
        <v>0</v>
      </c>
      <c r="AS9" s="16">
        <f>'насел.'!AS9+пільги!AS9+субсидії!AS9+'держ.бюджет'!AS9+'місц.-районн.бюджет'!AS9+областной!AS9+інші!AS9</f>
        <v>1241.1000000000001</v>
      </c>
      <c r="AT9" s="16">
        <f>'насел.'!AT9+пільги!AT9+субсидії!AT9+'держ.бюджет'!AT9+'місц.-районн.бюджет'!AT9+областной!AT9+інші!AT9</f>
        <v>1410.3999999999996</v>
      </c>
      <c r="AU9" s="10">
        <f t="shared" si="4"/>
        <v>113.64112480863746</v>
      </c>
      <c r="AV9" s="16">
        <f>'насел.'!AV9+пільги!AV9+субсидії!AV9+'держ.бюджет'!AV9+'місц.-районн.бюджет'!AV9+областной!AV9+інші!AV9</f>
        <v>-169.2999999999999</v>
      </c>
      <c r="AW9" s="104">
        <f>'насел.'!AW9+пільги!AW9+субсидії!AW9+'держ.бюджет'!AW9+'місц.-районн.бюджет'!AW9+областной!AW9+інші!AW9</f>
        <v>58.70000000000019</v>
      </c>
      <c r="AX9" s="40">
        <f t="shared" si="12"/>
        <v>1241.1</v>
      </c>
      <c r="AY9" s="40">
        <f t="shared" si="13"/>
        <v>1410.4</v>
      </c>
      <c r="AZ9" s="40">
        <f t="shared" si="14"/>
        <v>-169.30000000000018</v>
      </c>
      <c r="BA9" s="40">
        <f t="shared" si="15"/>
        <v>58.69999999999982</v>
      </c>
    </row>
    <row r="10" spans="1:53" s="113" customFormat="1" ht="34.5" customHeight="1">
      <c r="A10" s="152" t="s">
        <v>7</v>
      </c>
      <c r="B10" s="62" t="s">
        <v>95</v>
      </c>
      <c r="C10" s="16">
        <f>'насел.'!C10+пільги!C10+субсидії!C10+'держ.бюджет'!C10+'місц.-районн.бюджет'!C10+областной!C10+інші!C10</f>
        <v>21.6</v>
      </c>
      <c r="D10" s="16">
        <f>'насел.'!D10+пільги!D10+субсидії!D10+'держ.бюджет'!D10+'місц.-районн.бюджет'!D10+областной!D10+інші!D10</f>
        <v>434.9</v>
      </c>
      <c r="E10" s="16">
        <f>'насел.'!E10+пільги!E10+субсидії!E10+'держ.бюджет'!E10+'місц.-районн.бюджет'!E10+областной!E10+інші!E10</f>
        <v>333.7</v>
      </c>
      <c r="F10" s="10">
        <f t="shared" si="0"/>
        <v>76.73028282363762</v>
      </c>
      <c r="G10" s="16">
        <f>'насел.'!G10+пільги!G10+субсидії!G10+'держ.бюджет'!G10+'місц.-районн.бюджет'!G10+областной!G10+інші!G10</f>
        <v>434.79999999999995</v>
      </c>
      <c r="H10" s="16">
        <f>'насел.'!H10+пільги!H10+субсидії!H10+'держ.бюджет'!H10+'місц.-районн.бюджет'!H10+областной!H10+інші!H10</f>
        <v>651</v>
      </c>
      <c r="I10" s="10">
        <f t="shared" si="1"/>
        <v>149.72401103955843</v>
      </c>
      <c r="J10" s="16">
        <f>'насел.'!J10+пільги!J10+субсидії!J10+'держ.бюджет'!J10+'місц.-районн.бюджет'!J10+областной!J10+інші!J10</f>
        <v>443.79999999999995</v>
      </c>
      <c r="K10" s="16">
        <f>'насел.'!K10+пільги!K10+субсидії!K10+'держ.бюджет'!K10+'місц.-районн.бюджет'!K10+областной!K10+інші!K10</f>
        <v>339.2</v>
      </c>
      <c r="L10" s="10">
        <f t="shared" si="2"/>
        <v>76.43082469580892</v>
      </c>
      <c r="M10" s="10">
        <f>'насел.'!M10+пільги!M10+субсидії!M10+'держ.бюджет'!M10+'місц.-районн.бюджет'!M10+областной!M10+інші!M10</f>
        <v>1313.5</v>
      </c>
      <c r="N10" s="10">
        <f>'насел.'!N10+пільги!N10+субсидії!N10+'держ.бюджет'!N10+'місц.-районн.бюджет'!N10+областной!N10+інші!N10</f>
        <v>1323.8999999999999</v>
      </c>
      <c r="O10" s="10">
        <f t="shared" si="5"/>
        <v>100.79177769318612</v>
      </c>
      <c r="P10" s="16">
        <f>'насел.'!P10+пільги!P10+субсидії!P10+'держ.бюджет'!P10+'місц.-районн.бюджет'!P10+областной!P10+інші!P10</f>
        <v>0</v>
      </c>
      <c r="Q10" s="16">
        <f>'насел.'!Q10+пільги!Q10+субсидії!Q10+'держ.бюджет'!Q10+'місц.-районн.бюджет'!Q10+областной!Q10+інші!Q10</f>
        <v>0</v>
      </c>
      <c r="R10" s="104" t="e">
        <f t="shared" si="6"/>
        <v>#DIV/0!</v>
      </c>
      <c r="S10" s="16">
        <f>'насел.'!S10+пільги!S10+субсидії!S10+'держ.бюджет'!S10+'місц.-районн.бюджет'!S10+областной!S10+інші!S10</f>
        <v>0</v>
      </c>
      <c r="T10" s="16">
        <f>'насел.'!T10+пільги!T10+субсидії!T10+'держ.бюджет'!T10+'місц.-районн.бюджет'!T10+областной!T10+інші!T10</f>
        <v>0</v>
      </c>
      <c r="U10" s="104" t="e">
        <f t="shared" si="7"/>
        <v>#DIV/0!</v>
      </c>
      <c r="V10" s="16">
        <f>'насел.'!V10+пільги!V10+субсидії!V10+'держ.бюджет'!V10+'місц.-районн.бюджет'!V10+областной!V10+інші!V10</f>
        <v>0</v>
      </c>
      <c r="W10" s="16">
        <f>'насел.'!W10+пільги!W10+субсидії!W10+'держ.бюджет'!W10+'місц.-районн.бюджет'!W10+областной!W10+інші!W10</f>
        <v>0</v>
      </c>
      <c r="X10" s="104" t="e">
        <f t="shared" si="8"/>
        <v>#DIV/0!</v>
      </c>
      <c r="Y10" s="16">
        <f>'насел.'!Y10+пільги!Y10+субсидії!Y10+'держ.бюджет'!Y10+'місц.-районн.бюджет'!Y10+областной!Y10+інші!Y10</f>
        <v>0</v>
      </c>
      <c r="Z10" s="16">
        <f>'насел.'!Z10+пільги!Z10+субсидії!Z10+'держ.бюджет'!Z10+'місц.-районн.бюджет'!Z10+областной!Z10+інші!Z10</f>
        <v>0</v>
      </c>
      <c r="AA10" s="10" t="e">
        <f t="shared" si="3"/>
        <v>#DIV/0!</v>
      </c>
      <c r="AB10" s="16">
        <f>'насел.'!AB10+пільги!AB10+субсидії!AB10+'держ.бюджет'!AB10+'місц.-районн.бюджет'!AB10+областной!AB10+інші!AB10</f>
        <v>0</v>
      </c>
      <c r="AC10" s="16">
        <f>'насел.'!AC10+пільги!AC10+субсидії!AC10+'держ.бюджет'!AC10+'місц.-районн.бюджет'!AC10+областной!AC10+інші!AC10</f>
        <v>0</v>
      </c>
      <c r="AD10" s="104" t="e">
        <f t="shared" si="9"/>
        <v>#DIV/0!</v>
      </c>
      <c r="AE10" s="16">
        <f>'насел.'!AE10+пільги!AE10+субсидії!AE10+'держ.бюджет'!AE10+'місц.-районн.бюджет'!AE10+областной!AE10+інші!AE10</f>
        <v>0</v>
      </c>
      <c r="AF10" s="16">
        <f>'насел.'!AF10+пільги!AF10+субсидії!AF10+'держ.бюджет'!AF10+'місц.-районн.бюджет'!AF10+областной!AF10+інші!AF10</f>
        <v>0</v>
      </c>
      <c r="AG10" s="86" t="e">
        <f t="shared" si="10"/>
        <v>#DIV/0!</v>
      </c>
      <c r="AH10" s="16">
        <f>'насел.'!AH10+пільги!AH10+субсидії!AH10+'держ.бюджет'!AH10+'місц.-районн.бюджет'!AH10+областной!AH10+інші!AH10</f>
        <v>0</v>
      </c>
      <c r="AI10" s="16">
        <f>'насел.'!AI10+пільги!AI10+субсидії!AI10+'держ.бюджет'!AI10+'місц.-районн.бюджет'!AI10+областной!AI10+інші!AI10</f>
        <v>0</v>
      </c>
      <c r="AJ10" s="16">
        <f>'насел.'!AJ10+пільги!AJ10+субсидії!AJ10+'держ.бюджет'!AJ10+'місц.-районн.бюджет'!AJ10+областной!AJ10+інші!AJ10</f>
        <v>0</v>
      </c>
      <c r="AK10" s="16">
        <f>'насел.'!AK10+пільги!AK10+субсидії!AK10+'держ.бюджет'!AK10+'місц.-районн.бюджет'!AK10+областной!AK10+інші!AK10</f>
        <v>0</v>
      </c>
      <c r="AL10" s="16" t="e">
        <f t="shared" si="11"/>
        <v>#DIV/0!</v>
      </c>
      <c r="AM10" s="16">
        <f>'насел.'!AM10+пільги!AM10+субсидії!AM10+'держ.бюджет'!AM10+'місц.-районн.бюджет'!AM10+областной!AM10+інші!AM10</f>
        <v>0</v>
      </c>
      <c r="AN10" s="16">
        <f>'насел.'!AN10+пільги!AN10+субсидії!AN10+'держ.бюджет'!AN10+'місц.-районн.бюджет'!AN10+областной!AN10+інші!AN10</f>
        <v>0</v>
      </c>
      <c r="AO10" s="16">
        <f>'насел.'!AO10+пільги!AO10+субсидії!AO10+'держ.бюджет'!AO10+'місц.-районн.бюджет'!AO10+областной!AO10+інші!AO10</f>
        <v>0</v>
      </c>
      <c r="AP10" s="16">
        <f>'насел.'!AP10+пільги!AP10+субсидії!AP10+'держ.бюджет'!AP10+'місц.-районн.бюджет'!AP10+областной!AP10+інші!AP10</f>
        <v>0</v>
      </c>
      <c r="AQ10" s="16">
        <f>'насел.'!AQ10+пільги!AQ10+субсидії!AQ10+'держ.бюджет'!AQ10+'місц.-районн.бюджет'!AQ10+областной!AQ10+інші!AQ10</f>
        <v>0</v>
      </c>
      <c r="AR10" s="16">
        <f>'насел.'!AR10+пільги!AR10+субсидії!AR10+'держ.бюджет'!AR10+'місц.-районн.бюджет'!AR10+областной!AR10+інші!AR10</f>
        <v>0</v>
      </c>
      <c r="AS10" s="16">
        <f>'насел.'!AS10+пільги!AS10+субсидії!AS10+'держ.бюджет'!AS10+'місц.-районн.бюджет'!AS10+областной!AS10+інші!AS10</f>
        <v>1313.5</v>
      </c>
      <c r="AT10" s="16">
        <f>'насел.'!AT10+пільги!AT10+субсидії!AT10+'держ.бюджет'!AT10+'місц.-районн.бюджет'!AT10+областной!AT10+інші!AT10</f>
        <v>1323.8999999999999</v>
      </c>
      <c r="AU10" s="10">
        <f t="shared" si="4"/>
        <v>100.79177769318612</v>
      </c>
      <c r="AV10" s="16">
        <f>'насел.'!AV10+пільги!AV10+субсидії!AV10+'держ.бюджет'!AV10+'місц.-районн.бюджет'!AV10+областной!AV10+інші!AV10</f>
        <v>-10.4</v>
      </c>
      <c r="AW10" s="104">
        <f>'насел.'!AW10+пільги!AW10+субсидії!AW10+'держ.бюджет'!AW10+'місц.-районн.бюджет'!AW10+областной!AW10+інші!AW10</f>
        <v>11.200000000000012</v>
      </c>
      <c r="AX10" s="40">
        <f t="shared" si="12"/>
        <v>1313.5</v>
      </c>
      <c r="AY10" s="40">
        <f t="shared" si="13"/>
        <v>1323.9</v>
      </c>
      <c r="AZ10" s="40">
        <f t="shared" si="14"/>
        <v>-10.400000000000091</v>
      </c>
      <c r="BA10" s="40">
        <f t="shared" si="15"/>
        <v>11.199999999999818</v>
      </c>
    </row>
    <row r="11" spans="1:53" ht="34.5" customHeight="1">
      <c r="A11" s="12" t="s">
        <v>8</v>
      </c>
      <c r="B11" s="58" t="s">
        <v>50</v>
      </c>
      <c r="C11" s="16">
        <f>'насел.'!C11+пільги!C11+субсидії!C11+'держ.бюджет'!C11+'місц.-районн.бюджет'!C11+областной!C11+інші!C11</f>
        <v>-228.29999999999998</v>
      </c>
      <c r="D11" s="16">
        <f>'насел.'!D11+пільги!D11+субсидії!D11+'держ.бюджет'!D11+'місц.-районн.бюджет'!D11+областной!D11+інші!D11</f>
        <v>786.1</v>
      </c>
      <c r="E11" s="16">
        <f>'насел.'!E11+пільги!E11+субсидії!E11+'держ.бюджет'!E11+'місц.-районн.бюджет'!E11+областной!E11+інші!E11</f>
        <v>817.9000000000001</v>
      </c>
      <c r="F11" s="10">
        <f t="shared" si="0"/>
        <v>104.04528685917822</v>
      </c>
      <c r="G11" s="16">
        <f>'насел.'!G11+пільги!G11+субсидії!G11+'держ.бюджет'!G11+'місц.-районн.бюджет'!G11+областной!G11+інші!G11</f>
        <v>578.6999999999999</v>
      </c>
      <c r="H11" s="16">
        <f>'насел.'!H11+пільги!H11+субсидії!H11+'держ.бюджет'!H11+'місц.-районн.бюджет'!H11+областной!H11+інші!H11</f>
        <v>563.1999999999999</v>
      </c>
      <c r="I11" s="10">
        <f t="shared" si="1"/>
        <v>97.3215828581303</v>
      </c>
      <c r="J11" s="16">
        <f>'насел.'!J11+пільги!J11+субсидії!J11+'держ.бюджет'!J11+'місц.-районн.бюджет'!J11+областной!J11+інші!J11</f>
        <v>547.4</v>
      </c>
      <c r="K11" s="16">
        <f>'насел.'!K11+пільги!K11+субсидії!K11+'держ.бюджет'!K11+'місц.-районн.бюджет'!K11+областной!K11+інші!K11</f>
        <v>488.9</v>
      </c>
      <c r="L11" s="10">
        <f t="shared" si="2"/>
        <v>89.3131165509682</v>
      </c>
      <c r="M11" s="10">
        <f>'насел.'!M11+пільги!M11+субсидії!M11+'держ.бюджет'!M11+'місц.-районн.бюджет'!M11+областной!M11+інші!M11</f>
        <v>1912.2000000000003</v>
      </c>
      <c r="N11" s="10">
        <f>'насел.'!N11+пільги!N11+субсидії!N11+'держ.бюджет'!N11+'місц.-районн.бюджет'!N11+областной!N11+інші!N11</f>
        <v>1870</v>
      </c>
      <c r="O11" s="10">
        <f t="shared" si="5"/>
        <v>97.79311787469929</v>
      </c>
      <c r="P11" s="16">
        <f>'насел.'!P11+пільги!P11+субсидії!P11+'держ.бюджет'!P11+'місц.-районн.бюджет'!P11+областной!P11+інші!P11</f>
        <v>0</v>
      </c>
      <c r="Q11" s="16">
        <f>'насел.'!Q11+пільги!Q11+субсидії!Q11+'держ.бюджет'!Q11+'місц.-районн.бюджет'!Q11+областной!Q11+інші!Q11</f>
        <v>0</v>
      </c>
      <c r="R11" s="10" t="e">
        <f t="shared" si="6"/>
        <v>#DIV/0!</v>
      </c>
      <c r="S11" s="16">
        <f>'насел.'!S11+пільги!S11+субсидії!S11+'держ.бюджет'!S11+'місц.-районн.бюджет'!S11+областной!S11+інші!S11</f>
        <v>0</v>
      </c>
      <c r="T11" s="16">
        <f>'насел.'!T11+пільги!T11+субсидії!T11+'держ.бюджет'!T11+'місц.-районн.бюджет'!T11+областной!T11+інші!T11</f>
        <v>0</v>
      </c>
      <c r="U11" s="10" t="e">
        <f t="shared" si="7"/>
        <v>#DIV/0!</v>
      </c>
      <c r="V11" s="16">
        <f>'насел.'!V11+пільги!V11+субсидії!V11+'держ.бюджет'!V11+'місц.-районн.бюджет'!V11+областной!V11+інші!V11</f>
        <v>0</v>
      </c>
      <c r="W11" s="16">
        <f>'насел.'!W11+пільги!W11+субсидії!W11+'держ.бюджет'!W11+'місц.-районн.бюджет'!W11+областной!W11+інші!W11</f>
        <v>0</v>
      </c>
      <c r="X11" s="10" t="e">
        <f t="shared" si="8"/>
        <v>#DIV/0!</v>
      </c>
      <c r="Y11" s="16">
        <f>'насел.'!Y11+пільги!Y11+субсидії!Y11+'держ.бюджет'!Y11+'місц.-районн.бюджет'!Y11+областной!Y11+інші!Y11</f>
        <v>0</v>
      </c>
      <c r="Z11" s="16">
        <f>'насел.'!Z11+пільги!Z11+субсидії!Z11+'держ.бюджет'!Z11+'місц.-районн.бюджет'!Z11+областной!Z11+інші!Z11</f>
        <v>0</v>
      </c>
      <c r="AA11" s="10" t="e">
        <f t="shared" si="3"/>
        <v>#DIV/0!</v>
      </c>
      <c r="AB11" s="16">
        <f>'насел.'!AB11+пільги!AB11+субсидії!AB11+'держ.бюджет'!AB11+'місц.-районн.бюджет'!AB11+областной!AB11+інші!AB11</f>
        <v>0</v>
      </c>
      <c r="AC11" s="16">
        <f>'насел.'!AC11+пільги!AC11+субсидії!AC11+'держ.бюджет'!AC11+'місц.-районн.бюджет'!AC11+областной!AC11+інші!AC11</f>
        <v>0</v>
      </c>
      <c r="AD11" s="10" t="e">
        <f t="shared" si="9"/>
        <v>#DIV/0!</v>
      </c>
      <c r="AE11" s="16">
        <f>'насел.'!AE11+пільги!AE11+субсидії!AE11+'держ.бюджет'!AE11+'місц.-районн.бюджет'!AE11+областной!AE11+інші!AE11</f>
        <v>0</v>
      </c>
      <c r="AF11" s="16">
        <f>'насел.'!AF11+пільги!AF11+субсидії!AF11+'держ.бюджет'!AF11+'місц.-районн.бюджет'!AF11+областной!AF11+інші!AF11</f>
        <v>0</v>
      </c>
      <c r="AG11" s="10" t="e">
        <f t="shared" si="10"/>
        <v>#DIV/0!</v>
      </c>
      <c r="AH11" s="16">
        <f>'насел.'!AH11+пільги!AH11+субсидії!AH11+'держ.бюджет'!AH11+'місц.-районн.бюджет'!AH11+областной!AH11+інші!AH11</f>
        <v>0</v>
      </c>
      <c r="AI11" s="16">
        <f>'насел.'!AI11+пільги!AI11+субсидії!AI11+'держ.бюджет'!AI11+'місц.-районн.бюджет'!AI11+областной!AI11+інші!AI11</f>
        <v>0</v>
      </c>
      <c r="AJ11" s="16">
        <f>'насел.'!AJ11+пільги!AJ11+субсидії!AJ11+'держ.бюджет'!AJ11+'місц.-районн.бюджет'!AJ11+областной!AJ11+інші!AJ11</f>
        <v>0</v>
      </c>
      <c r="AK11" s="16">
        <f>'насел.'!AK11+пільги!AK11+субсидії!AK11+'держ.бюджет'!AK11+'місц.-районн.бюджет'!AK11+областной!AK11+інші!AK11</f>
        <v>0</v>
      </c>
      <c r="AL11" s="16" t="e">
        <f t="shared" si="11"/>
        <v>#DIV/0!</v>
      </c>
      <c r="AM11" s="16">
        <f>'насел.'!AM11+пільги!AM11+субсидії!AM11+'держ.бюджет'!AM11+'місц.-районн.бюджет'!AM11+областной!AM11+інші!AM11</f>
        <v>0</v>
      </c>
      <c r="AN11" s="16">
        <f>'насел.'!AN11+пільги!AN11+субсидії!AN11+'держ.бюджет'!AN11+'місц.-районн.бюджет'!AN11+областной!AN11+інші!AN11</f>
        <v>0</v>
      </c>
      <c r="AO11" s="16">
        <f>'насел.'!AO11+пільги!AO11+субсидії!AO11+'держ.бюджет'!AO11+'місц.-районн.бюджет'!AO11+областной!AO11+інші!AO11</f>
        <v>0</v>
      </c>
      <c r="AP11" s="16">
        <f>'насел.'!AP11+пільги!AP11+субсидії!AP11+'держ.бюджет'!AP11+'місц.-районн.бюджет'!AP11+областной!AP11+інші!AP11</f>
        <v>0</v>
      </c>
      <c r="AQ11" s="16">
        <f>'насел.'!AQ11+пільги!AQ11+субсидії!AQ11+'держ.бюджет'!AQ11+'місц.-районн.бюджет'!AQ11+областной!AQ11+інші!AQ11</f>
        <v>0</v>
      </c>
      <c r="AR11" s="16">
        <f>'насел.'!AR11+пільги!AR11+субсидії!AR11+'держ.бюджет'!AR11+'місц.-районн.бюджет'!AR11+областной!AR11+інші!AR11</f>
        <v>0</v>
      </c>
      <c r="AS11" s="16">
        <f>'насел.'!AS11+пільги!AS11+субсидії!AS11+'держ.бюджет'!AS11+'місц.-районн.бюджет'!AS11+областной!AS11+інші!AS11</f>
        <v>1912.2000000000003</v>
      </c>
      <c r="AT11" s="16">
        <f>'насел.'!AT11+пільги!AT11+субсидії!AT11+'держ.бюджет'!AT11+'місц.-районн.бюджет'!AT11+областной!AT11+інші!AT11</f>
        <v>1870</v>
      </c>
      <c r="AU11" s="10">
        <f t="shared" si="4"/>
        <v>97.79311787469929</v>
      </c>
      <c r="AV11" s="16">
        <f>'насел.'!AV11+пільги!AV11+субсидії!AV11+'держ.бюджет'!AV11+'місц.-районн.бюджет'!AV11+областной!AV11+інші!AV11</f>
        <v>42.20000000000003</v>
      </c>
      <c r="AW11" s="104">
        <f>'насел.'!AW11+пільги!AW11+субсидії!AW11+'держ.бюджет'!AW11+'місц.-районн.бюджет'!AW11+областной!AW11+інші!AW11</f>
        <v>-186.09999999999988</v>
      </c>
      <c r="AX11" s="40">
        <f t="shared" si="12"/>
        <v>1912.1999999999998</v>
      </c>
      <c r="AY11" s="40">
        <f t="shared" si="13"/>
        <v>1870</v>
      </c>
      <c r="AZ11" s="40">
        <f t="shared" si="14"/>
        <v>42.19999999999982</v>
      </c>
      <c r="BA11" s="40">
        <f t="shared" si="15"/>
        <v>-186.10000000000014</v>
      </c>
    </row>
    <row r="12" spans="1:53" s="113" customFormat="1" ht="34.5" customHeight="1">
      <c r="A12" s="152" t="s">
        <v>9</v>
      </c>
      <c r="B12" s="58" t="s">
        <v>51</v>
      </c>
      <c r="C12" s="16">
        <f>'насел.'!C12+пільги!C12+субсидії!C12+'держ.бюджет'!C12+'місц.-районн.бюджет'!C12+областной!C12+інші!C12</f>
        <v>-51.7</v>
      </c>
      <c r="D12" s="16">
        <f>'насел.'!D12+пільги!D12+субсидії!D12+'держ.бюджет'!D12+'місц.-районн.бюджет'!D12+областной!D12+інші!D12</f>
        <v>324.5</v>
      </c>
      <c r="E12" s="16">
        <f>'насел.'!E12+пільги!E12+субсидії!E12+'держ.бюджет'!E12+'місц.-районн.бюджет'!E12+областной!E12+інші!E12</f>
        <v>198.60000000000002</v>
      </c>
      <c r="F12" s="10">
        <f t="shared" si="0"/>
        <v>61.20184899845918</v>
      </c>
      <c r="G12" s="16">
        <f>'насел.'!G12+пільги!G12+субсидії!G12+'держ.бюджет'!G12+'місц.-районн.бюджет'!G12+областной!G12+інші!G12</f>
        <v>406.69999999999993</v>
      </c>
      <c r="H12" s="16">
        <f>'насел.'!H12+пільги!H12+субсидії!H12+'держ.бюджет'!H12+'місц.-районн.бюджет'!H12+областной!H12+інші!H12</f>
        <v>418.20000000000005</v>
      </c>
      <c r="I12" s="10">
        <f t="shared" si="1"/>
        <v>102.82763707892799</v>
      </c>
      <c r="J12" s="16">
        <f>'насел.'!J12+пільги!J12+субсидії!J12+'держ.бюджет'!J12+'місц.-районн.бюджет'!J12+областной!J12+інші!J12</f>
        <v>367.3</v>
      </c>
      <c r="K12" s="16">
        <f>'насел.'!K12+пільги!K12+субсидії!K12+'держ.бюджет'!K12+'місц.-районн.бюджет'!K12+областной!K12+інші!K12</f>
        <v>315.79999999999995</v>
      </c>
      <c r="L12" s="61">
        <f t="shared" si="2"/>
        <v>85.97876395317178</v>
      </c>
      <c r="M12" s="10">
        <f>'насел.'!M12+пільги!M12+субсидії!M12+'держ.бюджет'!M12+'місц.-районн.бюджет'!M12+областной!M12+інші!M12</f>
        <v>1098.5</v>
      </c>
      <c r="N12" s="10">
        <f>'насел.'!N12+пільги!N12+субсидії!N12+'держ.бюджет'!N12+'місц.-районн.бюджет'!N12+областной!N12+інші!N12</f>
        <v>932.6</v>
      </c>
      <c r="O12" s="10">
        <f t="shared" si="5"/>
        <v>84.8975876194811</v>
      </c>
      <c r="P12" s="16">
        <f>'насел.'!P12+пільги!P12+субсидії!P12+'держ.бюджет'!P12+'місц.-районн.бюджет'!P12+областной!P12+інші!P12</f>
        <v>0</v>
      </c>
      <c r="Q12" s="16">
        <f>'насел.'!Q12+пільги!Q12+субсидії!Q12+'держ.бюджет'!Q12+'місц.-районн.бюджет'!Q12+областной!Q12+інші!Q12</f>
        <v>0</v>
      </c>
      <c r="R12" s="53" t="e">
        <f t="shared" si="6"/>
        <v>#DIV/0!</v>
      </c>
      <c r="S12" s="16">
        <f>'насел.'!S12+пільги!S12+субсидії!S12+'держ.бюджет'!S12+'місц.-районн.бюджет'!S12+областной!S12+інші!S12</f>
        <v>0</v>
      </c>
      <c r="T12" s="16">
        <f>'насел.'!T12+пільги!T12+субсидії!T12+'держ.бюджет'!T12+'місц.-районн.бюджет'!T12+областной!T12+інші!T12</f>
        <v>0</v>
      </c>
      <c r="U12" s="53" t="e">
        <f t="shared" si="7"/>
        <v>#DIV/0!</v>
      </c>
      <c r="V12" s="16">
        <f>'насел.'!V12+пільги!V12+субсидії!V12+'держ.бюджет'!V12+'місц.-районн.бюджет'!V12+областной!V12+інші!V12</f>
        <v>0</v>
      </c>
      <c r="W12" s="16">
        <f>'насел.'!W12+пільги!W12+субсидії!W12+'держ.бюджет'!W12+'місц.-районн.бюджет'!W12+областной!W12+інші!W12</f>
        <v>0</v>
      </c>
      <c r="X12" s="53" t="e">
        <f t="shared" si="8"/>
        <v>#DIV/0!</v>
      </c>
      <c r="Y12" s="16">
        <f>'насел.'!Y12+пільги!Y12+субсидії!Y12+'держ.бюджет'!Y12+'місц.-районн.бюджет'!Y12+областной!Y12+інші!Y12</f>
        <v>0</v>
      </c>
      <c r="Z12" s="16">
        <f>'насел.'!Z12+пільги!Z12+субсидії!Z12+'держ.бюджет'!Z12+'місц.-районн.бюджет'!Z12+областной!Z12+інші!Z12</f>
        <v>0</v>
      </c>
      <c r="AA12" s="10" t="e">
        <f t="shared" si="3"/>
        <v>#DIV/0!</v>
      </c>
      <c r="AB12" s="16">
        <f>'насел.'!AB12+пільги!AB12+субсидії!AB12+'держ.бюджет'!AB12+'місц.-районн.бюджет'!AB12+областной!AB12+інші!AB12</f>
        <v>0</v>
      </c>
      <c r="AC12" s="16">
        <f>'насел.'!AC12+пільги!AC12+субсидії!AC12+'держ.бюджет'!AC12+'місц.-районн.бюджет'!AC12+областной!AC12+інші!AC12</f>
        <v>0</v>
      </c>
      <c r="AD12" s="53" t="e">
        <f t="shared" si="9"/>
        <v>#DIV/0!</v>
      </c>
      <c r="AE12" s="16">
        <f>'насел.'!AE12+пільги!AE12+субсидії!AE12+'держ.бюджет'!AE12+'місц.-районн.бюджет'!AE12+областной!AE12+інші!AE12</f>
        <v>0</v>
      </c>
      <c r="AF12" s="16">
        <f>'насел.'!AF12+пільги!AF12+субсидії!AF12+'держ.бюджет'!AF12+'місц.-районн.бюджет'!AF12+областной!AF12+інші!AF12</f>
        <v>0</v>
      </c>
      <c r="AG12" s="53" t="e">
        <f t="shared" si="10"/>
        <v>#DIV/0!</v>
      </c>
      <c r="AH12" s="16">
        <f>'насел.'!AH12+пільги!AH12+субсидії!AH12+'держ.бюджет'!AH12+'місц.-районн.бюджет'!AH12+областной!AH12+інші!AH12</f>
        <v>0</v>
      </c>
      <c r="AI12" s="16">
        <f>'насел.'!AI12+пільги!AI12+субсидії!AI12+'держ.бюджет'!AI12+'місц.-районн.бюджет'!AI12+областной!AI12+інші!AI12</f>
        <v>0</v>
      </c>
      <c r="AJ12" s="16">
        <f>'насел.'!AJ12+пільги!AJ12+субсидії!AJ12+'держ.бюджет'!AJ12+'місц.-районн.бюджет'!AJ12+областной!AJ12+інші!AJ12</f>
        <v>0</v>
      </c>
      <c r="AK12" s="16">
        <f>'насел.'!AK12+пільги!AK12+субсидії!AK12+'держ.бюджет'!AK12+'місц.-районн.бюджет'!AK12+областной!AK12+інші!AK12</f>
        <v>0</v>
      </c>
      <c r="AL12" s="16" t="e">
        <f t="shared" si="11"/>
        <v>#DIV/0!</v>
      </c>
      <c r="AM12" s="16">
        <f>'насел.'!AM12+пільги!AM12+субсидії!AM12+'держ.бюджет'!AM12+'місц.-районн.бюджет'!AM12+областной!AM12+інші!AM12</f>
        <v>0</v>
      </c>
      <c r="AN12" s="16">
        <f>'насел.'!AN12+пільги!AN12+субсидії!AN12+'держ.бюджет'!AN12+'місц.-районн.бюджет'!AN12+областной!AN12+інші!AN12</f>
        <v>0</v>
      </c>
      <c r="AO12" s="16">
        <f>'насел.'!AO12+пільги!AO12+субсидії!AO12+'держ.бюджет'!AO12+'місц.-районн.бюджет'!AO12+областной!AO12+інші!AO12</f>
        <v>0</v>
      </c>
      <c r="AP12" s="16">
        <f>'насел.'!AP12+пільги!AP12+субсидії!AP12+'держ.бюджет'!AP12+'місц.-районн.бюджет'!AP12+областной!AP12+інші!AP12</f>
        <v>0</v>
      </c>
      <c r="AQ12" s="16">
        <f>'насел.'!AQ12+пільги!AQ12+субсидії!AQ12+'держ.бюджет'!AQ12+'місц.-районн.бюджет'!AQ12+областной!AQ12+інші!AQ12</f>
        <v>0</v>
      </c>
      <c r="AR12" s="16">
        <f>'насел.'!AR12+пільги!AR12+субсидії!AR12+'держ.бюджет'!AR12+'місц.-районн.бюджет'!AR12+областной!AR12+інші!AR12</f>
        <v>0</v>
      </c>
      <c r="AS12" s="16">
        <f>'насел.'!AS12+пільги!AS12+субсидії!AS12+'держ.бюджет'!AS12+'місц.-районн.бюджет'!AS12+областной!AS12+інші!AS12</f>
        <v>1098.5</v>
      </c>
      <c r="AT12" s="16">
        <f>'насел.'!AT12+пільги!AT12+субсидії!AT12+'держ.бюджет'!AT12+'місц.-районн.бюджет'!AT12+областной!AT12+інші!AT12</f>
        <v>932.6</v>
      </c>
      <c r="AU12" s="10">
        <f t="shared" si="4"/>
        <v>84.8975876194811</v>
      </c>
      <c r="AV12" s="16">
        <f>'насел.'!AV12+пільги!AV12+субсидії!AV12+'держ.бюджет'!AV12+'місц.-районн.бюджет'!AV12+областной!AV12+інші!AV12</f>
        <v>165.89999999999998</v>
      </c>
      <c r="AW12" s="104">
        <f>'насел.'!AW12+пільги!AW12+субсидії!AW12+'держ.бюджет'!AW12+'місц.-районн.бюджет'!AW12+областной!AW12+інші!AW12</f>
        <v>114.19999999999995</v>
      </c>
      <c r="AX12" s="40">
        <f t="shared" si="12"/>
        <v>1098.5</v>
      </c>
      <c r="AY12" s="40">
        <f t="shared" si="13"/>
        <v>932.6</v>
      </c>
      <c r="AZ12" s="40">
        <f t="shared" si="14"/>
        <v>165.89999999999998</v>
      </c>
      <c r="BA12" s="40">
        <f t="shared" si="15"/>
        <v>114.19999999999993</v>
      </c>
    </row>
    <row r="13" spans="1:53" ht="34.5" customHeight="1">
      <c r="A13" s="12" t="s">
        <v>10</v>
      </c>
      <c r="B13" s="58" t="s">
        <v>52</v>
      </c>
      <c r="C13" s="16">
        <f>'насел.'!C13+пільги!C13+субсидії!C13+'держ.бюджет'!C13+'місц.-районн.бюджет'!C13+областной!C13+інші!C13</f>
        <v>-418.4</v>
      </c>
      <c r="D13" s="16">
        <f>'насел.'!D13+пільги!D13+субсидії!D13+'держ.бюджет'!D13+'місц.-районн.бюджет'!D13+областной!D13+інші!D13</f>
        <v>544.7</v>
      </c>
      <c r="E13" s="16">
        <f>'насел.'!E13+пільги!E13+субсидії!E13+'держ.бюджет'!E13+'місц.-районн.бюджет'!E13+областной!E13+інші!E13</f>
        <v>592.5</v>
      </c>
      <c r="F13" s="10">
        <f t="shared" si="0"/>
        <v>108.77547273728656</v>
      </c>
      <c r="G13" s="16">
        <f>'насел.'!G13+пільги!G13+субсидії!G13+'держ.бюджет'!G13+'місц.-районн.бюджет'!G13+областной!G13+інші!G13</f>
        <v>513.6</v>
      </c>
      <c r="H13" s="16">
        <f>'насел.'!H13+пільги!H13+субсидії!H13+'держ.бюджет'!H13+'місц.-районн.бюджет'!H13+областной!H13+інші!H13</f>
        <v>486.09999999999997</v>
      </c>
      <c r="I13" s="10">
        <f t="shared" si="1"/>
        <v>94.64563862928348</v>
      </c>
      <c r="J13" s="16">
        <f>'насел.'!J13+пільги!J13+субсидії!J13+'держ.бюджет'!J13+'місц.-районн.бюджет'!J13+областной!J13+інші!J13</f>
        <v>532.7</v>
      </c>
      <c r="K13" s="16">
        <f>'насел.'!K13+пільги!K13+субсидії!K13+'держ.бюджет'!K13+'місц.-районн.бюджет'!K13+областной!K13+інші!K13</f>
        <v>496.20000000000005</v>
      </c>
      <c r="L13" s="10">
        <f t="shared" si="2"/>
        <v>93.14811338464428</v>
      </c>
      <c r="M13" s="10">
        <f>'насел.'!M13+пільги!M13+субсидії!M13+'держ.бюджет'!M13+'місц.-районн.бюджет'!M13+областной!M13+інші!M13</f>
        <v>1591</v>
      </c>
      <c r="N13" s="10">
        <f>'насел.'!N13+пільги!N13+субсидії!N13+'держ.бюджет'!N13+'місц.-районн.бюджет'!N13+областной!N13+інші!N13</f>
        <v>1574.8</v>
      </c>
      <c r="O13" s="10">
        <f t="shared" si="5"/>
        <v>98.98177247014456</v>
      </c>
      <c r="P13" s="16">
        <f>'насел.'!P13+пільги!P13+субсидії!P13+'держ.бюджет'!P13+'місц.-районн.бюджет'!P13+областной!P13+інші!P13</f>
        <v>0</v>
      </c>
      <c r="Q13" s="16">
        <f>'насел.'!Q13+пільги!Q13+субсидії!Q13+'держ.бюджет'!Q13+'місц.-районн.бюджет'!Q13+областной!Q13+інші!Q13</f>
        <v>0</v>
      </c>
      <c r="R13" s="10" t="e">
        <f t="shared" si="6"/>
        <v>#DIV/0!</v>
      </c>
      <c r="S13" s="16">
        <f>'насел.'!S13+пільги!S13+субсидії!S13+'держ.бюджет'!S13+'місц.-районн.бюджет'!S13+областной!S13+інші!S13</f>
        <v>0</v>
      </c>
      <c r="T13" s="16">
        <f>'насел.'!T13+пільги!T13+субсидії!T13+'держ.бюджет'!T13+'місц.-районн.бюджет'!T13+областной!T13+інші!T13</f>
        <v>0</v>
      </c>
      <c r="U13" s="10" t="e">
        <f t="shared" si="7"/>
        <v>#DIV/0!</v>
      </c>
      <c r="V13" s="16">
        <f>'насел.'!V13+пільги!V13+субсидії!V13+'держ.бюджет'!V13+'місц.-районн.бюджет'!V13+областной!V13+інші!V13</f>
        <v>0</v>
      </c>
      <c r="W13" s="16">
        <f>'насел.'!W13+пільги!W13+субсидії!W13+'держ.бюджет'!W13+'місц.-районн.бюджет'!W13+областной!W13+інші!W13</f>
        <v>0</v>
      </c>
      <c r="X13" s="10" t="e">
        <f t="shared" si="8"/>
        <v>#DIV/0!</v>
      </c>
      <c r="Y13" s="16">
        <f>'насел.'!Y13+пільги!Y13+субсидії!Y13+'держ.бюджет'!Y13+'місц.-районн.бюджет'!Y13+областной!Y13+інші!Y13</f>
        <v>0</v>
      </c>
      <c r="Z13" s="16">
        <f>'насел.'!Z13+пільги!Z13+субсидії!Z13+'держ.бюджет'!Z13+'місц.-районн.бюджет'!Z13+областной!Z13+інші!Z13</f>
        <v>0</v>
      </c>
      <c r="AA13" s="10" t="e">
        <f t="shared" si="3"/>
        <v>#DIV/0!</v>
      </c>
      <c r="AB13" s="16">
        <f>'насел.'!AB13+пільги!AB13+субсидії!AB13+'держ.бюджет'!AB13+'місц.-районн.бюджет'!AB13+областной!AB13+інші!AB13</f>
        <v>0</v>
      </c>
      <c r="AC13" s="16">
        <f>'насел.'!AC13+пільги!AC13+субсидії!AC13+'держ.бюджет'!AC13+'місц.-районн.бюджет'!AC13+областной!AC13+інші!AC13</f>
        <v>0</v>
      </c>
      <c r="AD13" s="10" t="e">
        <f t="shared" si="9"/>
        <v>#DIV/0!</v>
      </c>
      <c r="AE13" s="16">
        <f>'насел.'!AE13+пільги!AE13+субсидії!AE13+'держ.бюджет'!AE13+'місц.-районн.бюджет'!AE13+областной!AE13+інші!AE13</f>
        <v>0</v>
      </c>
      <c r="AF13" s="16">
        <f>'насел.'!AF13+пільги!AF13+субсидії!AF13+'держ.бюджет'!AF13+'місц.-районн.бюджет'!AF13+областной!AF13+інші!AF13</f>
        <v>0</v>
      </c>
      <c r="AG13" s="10" t="e">
        <f t="shared" si="10"/>
        <v>#DIV/0!</v>
      </c>
      <c r="AH13" s="16">
        <f>'насел.'!AH13+пільги!AH13+субсидії!AH13+'держ.бюджет'!AH13+'місц.-районн.бюджет'!AH13+областной!AH13+інші!AH13</f>
        <v>0</v>
      </c>
      <c r="AI13" s="16">
        <f>'насел.'!AI13+пільги!AI13+субсидії!AI13+'держ.бюджет'!AI13+'місц.-районн.бюджет'!AI13+областной!AI13+інші!AI13</f>
        <v>0</v>
      </c>
      <c r="AJ13" s="16">
        <f>'насел.'!AJ13+пільги!AJ13+субсидії!AJ13+'держ.бюджет'!AJ13+'місц.-районн.бюджет'!AJ13+областной!AJ13+інші!AJ13</f>
        <v>0</v>
      </c>
      <c r="AK13" s="16">
        <f>'насел.'!AK13+пільги!AK13+субсидії!AK13+'держ.бюджет'!AK13+'місц.-районн.бюджет'!AK13+областной!AK13+інші!AK13</f>
        <v>0</v>
      </c>
      <c r="AL13" s="16" t="e">
        <f t="shared" si="11"/>
        <v>#DIV/0!</v>
      </c>
      <c r="AM13" s="16">
        <f>'насел.'!AM13+пільги!AM13+субсидії!AM13+'держ.бюджет'!AM13+'місц.-районн.бюджет'!AM13+областной!AM13+інші!AM13</f>
        <v>0</v>
      </c>
      <c r="AN13" s="16">
        <f>'насел.'!AN13+пільги!AN13+субсидії!AN13+'держ.бюджет'!AN13+'місц.-районн.бюджет'!AN13+областной!AN13+інші!AN13</f>
        <v>0</v>
      </c>
      <c r="AO13" s="16">
        <f>'насел.'!AO13+пільги!AO13+субсидії!AO13+'держ.бюджет'!AO13+'місц.-районн.бюджет'!AO13+областной!AO13+інші!AO13</f>
        <v>0</v>
      </c>
      <c r="AP13" s="16">
        <f>'насел.'!AP13+пільги!AP13+субсидії!AP13+'держ.бюджет'!AP13+'місц.-районн.бюджет'!AP13+областной!AP13+інші!AP13</f>
        <v>0</v>
      </c>
      <c r="AQ13" s="16">
        <f>'насел.'!AQ13+пільги!AQ13+субсидії!AQ13+'держ.бюджет'!AQ13+'місц.-районн.бюджет'!AQ13+областной!AQ13+інші!AQ13</f>
        <v>0</v>
      </c>
      <c r="AR13" s="16">
        <f>'насел.'!AR13+пільги!AR13+субсидії!AR13+'держ.бюджет'!AR13+'місц.-районн.бюджет'!AR13+областной!AR13+інші!AR13</f>
        <v>0</v>
      </c>
      <c r="AS13" s="16">
        <f>'насел.'!AS13+пільги!AS13+субсидії!AS13+'держ.бюджет'!AS13+'місц.-районн.бюджет'!AS13+областной!AS13+інші!AS13</f>
        <v>1591</v>
      </c>
      <c r="AT13" s="16">
        <f>'насел.'!AT13+пільги!AT13+субсидії!AT13+'держ.бюджет'!AT13+'місц.-районн.бюджет'!AT13+областной!AT13+інші!AT13</f>
        <v>1574.8</v>
      </c>
      <c r="AU13" s="10">
        <f t="shared" si="4"/>
        <v>98.98177247014456</v>
      </c>
      <c r="AV13" s="16">
        <f>'насел.'!AV13+пільги!AV13+субсидії!AV13+'держ.бюджет'!AV13+'місц.-районн.бюджет'!AV13+областной!AV13+інші!AV13</f>
        <v>16.19999999999992</v>
      </c>
      <c r="AW13" s="104">
        <f>'насел.'!AW13+пільги!AW13+субсидії!AW13+'держ.бюджет'!AW13+'місц.-районн.бюджет'!AW13+областной!AW13+інші!AW13</f>
        <v>-402.2000000000001</v>
      </c>
      <c r="AX13" s="40">
        <f t="shared" si="12"/>
        <v>1591.0000000000002</v>
      </c>
      <c r="AY13" s="40">
        <f t="shared" si="13"/>
        <v>1574.8</v>
      </c>
      <c r="AZ13" s="40">
        <f t="shared" si="14"/>
        <v>16.200000000000273</v>
      </c>
      <c r="BA13" s="40">
        <f t="shared" si="15"/>
        <v>-402.1999999999996</v>
      </c>
    </row>
    <row r="14" spans="1:53" ht="34.5" customHeight="1">
      <c r="A14" s="12" t="s">
        <v>11</v>
      </c>
      <c r="B14" s="58" t="s">
        <v>96</v>
      </c>
      <c r="C14" s="16">
        <f>'насел.'!C14+пільги!C14+субсидії!C14+'держ.бюджет'!C14+'місц.-районн.бюджет'!C14+областной!C14+інші!C14</f>
        <v>-269.40000000000003</v>
      </c>
      <c r="D14" s="16">
        <f>'насел.'!D14+пільги!D14+субсидії!D14+'держ.бюджет'!D14+'місц.-районн.бюджет'!D14+областной!D14+інші!D14</f>
        <v>154.2</v>
      </c>
      <c r="E14" s="16">
        <f>'насел.'!E14+пільги!E14+субсидії!E14+'держ.бюджет'!E14+'місц.-районн.бюджет'!E14+областной!E14+інші!E14</f>
        <v>139.8</v>
      </c>
      <c r="F14" s="10">
        <f t="shared" si="0"/>
        <v>90.6614785992218</v>
      </c>
      <c r="G14" s="16">
        <f>'насел.'!G14+пільги!G14+субсидії!G14+'держ.бюджет'!G14+'місц.-районн.бюджет'!G14+областной!G14+інші!G14</f>
        <v>155.10000000000002</v>
      </c>
      <c r="H14" s="16">
        <f>'насел.'!H14+пільги!H14+субсидії!H14+'держ.бюджет'!H14+'місц.-районн.бюджет'!H14+областной!H14+інші!H14</f>
        <v>157.5</v>
      </c>
      <c r="I14" s="10">
        <f t="shared" si="1"/>
        <v>101.54738878143132</v>
      </c>
      <c r="J14" s="16">
        <f>'насел.'!J14+пільги!J14+субсидії!J14+'держ.бюджет'!J14+'місц.-районн.бюджет'!J14+областной!J14+інші!J14</f>
        <v>172.1</v>
      </c>
      <c r="K14" s="16">
        <f>'насел.'!K14+пільги!K14+субсидії!K14+'держ.бюджет'!K14+'місц.-районн.бюджет'!K14+областной!K14+інші!K14</f>
        <v>121.80000000000001</v>
      </c>
      <c r="L14" s="10">
        <f t="shared" si="2"/>
        <v>70.7728065078443</v>
      </c>
      <c r="M14" s="10">
        <f>'насел.'!M14+пільги!M14+субсидії!M14+'держ.бюджет'!M14+'місц.-районн.бюджет'!M14+областной!M14+інші!M14</f>
        <v>481.40000000000003</v>
      </c>
      <c r="N14" s="10">
        <f>'насел.'!N14+пільги!N14+субсидії!N14+'держ.бюджет'!N14+'місц.-районн.бюджет'!N14+областной!N14+інші!N14</f>
        <v>419.1</v>
      </c>
      <c r="O14" s="10">
        <f t="shared" si="5"/>
        <v>87.05857914416286</v>
      </c>
      <c r="P14" s="16">
        <f>'насел.'!P14+пільги!P14+субсидії!P14+'держ.бюджет'!P14+'місц.-районн.бюджет'!P14+областной!P14+інші!P14</f>
        <v>0</v>
      </c>
      <c r="Q14" s="16">
        <f>'насел.'!Q14+пільги!Q14+субсидії!Q14+'держ.бюджет'!Q14+'місц.-районн.бюджет'!Q14+областной!Q14+інші!Q14</f>
        <v>0</v>
      </c>
      <c r="R14" s="10" t="e">
        <f t="shared" si="6"/>
        <v>#DIV/0!</v>
      </c>
      <c r="S14" s="16">
        <f>'насел.'!S14+пільги!S14+субсидії!S14+'держ.бюджет'!S14+'місц.-районн.бюджет'!S14+областной!S14+інші!S14</f>
        <v>0</v>
      </c>
      <c r="T14" s="16">
        <f>'насел.'!T14+пільги!T14+субсидії!T14+'держ.бюджет'!T14+'місц.-районн.бюджет'!T14+областной!T14+інші!T14</f>
        <v>0</v>
      </c>
      <c r="U14" s="10" t="e">
        <f t="shared" si="7"/>
        <v>#DIV/0!</v>
      </c>
      <c r="V14" s="16">
        <f>'насел.'!V14+пільги!V14+субсидії!V14+'держ.бюджет'!V14+'місц.-районн.бюджет'!V14+областной!V14+інші!V14</f>
        <v>0</v>
      </c>
      <c r="W14" s="16">
        <f>'насел.'!W14+пільги!W14+субсидії!W14+'держ.бюджет'!W14+'місц.-районн.бюджет'!W14+областной!W14+інші!W14</f>
        <v>0</v>
      </c>
      <c r="X14" s="10" t="e">
        <f t="shared" si="8"/>
        <v>#DIV/0!</v>
      </c>
      <c r="Y14" s="16">
        <f>'насел.'!Y14+пільги!Y14+субсидії!Y14+'держ.бюджет'!Y14+'місц.-районн.бюджет'!Y14+областной!Y14+інші!Y14</f>
        <v>0</v>
      </c>
      <c r="Z14" s="16">
        <f>'насел.'!Z14+пільги!Z14+субсидії!Z14+'держ.бюджет'!Z14+'місц.-районн.бюджет'!Z14+областной!Z14+інші!Z14</f>
        <v>0</v>
      </c>
      <c r="AA14" s="10" t="e">
        <f t="shared" si="3"/>
        <v>#DIV/0!</v>
      </c>
      <c r="AB14" s="16">
        <f>'насел.'!AB14+пільги!AB14+субсидії!AB14+'держ.бюджет'!AB14+'місц.-районн.бюджет'!AB14+областной!AB14+інші!AB14</f>
        <v>0</v>
      </c>
      <c r="AC14" s="16">
        <f>'насел.'!AC14+пільги!AC14+субсидії!AC14+'держ.бюджет'!AC14+'місц.-районн.бюджет'!AC14+областной!AC14+інші!AC14</f>
        <v>0</v>
      </c>
      <c r="AD14" s="10" t="e">
        <f t="shared" si="9"/>
        <v>#DIV/0!</v>
      </c>
      <c r="AE14" s="16">
        <f>'насел.'!AE14+пільги!AE14+субсидії!AE14+'держ.бюджет'!AE14+'місц.-районн.бюджет'!AE14+областной!AE14+інші!AE14</f>
        <v>0</v>
      </c>
      <c r="AF14" s="16">
        <f>'насел.'!AF14+пільги!AF14+субсидії!AF14+'держ.бюджет'!AF14+'місц.-районн.бюджет'!AF14+областной!AF14+інші!AF14</f>
        <v>0</v>
      </c>
      <c r="AG14" s="10" t="e">
        <f t="shared" si="10"/>
        <v>#DIV/0!</v>
      </c>
      <c r="AH14" s="16">
        <f>'насел.'!AH14+пільги!AH14+субсидії!AH14+'держ.бюджет'!AH14+'місц.-районн.бюджет'!AH14+областной!AH14+інші!AH14</f>
        <v>0</v>
      </c>
      <c r="AI14" s="16">
        <f>'насел.'!AI14+пільги!AI14+субсидії!AI14+'держ.бюджет'!AI14+'місц.-районн.бюджет'!AI14+областной!AI14+інші!AI14</f>
        <v>0</v>
      </c>
      <c r="AJ14" s="16">
        <f>'насел.'!AJ14+пільги!AJ14+субсидії!AJ14+'держ.бюджет'!AJ14+'місц.-районн.бюджет'!AJ14+областной!AJ14+інші!AJ14</f>
        <v>0</v>
      </c>
      <c r="AK14" s="16">
        <f>'насел.'!AK14+пільги!AK14+субсидії!AK14+'держ.бюджет'!AK14+'місц.-районн.бюджет'!AK14+областной!AK14+інші!AK14</f>
        <v>0</v>
      </c>
      <c r="AL14" s="16" t="e">
        <f t="shared" si="11"/>
        <v>#DIV/0!</v>
      </c>
      <c r="AM14" s="16">
        <f>'насел.'!AM14+пільги!AM14+субсидії!AM14+'держ.бюджет'!AM14+'місц.-районн.бюджет'!AM14+областной!AM14+інші!AM14</f>
        <v>0</v>
      </c>
      <c r="AN14" s="16">
        <f>'насел.'!AN14+пільги!AN14+субсидії!AN14+'держ.бюджет'!AN14+'місц.-районн.бюджет'!AN14+областной!AN14+інші!AN14</f>
        <v>0</v>
      </c>
      <c r="AO14" s="16">
        <f>'насел.'!AO14+пільги!AO14+субсидії!AO14+'держ.бюджет'!AO14+'місц.-районн.бюджет'!AO14+областной!AO14+інші!AO14</f>
        <v>0</v>
      </c>
      <c r="AP14" s="16">
        <f>'насел.'!AP14+пільги!AP14+субсидії!AP14+'держ.бюджет'!AP14+'місц.-районн.бюджет'!AP14+областной!AP14+інші!AP14</f>
        <v>0</v>
      </c>
      <c r="AQ14" s="16">
        <f>'насел.'!AQ14+пільги!AQ14+субсидії!AQ14+'держ.бюджет'!AQ14+'місц.-районн.бюджет'!AQ14+областной!AQ14+інші!AQ14</f>
        <v>0</v>
      </c>
      <c r="AR14" s="16">
        <f>'насел.'!AR14+пільги!AR14+субсидії!AR14+'держ.бюджет'!AR14+'місц.-районн.бюджет'!AR14+областной!AR14+інші!AR14</f>
        <v>0</v>
      </c>
      <c r="AS14" s="16">
        <f>'насел.'!AS14+пільги!AS14+субсидії!AS14+'держ.бюджет'!AS14+'місц.-районн.бюджет'!AS14+областной!AS14+інші!AS14</f>
        <v>481.40000000000003</v>
      </c>
      <c r="AT14" s="16">
        <f>'насел.'!AT14+пільги!AT14+субсидії!AT14+'держ.бюджет'!AT14+'місц.-районн.бюджет'!AT14+областной!AT14+інші!AT14</f>
        <v>419.1</v>
      </c>
      <c r="AU14" s="10">
        <f t="shared" si="4"/>
        <v>87.05857914416286</v>
      </c>
      <c r="AV14" s="16">
        <f>'насел.'!AV14+пільги!AV14+субсидії!AV14+'держ.бюджет'!AV14+'місц.-районн.бюджет'!AV14+областной!AV14+інші!AV14</f>
        <v>62.30000000000001</v>
      </c>
      <c r="AW14" s="104">
        <f>'насел.'!AW14+пільги!AW14+субсидії!AW14+'держ.бюджет'!AW14+'місц.-районн.бюджет'!AW14+областной!AW14+інші!AW14</f>
        <v>-207.1</v>
      </c>
      <c r="AX14" s="40">
        <f t="shared" si="12"/>
        <v>481.4</v>
      </c>
      <c r="AY14" s="40">
        <f t="shared" si="13"/>
        <v>419.1</v>
      </c>
      <c r="AZ14" s="40">
        <f t="shared" si="14"/>
        <v>62.299999999999955</v>
      </c>
      <c r="BA14" s="40">
        <f t="shared" si="15"/>
        <v>-207.10000000000008</v>
      </c>
    </row>
    <row r="15" spans="1:53" ht="34.5" customHeight="1">
      <c r="A15" s="12" t="s">
        <v>12</v>
      </c>
      <c r="B15" s="58" t="s">
        <v>53</v>
      </c>
      <c r="C15" s="16">
        <f>'насел.'!C15+пільги!C15+субсидії!C15+'держ.бюджет'!C15+'місц.-районн.бюджет'!C15+областной!C15+інші!C15</f>
        <v>1349.8</v>
      </c>
      <c r="D15" s="16">
        <f>'насел.'!D15+пільги!D15+субсидії!D15+'держ.бюджет'!D15+'місц.-районн.бюджет'!D15+областной!D15+інші!D15</f>
        <v>1319.6</v>
      </c>
      <c r="E15" s="16">
        <f>'насел.'!E15+пільги!E15+субсидії!E15+'держ.бюджет'!E15+'місц.-районн.бюджет'!E15+областной!E15+інші!E15</f>
        <v>1176.5</v>
      </c>
      <c r="F15" s="10">
        <f t="shared" si="0"/>
        <v>89.1558047893301</v>
      </c>
      <c r="G15" s="16">
        <f>'насел.'!G15+пільги!G15+субсидії!G15+'держ.бюджет'!G15+'місц.-районн.бюджет'!G15+областной!G15+інші!G15</f>
        <v>1264.5</v>
      </c>
      <c r="H15" s="16">
        <f>'насел.'!H15+пільги!H15+субсидії!H15+'держ.бюджет'!H15+'місц.-районн.бюджет'!H15+областной!H15+інші!H15</f>
        <v>1153.5</v>
      </c>
      <c r="I15" s="10">
        <f t="shared" si="1"/>
        <v>91.22182680901541</v>
      </c>
      <c r="J15" s="16">
        <f>'насел.'!J15+пільги!J15+субсидії!J15+'держ.бюджет'!J15+'місц.-районн.бюджет'!J15+областной!J15+інші!J15</f>
        <v>1574.1000000000001</v>
      </c>
      <c r="K15" s="16">
        <f>'насел.'!K15+пільги!K15+субсидії!K15+'держ.бюджет'!K15+'місц.-районн.бюджет'!K15+областной!K15+інші!K15</f>
        <v>1756</v>
      </c>
      <c r="L15" s="10">
        <f t="shared" si="2"/>
        <v>111.55580966901721</v>
      </c>
      <c r="M15" s="10">
        <f>'насел.'!M15+пільги!M15+субсидії!M15+'держ.бюджет'!M15+'місц.-районн.бюджет'!M15+областной!M15+інші!M15</f>
        <v>4158.2</v>
      </c>
      <c r="N15" s="10">
        <f>'насел.'!N15+пільги!N15+субсидії!N15+'держ.бюджет'!N15+'місц.-районн.бюджет'!N15+областной!N15+інші!N15</f>
        <v>4086.000000000001</v>
      </c>
      <c r="O15" s="10">
        <f t="shared" si="5"/>
        <v>98.26367178105913</v>
      </c>
      <c r="P15" s="16">
        <f>'насел.'!P15+пільги!P15+субсидії!P15+'держ.бюджет'!P15+'місц.-районн.бюджет'!P15+областной!P15+інші!P15</f>
        <v>0</v>
      </c>
      <c r="Q15" s="16">
        <f>'насел.'!Q15+пільги!Q15+субсидії!Q15+'держ.бюджет'!Q15+'місц.-районн.бюджет'!Q15+областной!Q15+інші!Q15</f>
        <v>0</v>
      </c>
      <c r="R15" s="10" t="e">
        <f t="shared" si="6"/>
        <v>#DIV/0!</v>
      </c>
      <c r="S15" s="16">
        <f>'насел.'!S15+пільги!S15+субсидії!S15+'держ.бюджет'!S15+'місц.-районн.бюджет'!S15+областной!S15+інші!S15</f>
        <v>0</v>
      </c>
      <c r="T15" s="16">
        <f>'насел.'!T15+пільги!T15+субсидії!T15+'держ.бюджет'!T15+'місц.-районн.бюджет'!T15+областной!T15+інші!T15</f>
        <v>0</v>
      </c>
      <c r="U15" s="10" t="e">
        <f t="shared" si="7"/>
        <v>#DIV/0!</v>
      </c>
      <c r="V15" s="16">
        <f>'насел.'!V15+пільги!V15+субсидії!V15+'держ.бюджет'!V15+'місц.-районн.бюджет'!V15+областной!V15+інші!V15</f>
        <v>0</v>
      </c>
      <c r="W15" s="16">
        <f>'насел.'!W15+пільги!W15+субсидії!W15+'держ.бюджет'!W15+'місц.-районн.бюджет'!W15+областной!W15+інші!W15</f>
        <v>0</v>
      </c>
      <c r="X15" s="10" t="e">
        <f t="shared" si="8"/>
        <v>#DIV/0!</v>
      </c>
      <c r="Y15" s="16">
        <f>'насел.'!Y15+пільги!Y15+субсидії!Y15+'держ.бюджет'!Y15+'місц.-районн.бюджет'!Y15+областной!Y15+інші!Y15</f>
        <v>0</v>
      </c>
      <c r="Z15" s="16">
        <f>'насел.'!Z15+пільги!Z15+субсидії!Z15+'держ.бюджет'!Z15+'місц.-районн.бюджет'!Z15+областной!Z15+інші!Z15</f>
        <v>0</v>
      </c>
      <c r="AA15" s="10" t="e">
        <f t="shared" si="3"/>
        <v>#DIV/0!</v>
      </c>
      <c r="AB15" s="16">
        <f>'насел.'!AB15+пільги!AB15+субсидії!AB15+'держ.бюджет'!AB15+'місц.-районн.бюджет'!AB15+областной!AB15+інші!AB15</f>
        <v>0</v>
      </c>
      <c r="AC15" s="16">
        <f>'насел.'!AC15+пільги!AC15+субсидії!AC15+'держ.бюджет'!AC15+'місц.-районн.бюджет'!AC15+областной!AC15+інші!AC15</f>
        <v>0</v>
      </c>
      <c r="AD15" s="10" t="e">
        <f t="shared" si="9"/>
        <v>#DIV/0!</v>
      </c>
      <c r="AE15" s="16">
        <f>'насел.'!AE15+пільги!AE15+субсидії!AE15+'держ.бюджет'!AE15+'місц.-районн.бюджет'!AE15+областной!AE15+інші!AE15</f>
        <v>0</v>
      </c>
      <c r="AF15" s="16">
        <f>'насел.'!AF15+пільги!AF15+субсидії!AF15+'держ.бюджет'!AF15+'місц.-районн.бюджет'!AF15+областной!AF15+інші!AF15</f>
        <v>0</v>
      </c>
      <c r="AG15" s="10" t="e">
        <f t="shared" si="10"/>
        <v>#DIV/0!</v>
      </c>
      <c r="AH15" s="16">
        <f>'насел.'!AH15+пільги!AH15+субсидії!AH15+'держ.бюджет'!AH15+'місц.-районн.бюджет'!AH15+областной!AH15+інші!AH15</f>
        <v>0</v>
      </c>
      <c r="AI15" s="16">
        <f>'насел.'!AI15+пільги!AI15+субсидії!AI15+'держ.бюджет'!AI15+'місц.-районн.бюджет'!AI15+областной!AI15+інші!AI15</f>
        <v>0</v>
      </c>
      <c r="AJ15" s="16">
        <f>'насел.'!AJ15+пільги!AJ15+субсидії!AJ15+'держ.бюджет'!AJ15+'місц.-районн.бюджет'!AJ15+областной!AJ15+інші!AJ15</f>
        <v>0</v>
      </c>
      <c r="AK15" s="16">
        <f>'насел.'!AK15+пільги!AK15+субсидії!AK15+'держ.бюджет'!AK15+'місц.-районн.бюджет'!AK15+областной!AK15+інші!AK15</f>
        <v>0</v>
      </c>
      <c r="AL15" s="16" t="e">
        <f t="shared" si="11"/>
        <v>#DIV/0!</v>
      </c>
      <c r="AM15" s="16">
        <f>'насел.'!AM15+пільги!AM15+субсидії!AM15+'держ.бюджет'!AM15+'місц.-районн.бюджет'!AM15+областной!AM15+інші!AM15</f>
        <v>0</v>
      </c>
      <c r="AN15" s="16">
        <f>'насел.'!AN15+пільги!AN15+субсидії!AN15+'держ.бюджет'!AN15+'місц.-районн.бюджет'!AN15+областной!AN15+інші!AN15</f>
        <v>0</v>
      </c>
      <c r="AO15" s="16">
        <f>'насел.'!AO15+пільги!AO15+субсидії!AO15+'держ.бюджет'!AO15+'місц.-районн.бюджет'!AO15+областной!AO15+інші!AO15</f>
        <v>0</v>
      </c>
      <c r="AP15" s="16">
        <f>'насел.'!AP15+пільги!AP15+субсидії!AP15+'держ.бюджет'!AP15+'місц.-районн.бюджет'!AP15+областной!AP15+інші!AP15</f>
        <v>0</v>
      </c>
      <c r="AQ15" s="16">
        <f>'насел.'!AQ15+пільги!AQ15+субсидії!AQ15+'держ.бюджет'!AQ15+'місц.-районн.бюджет'!AQ15+областной!AQ15+інші!AQ15</f>
        <v>0</v>
      </c>
      <c r="AR15" s="16">
        <f>'насел.'!AR15+пільги!AR15+субсидії!AR15+'держ.бюджет'!AR15+'місц.-районн.бюджет'!AR15+областной!AR15+інші!AR15</f>
        <v>0</v>
      </c>
      <c r="AS15" s="16">
        <f>'насел.'!AS15+пільги!AS15+субсидії!AS15+'держ.бюджет'!AS15+'місц.-районн.бюджет'!AS15+областной!AS15+інші!AS15</f>
        <v>4158.2</v>
      </c>
      <c r="AT15" s="16">
        <f>'насел.'!AT15+пільги!AT15+субсидії!AT15+'держ.бюджет'!AT15+'місц.-районн.бюджет'!AT15+областной!AT15+інші!AT15</f>
        <v>4086.000000000001</v>
      </c>
      <c r="AU15" s="10">
        <f t="shared" si="4"/>
        <v>98.26367178105913</v>
      </c>
      <c r="AV15" s="16">
        <f>'насел.'!AV15+пільги!AV15+субсидії!AV15+'держ.бюджет'!AV15+'місц.-районн.бюджет'!AV15+областной!AV15+інші!AV15</f>
        <v>72.19999999999965</v>
      </c>
      <c r="AW15" s="104">
        <f>'насел.'!AW15+пільги!AW15+субсидії!AW15+'держ.бюджет'!AW15+'місц.-районн.бюджет'!AW15+областной!AW15+інші!AW15</f>
        <v>1422.0000000000002</v>
      </c>
      <c r="AX15" s="40">
        <f t="shared" si="12"/>
        <v>4158.2</v>
      </c>
      <c r="AY15" s="40">
        <f t="shared" si="13"/>
        <v>4086</v>
      </c>
      <c r="AZ15" s="40">
        <f t="shared" si="14"/>
        <v>72.19999999999982</v>
      </c>
      <c r="BA15" s="40">
        <f t="shared" si="15"/>
        <v>1422</v>
      </c>
    </row>
    <row r="16" spans="1:53" ht="34.5" customHeight="1">
      <c r="A16" s="12" t="s">
        <v>13</v>
      </c>
      <c r="B16" s="58" t="s">
        <v>54</v>
      </c>
      <c r="C16" s="16">
        <f>'насел.'!C16+пільги!C16+субсидії!C16+'держ.бюджет'!C16+'місц.-районн.бюджет'!C16+областной!C16+інші!C16</f>
        <v>-18.7</v>
      </c>
      <c r="D16" s="16">
        <f>'насел.'!D16+пільги!D16+субсидії!D16+'держ.бюджет'!D16+'місц.-районн.бюджет'!D16+областной!D16+інші!D16</f>
        <v>42.4</v>
      </c>
      <c r="E16" s="16">
        <f>'насел.'!E16+пільги!E16+субсидії!E16+'держ.бюджет'!E16+'місц.-районн.бюджет'!E16+областной!E16+інші!E16</f>
        <v>24.2</v>
      </c>
      <c r="F16" s="10">
        <f t="shared" si="0"/>
        <v>57.07547169811321</v>
      </c>
      <c r="G16" s="16">
        <f>'насел.'!G16+пільги!G16+субсидії!G16+'держ.бюджет'!G16+'місц.-районн.бюджет'!G16+областной!G16+інші!G16</f>
        <v>42.3</v>
      </c>
      <c r="H16" s="16">
        <f>'насел.'!H16+пільги!H16+субсидії!H16+'держ.бюджет'!H16+'місц.-районн.бюджет'!H16+областной!H16+інші!H16</f>
        <v>30.6</v>
      </c>
      <c r="I16" s="10">
        <f t="shared" si="1"/>
        <v>72.3404255319149</v>
      </c>
      <c r="J16" s="16">
        <f>'насел.'!J16+пільги!J16+субсидії!J16+'держ.бюджет'!J16+'місц.-районн.бюджет'!J16+областной!J16+інші!J16</f>
        <v>35.3</v>
      </c>
      <c r="K16" s="16">
        <f>'насел.'!K16+пільги!K16+субсидії!K16+'держ.бюджет'!K16+'місц.-районн.бюджет'!K16+областной!K16+інші!K16</f>
        <v>30.899999999999995</v>
      </c>
      <c r="L16" s="10">
        <f t="shared" si="2"/>
        <v>87.53541076487251</v>
      </c>
      <c r="M16" s="10">
        <f>'насел.'!M16+пільги!M16+субсидії!M16+'держ.бюджет'!M16+'місц.-районн.бюджет'!M16+областной!M16+інші!M16</f>
        <v>120</v>
      </c>
      <c r="N16" s="10">
        <f>'насел.'!N16+пільги!N16+субсидії!N16+'держ.бюджет'!N16+'місц.-районн.бюджет'!N16+областной!N16+інші!N16</f>
        <v>85.7</v>
      </c>
      <c r="O16" s="10">
        <f t="shared" si="5"/>
        <v>71.41666666666667</v>
      </c>
      <c r="P16" s="16">
        <f>'насел.'!P16+пільги!P16+субсидії!P16+'держ.бюджет'!P16+'місц.-районн.бюджет'!P16+областной!P16+інші!P16</f>
        <v>0</v>
      </c>
      <c r="Q16" s="16">
        <f>'насел.'!Q16+пільги!Q16+субсидії!Q16+'держ.бюджет'!Q16+'місц.-районн.бюджет'!Q16+областной!Q16+інші!Q16</f>
        <v>0</v>
      </c>
      <c r="R16" s="10" t="e">
        <f t="shared" si="6"/>
        <v>#DIV/0!</v>
      </c>
      <c r="S16" s="16">
        <f>'насел.'!S16+пільги!S16+субсидії!S16+'держ.бюджет'!S16+'місц.-районн.бюджет'!S16+областной!S16+інші!S16</f>
        <v>0</v>
      </c>
      <c r="T16" s="16">
        <f>'насел.'!T16+пільги!T16+субсидії!T16+'держ.бюджет'!T16+'місц.-районн.бюджет'!T16+областной!T16+інші!T16</f>
        <v>0</v>
      </c>
      <c r="U16" s="10" t="e">
        <f t="shared" si="7"/>
        <v>#DIV/0!</v>
      </c>
      <c r="V16" s="16">
        <f>'насел.'!V16+пільги!V16+субсидії!V16+'держ.бюджет'!V16+'місц.-районн.бюджет'!V16+областной!V16+інші!V16</f>
        <v>0</v>
      </c>
      <c r="W16" s="16">
        <f>'насел.'!W16+пільги!W16+субсидії!W16+'держ.бюджет'!W16+'місц.-районн.бюджет'!W16+областной!W16+інші!W16</f>
        <v>0</v>
      </c>
      <c r="X16" s="10" t="e">
        <f t="shared" si="8"/>
        <v>#DIV/0!</v>
      </c>
      <c r="Y16" s="16">
        <f>'насел.'!Y16+пільги!Y16+субсидії!Y16+'держ.бюджет'!Y16+'місц.-районн.бюджет'!Y16+областной!Y16+інші!Y16</f>
        <v>0</v>
      </c>
      <c r="Z16" s="16">
        <f>'насел.'!Z16+пільги!Z16+субсидії!Z16+'держ.бюджет'!Z16+'місц.-районн.бюджет'!Z16+областной!Z16+інші!Z16</f>
        <v>0</v>
      </c>
      <c r="AA16" s="10" t="e">
        <f t="shared" si="3"/>
        <v>#DIV/0!</v>
      </c>
      <c r="AB16" s="16">
        <f>'насел.'!AB16+пільги!AB16+субсидії!AB16+'держ.бюджет'!AB16+'місц.-районн.бюджет'!AB16+областной!AB16+інші!AB16</f>
        <v>0</v>
      </c>
      <c r="AC16" s="16">
        <f>'насел.'!AC16+пільги!AC16+субсидії!AC16+'держ.бюджет'!AC16+'місц.-районн.бюджет'!AC16+областной!AC16+інші!AC16</f>
        <v>0</v>
      </c>
      <c r="AD16" s="10" t="e">
        <f t="shared" si="9"/>
        <v>#DIV/0!</v>
      </c>
      <c r="AE16" s="16">
        <f>'насел.'!AE16+пільги!AE16+субсидії!AE16+'держ.бюджет'!AE16+'місц.-районн.бюджет'!AE16+областной!AE16+інші!AE16</f>
        <v>0</v>
      </c>
      <c r="AF16" s="16">
        <f>'насел.'!AF16+пільги!AF16+субсидії!AF16+'держ.бюджет'!AF16+'місц.-районн.бюджет'!AF16+областной!AF16+інші!AF16</f>
        <v>0</v>
      </c>
      <c r="AG16" s="10" t="e">
        <f t="shared" si="10"/>
        <v>#DIV/0!</v>
      </c>
      <c r="AH16" s="16">
        <f>'насел.'!AH16+пільги!AH16+субсидії!AH16+'держ.бюджет'!AH16+'місц.-районн.бюджет'!AH16+областной!AH16+інші!AH16</f>
        <v>0</v>
      </c>
      <c r="AI16" s="16">
        <f>'насел.'!AI16+пільги!AI16+субсидії!AI16+'держ.бюджет'!AI16+'місц.-районн.бюджет'!AI16+областной!AI16+інші!AI16</f>
        <v>0</v>
      </c>
      <c r="AJ16" s="16">
        <f>'насел.'!AJ16+пільги!AJ16+субсидії!AJ16+'держ.бюджет'!AJ16+'місц.-районн.бюджет'!AJ16+областной!AJ16+інші!AJ16</f>
        <v>0</v>
      </c>
      <c r="AK16" s="16">
        <f>'насел.'!AK16+пільги!AK16+субсидії!AK16+'держ.бюджет'!AK16+'місц.-районн.бюджет'!AK16+областной!AK16+інші!AK16</f>
        <v>0</v>
      </c>
      <c r="AL16" s="16" t="e">
        <f t="shared" si="11"/>
        <v>#DIV/0!</v>
      </c>
      <c r="AM16" s="16">
        <f>'насел.'!AM16+пільги!AM16+субсидії!AM16+'держ.бюджет'!AM16+'місц.-районн.бюджет'!AM16+областной!AM16+інші!AM16</f>
        <v>0</v>
      </c>
      <c r="AN16" s="16">
        <f>'насел.'!AN16+пільги!AN16+субсидії!AN16+'держ.бюджет'!AN16+'місц.-районн.бюджет'!AN16+областной!AN16+інші!AN16</f>
        <v>0</v>
      </c>
      <c r="AO16" s="16">
        <f>'насел.'!AO16+пільги!AO16+субсидії!AO16+'держ.бюджет'!AO16+'місц.-районн.бюджет'!AO16+областной!AO16+інші!AO16</f>
        <v>0</v>
      </c>
      <c r="AP16" s="16">
        <f>'насел.'!AP16+пільги!AP16+субсидії!AP16+'держ.бюджет'!AP16+'місц.-районн.бюджет'!AP16+областной!AP16+інші!AP16</f>
        <v>0</v>
      </c>
      <c r="AQ16" s="16">
        <f>'насел.'!AQ16+пільги!AQ16+субсидії!AQ16+'держ.бюджет'!AQ16+'місц.-районн.бюджет'!AQ16+областной!AQ16+інші!AQ16</f>
        <v>0</v>
      </c>
      <c r="AR16" s="16">
        <f>'насел.'!AR16+пільги!AR16+субсидії!AR16+'держ.бюджет'!AR16+'місц.-районн.бюджет'!AR16+областной!AR16+інші!AR16</f>
        <v>0</v>
      </c>
      <c r="AS16" s="16">
        <f>'насел.'!AS16+пільги!AS16+субсидії!AS16+'держ.бюджет'!AS16+'місц.-районн.бюджет'!AS16+областной!AS16+інші!AS16</f>
        <v>120</v>
      </c>
      <c r="AT16" s="16">
        <f>'насел.'!AT16+пільги!AT16+субсидії!AT16+'держ.бюджет'!AT16+'місц.-районн.бюджет'!AT16+областной!AT16+інші!AT16</f>
        <v>85.7</v>
      </c>
      <c r="AU16" s="10">
        <f t="shared" si="4"/>
        <v>71.41666666666667</v>
      </c>
      <c r="AV16" s="16">
        <f>'насел.'!AV16+пільги!AV16+субсидії!AV16+'держ.бюджет'!AV16+'місц.-районн.бюджет'!AV16+областной!AV16+інші!AV16</f>
        <v>34.3</v>
      </c>
      <c r="AW16" s="104">
        <f>'насел.'!AW16+пільги!AW16+субсидії!AW16+'держ.бюджет'!AW16+'місц.-районн.бюджет'!AW16+областной!AW16+інші!AW16</f>
        <v>15.59999999999999</v>
      </c>
      <c r="AX16" s="40">
        <f t="shared" si="12"/>
        <v>119.99999999999999</v>
      </c>
      <c r="AY16" s="40">
        <f t="shared" si="13"/>
        <v>85.69999999999999</v>
      </c>
      <c r="AZ16" s="40">
        <f t="shared" si="14"/>
        <v>34.3</v>
      </c>
      <c r="BA16" s="40">
        <f t="shared" si="15"/>
        <v>15.599999999999994</v>
      </c>
    </row>
    <row r="17" spans="1:53" ht="34.5" customHeight="1">
      <c r="A17" s="12" t="s">
        <v>14</v>
      </c>
      <c r="B17" s="62" t="s">
        <v>97</v>
      </c>
      <c r="C17" s="16">
        <f>'насел.'!C17+пільги!C17+субсидії!C17+'держ.бюджет'!C17+'місц.-районн.бюджет'!C17+областной!C17+інші!C17</f>
        <v>4635</v>
      </c>
      <c r="D17" s="16">
        <f>'насел.'!D17+пільги!D17+субсидії!D17+'держ.бюджет'!D17+'місц.-районн.бюджет'!D17+областной!D17+інші!D17</f>
        <v>1018.4000000000001</v>
      </c>
      <c r="E17" s="16">
        <f>'насел.'!E17+пільги!E17+субсидії!E17+'держ.бюджет'!E17+'місц.-районн.бюджет'!E17+областной!E17+інші!E17</f>
        <v>1013.4000000000001</v>
      </c>
      <c r="F17" s="10">
        <f t="shared" si="0"/>
        <v>99.50903377847604</v>
      </c>
      <c r="G17" s="16">
        <f>'насел.'!G17+пільги!G17+субсидії!G17+'держ.бюджет'!G17+'місц.-районн.бюджет'!G17+областной!G17+інші!G17</f>
        <v>951.6000000000001</v>
      </c>
      <c r="H17" s="16">
        <f>'насел.'!H17+пільги!H17+субсидії!H17+'держ.бюджет'!H17+'місц.-районн.бюджет'!H17+областной!H17+інші!H17</f>
        <v>1046.2</v>
      </c>
      <c r="I17" s="10">
        <f t="shared" si="1"/>
        <v>109.94115174443041</v>
      </c>
      <c r="J17" s="16">
        <f>'насел.'!J17+пільги!J17+субсидії!J17+'держ.бюджет'!J17+'місц.-районн.бюджет'!J17+областной!J17+інші!J17</f>
        <v>926.6999999999998</v>
      </c>
      <c r="K17" s="16">
        <f>'насел.'!K17+пільги!K17+субсидії!K17+'держ.бюджет'!K17+'місц.-районн.бюджет'!K17+областной!K17+інші!K17</f>
        <v>908.1999999999999</v>
      </c>
      <c r="L17" s="10">
        <f t="shared" si="2"/>
        <v>98.00366893277221</v>
      </c>
      <c r="M17" s="10">
        <f>'насел.'!M17+пільги!M17+субсидії!M17+'держ.бюджет'!M17+'місц.-районн.бюджет'!M17+областной!M17+інші!M17</f>
        <v>2896.7</v>
      </c>
      <c r="N17" s="10">
        <f>'насел.'!N17+пільги!N17+субсидії!N17+'держ.бюджет'!N17+'місц.-районн.бюджет'!N17+областной!N17+інші!N17</f>
        <v>2967.8</v>
      </c>
      <c r="O17" s="10">
        <f t="shared" si="5"/>
        <v>102.4545172092381</v>
      </c>
      <c r="P17" s="16">
        <f>'насел.'!P17+пільги!P17+субсидії!P17+'держ.бюджет'!P17+'місц.-районн.бюджет'!P17+областной!P17+інші!P17</f>
        <v>0</v>
      </c>
      <c r="Q17" s="16">
        <f>'насел.'!Q17+пільги!Q17+субсидії!Q17+'держ.бюджет'!Q17+'місц.-районн.бюджет'!Q17+областной!Q17+інші!Q17</f>
        <v>0</v>
      </c>
      <c r="R17" s="10" t="e">
        <f t="shared" si="6"/>
        <v>#DIV/0!</v>
      </c>
      <c r="S17" s="16">
        <f>'насел.'!S17+пільги!S17+субсидії!S17+'держ.бюджет'!S17+'місц.-районн.бюджет'!S17+областной!S17+інші!S17</f>
        <v>0</v>
      </c>
      <c r="T17" s="16">
        <f>'насел.'!T17+пільги!T17+субсидії!T17+'держ.бюджет'!T17+'місц.-районн.бюджет'!T17+областной!T17+інші!T17</f>
        <v>0</v>
      </c>
      <c r="U17" s="10" t="e">
        <f t="shared" si="7"/>
        <v>#DIV/0!</v>
      </c>
      <c r="V17" s="16">
        <f>'насел.'!V17+пільги!V17+субсидії!V17+'держ.бюджет'!V17+'місц.-районн.бюджет'!V17+областной!V17+інші!V17</f>
        <v>0</v>
      </c>
      <c r="W17" s="16">
        <f>'насел.'!W17+пільги!W17+субсидії!W17+'держ.бюджет'!W17+'місц.-районн.бюджет'!W17+областной!W17+інші!W17</f>
        <v>0</v>
      </c>
      <c r="X17" s="10" t="e">
        <f t="shared" si="8"/>
        <v>#DIV/0!</v>
      </c>
      <c r="Y17" s="16">
        <f>'насел.'!Y17+пільги!Y17+субсидії!Y17+'держ.бюджет'!Y17+'місц.-районн.бюджет'!Y17+областной!Y17+інші!Y17</f>
        <v>0</v>
      </c>
      <c r="Z17" s="16">
        <f>'насел.'!Z17+пільги!Z17+субсидії!Z17+'держ.бюджет'!Z17+'місц.-районн.бюджет'!Z17+областной!Z17+інші!Z17</f>
        <v>0</v>
      </c>
      <c r="AA17" s="10" t="e">
        <f t="shared" si="3"/>
        <v>#DIV/0!</v>
      </c>
      <c r="AB17" s="16">
        <f>'насел.'!AB17+пільги!AB17+субсидії!AB17+'держ.бюджет'!AB17+'місц.-районн.бюджет'!AB17+областной!AB17+інші!AB17</f>
        <v>0</v>
      </c>
      <c r="AC17" s="16">
        <f>'насел.'!AC17+пільги!AC17+субсидії!AC17+'держ.бюджет'!AC17+'місц.-районн.бюджет'!AC17+областной!AC17+інші!AC17</f>
        <v>0</v>
      </c>
      <c r="AD17" s="10" t="e">
        <f t="shared" si="9"/>
        <v>#DIV/0!</v>
      </c>
      <c r="AE17" s="16">
        <f>'насел.'!AE17+пільги!AE17+субсидії!AE17+'держ.бюджет'!AE17+'місц.-районн.бюджет'!AE17+областной!AE17+інші!AE17</f>
        <v>0</v>
      </c>
      <c r="AF17" s="16">
        <f>'насел.'!AF17+пільги!AF17+субсидії!AF17+'держ.бюджет'!AF17+'місц.-районн.бюджет'!AF17+областной!AF17+інші!AF17</f>
        <v>0</v>
      </c>
      <c r="AG17" s="10" t="e">
        <f t="shared" si="10"/>
        <v>#DIV/0!</v>
      </c>
      <c r="AH17" s="16">
        <f>'насел.'!AH17+пільги!AH17+субсидії!AH17+'держ.бюджет'!AH17+'місц.-районн.бюджет'!AH17+областной!AH17+інші!AH17</f>
        <v>0</v>
      </c>
      <c r="AI17" s="16">
        <f>'насел.'!AI17+пільги!AI17+субсидії!AI17+'держ.бюджет'!AI17+'місц.-районн.бюджет'!AI17+областной!AI17+інші!AI17</f>
        <v>0</v>
      </c>
      <c r="AJ17" s="16">
        <f>'насел.'!AJ17+пільги!AJ17+субсидії!AJ17+'держ.бюджет'!AJ17+'місц.-районн.бюджет'!AJ17+областной!AJ17+інші!AJ17</f>
        <v>0</v>
      </c>
      <c r="AK17" s="16">
        <f>'насел.'!AK17+пільги!AK17+субсидії!AK17+'держ.бюджет'!AK17+'місц.-районн.бюджет'!AK17+областной!AK17+інші!AK17</f>
        <v>0</v>
      </c>
      <c r="AL17" s="16" t="e">
        <f t="shared" si="11"/>
        <v>#DIV/0!</v>
      </c>
      <c r="AM17" s="16">
        <f>'насел.'!AM17+пільги!AM17+субсидії!AM17+'держ.бюджет'!AM17+'місц.-районн.бюджет'!AM17+областной!AM17+інші!AM17</f>
        <v>0</v>
      </c>
      <c r="AN17" s="16">
        <f>'насел.'!AN17+пільги!AN17+субсидії!AN17+'держ.бюджет'!AN17+'місц.-районн.бюджет'!AN17+областной!AN17+інші!AN17</f>
        <v>0</v>
      </c>
      <c r="AO17" s="16">
        <f>'насел.'!AO17+пільги!AO17+субсидії!AO17+'держ.бюджет'!AO17+'місц.-районн.бюджет'!AO17+областной!AO17+інші!AO17</f>
        <v>0</v>
      </c>
      <c r="AP17" s="16">
        <f>'насел.'!AP17+пільги!AP17+субсидії!AP17+'держ.бюджет'!AP17+'місц.-районн.бюджет'!AP17+областной!AP17+інші!AP17</f>
        <v>0</v>
      </c>
      <c r="AQ17" s="16">
        <f>'насел.'!AQ17+пільги!AQ17+субсидії!AQ17+'держ.бюджет'!AQ17+'місц.-районн.бюджет'!AQ17+областной!AQ17+інші!AQ17</f>
        <v>0</v>
      </c>
      <c r="AR17" s="16">
        <f>'насел.'!AR17+пільги!AR17+субсидії!AR17+'держ.бюджет'!AR17+'місц.-районн.бюджет'!AR17+областной!AR17+інші!AR17</f>
        <v>0</v>
      </c>
      <c r="AS17" s="16">
        <f>'насел.'!AS17+пільги!AS17+субсидії!AS17+'держ.бюджет'!AS17+'місц.-районн.бюджет'!AS17+областной!AS17+інші!AS17</f>
        <v>2896.7</v>
      </c>
      <c r="AT17" s="16">
        <f>'насел.'!AT17+пільги!AT17+субсидії!AT17+'держ.бюджет'!AT17+'місц.-районн.бюджет'!AT17+областной!AT17+інші!AT17</f>
        <v>2967.8</v>
      </c>
      <c r="AU17" s="10">
        <f t="shared" si="4"/>
        <v>102.4545172092381</v>
      </c>
      <c r="AV17" s="16">
        <f>'насел.'!AV17+пільги!AV17+субсидії!AV17+'держ.бюджет'!AV17+'місц.-районн.бюджет'!AV17+областной!AV17+інші!AV17</f>
        <v>-71.10000000000016</v>
      </c>
      <c r="AW17" s="104">
        <f>'насел.'!AW17+пільги!AW17+субсидії!AW17+'держ.бюджет'!AW17+'місц.-районн.бюджет'!AW17+областной!AW17+інші!AW17</f>
        <v>4563.9</v>
      </c>
      <c r="AX17" s="40">
        <f t="shared" si="12"/>
        <v>2896.7</v>
      </c>
      <c r="AY17" s="40">
        <f t="shared" si="13"/>
        <v>2967.8</v>
      </c>
      <c r="AZ17" s="40">
        <f t="shared" si="14"/>
        <v>-71.10000000000036</v>
      </c>
      <c r="BA17" s="40">
        <f t="shared" si="15"/>
        <v>4563.9</v>
      </c>
    </row>
    <row r="18" spans="1:53" ht="34.5" customHeight="1">
      <c r="A18" s="12" t="s">
        <v>15</v>
      </c>
      <c r="B18" s="62" t="s">
        <v>55</v>
      </c>
      <c r="C18" s="16">
        <f>'насел.'!C18+пільги!C18+субсидії!C18+'держ.бюджет'!C18+'місц.-районн.бюджет'!C18+областной!C18+інші!C18</f>
        <v>419.70000000000005</v>
      </c>
      <c r="D18" s="16">
        <f>'насел.'!D18+пільги!D18+субсидії!D18+'держ.бюджет'!D18+'місц.-районн.бюджет'!D18+областной!D18+інші!D18</f>
        <v>280</v>
      </c>
      <c r="E18" s="16">
        <f>'насел.'!E18+пільги!E18+субсидії!E18+'держ.бюджет'!E18+'місц.-районн.бюджет'!E18+областной!E18+інші!E18</f>
        <v>284.20000000000005</v>
      </c>
      <c r="F18" s="10">
        <f t="shared" si="0"/>
        <v>101.50000000000001</v>
      </c>
      <c r="G18" s="16">
        <f>'насел.'!G18+пільги!G18+субсидії!G18+'держ.бюджет'!G18+'місц.-районн.бюджет'!G18+областной!G18+інші!G18</f>
        <v>248.8</v>
      </c>
      <c r="H18" s="16">
        <f>'насел.'!H18+пільги!H18+субсидії!H18+'держ.бюджет'!H18+'місц.-районн.бюджет'!H18+областной!H18+інші!H18</f>
        <v>284</v>
      </c>
      <c r="I18" s="10">
        <f t="shared" si="1"/>
        <v>114.14790996784565</v>
      </c>
      <c r="J18" s="16">
        <f>'насел.'!J18+пільги!J18+субсидії!J18+'держ.бюджет'!J18+'місц.-районн.бюджет'!J18+областной!J18+інші!J18</f>
        <v>244.10000000000002</v>
      </c>
      <c r="K18" s="16">
        <f>'насел.'!K18+пільги!K18+субсидії!K18+'держ.бюджет'!K18+'місц.-районн.бюджет'!K18+областной!K18+інші!K18</f>
        <v>187</v>
      </c>
      <c r="L18" s="10">
        <f t="shared" si="2"/>
        <v>76.6079475624744</v>
      </c>
      <c r="M18" s="10">
        <f>'насел.'!M18+пільги!M18+субсидії!M18+'держ.бюджет'!M18+'місц.-районн.бюджет'!M18+областной!M18+інші!M18</f>
        <v>772.9000000000001</v>
      </c>
      <c r="N18" s="10">
        <f>'насел.'!N18+пільги!N18+субсидії!N18+'держ.бюджет'!N18+'місц.-районн.бюджет'!N18+областной!N18+інші!N18</f>
        <v>755.2</v>
      </c>
      <c r="O18" s="10">
        <f t="shared" si="5"/>
        <v>97.70992366412213</v>
      </c>
      <c r="P18" s="16">
        <f>'насел.'!P18+пільги!P18+субсидії!P18+'держ.бюджет'!P18+'місц.-районн.бюджет'!P18+областной!P18+інші!P18</f>
        <v>0</v>
      </c>
      <c r="Q18" s="16">
        <f>'насел.'!Q18+пільги!Q18+субсидії!Q18+'держ.бюджет'!Q18+'місц.-районн.бюджет'!Q18+областной!Q18+інші!Q18</f>
        <v>0</v>
      </c>
      <c r="R18" s="10" t="e">
        <f t="shared" si="6"/>
        <v>#DIV/0!</v>
      </c>
      <c r="S18" s="16">
        <f>'насел.'!S18+пільги!S18+субсидії!S18+'держ.бюджет'!S18+'місц.-районн.бюджет'!S18+областной!S18+інші!S18</f>
        <v>0</v>
      </c>
      <c r="T18" s="16">
        <f>'насел.'!T18+пільги!T18+субсидії!T18+'держ.бюджет'!T18+'місц.-районн.бюджет'!T18+областной!T18+інші!T18</f>
        <v>0</v>
      </c>
      <c r="U18" s="10" t="e">
        <f t="shared" si="7"/>
        <v>#DIV/0!</v>
      </c>
      <c r="V18" s="16">
        <f>'насел.'!V18+пільги!V18+субсидії!V18+'держ.бюджет'!V18+'місц.-районн.бюджет'!V18+областной!V18+інші!V18</f>
        <v>0</v>
      </c>
      <c r="W18" s="16">
        <f>'насел.'!W18+пільги!W18+субсидії!W18+'держ.бюджет'!W18+'місц.-районн.бюджет'!W18+областной!W18+інші!W18</f>
        <v>0</v>
      </c>
      <c r="X18" s="10" t="e">
        <f t="shared" si="8"/>
        <v>#DIV/0!</v>
      </c>
      <c r="Y18" s="16">
        <f>'насел.'!Y18+пільги!Y18+субсидії!Y18+'держ.бюджет'!Y18+'місц.-районн.бюджет'!Y18+областной!Y18+інші!Y18</f>
        <v>0</v>
      </c>
      <c r="Z18" s="16">
        <f>'насел.'!Z18+пільги!Z18+субсидії!Z18+'держ.бюджет'!Z18+'місц.-районн.бюджет'!Z18+областной!Z18+інші!Z18</f>
        <v>0</v>
      </c>
      <c r="AA18" s="10" t="e">
        <f t="shared" si="3"/>
        <v>#DIV/0!</v>
      </c>
      <c r="AB18" s="16">
        <f>'насел.'!AB18+пільги!AB18+субсидії!AB18+'держ.бюджет'!AB18+'місц.-районн.бюджет'!AB18+областной!AB18+інші!AB18</f>
        <v>0</v>
      </c>
      <c r="AC18" s="16">
        <f>'насел.'!AC18+пільги!AC18+субсидії!AC18+'держ.бюджет'!AC18+'місц.-районн.бюджет'!AC18+областной!AC18+інші!AC18</f>
        <v>0</v>
      </c>
      <c r="AD18" s="10" t="e">
        <f t="shared" si="9"/>
        <v>#DIV/0!</v>
      </c>
      <c r="AE18" s="16">
        <f>'насел.'!AE18+пільги!AE18+субсидії!AE18+'держ.бюджет'!AE18+'місц.-районн.бюджет'!AE18+областной!AE18+інші!AE18</f>
        <v>0</v>
      </c>
      <c r="AF18" s="16">
        <f>'насел.'!AF18+пільги!AF18+субсидії!AF18+'держ.бюджет'!AF18+'місц.-районн.бюджет'!AF18+областной!AF18+інші!AF18</f>
        <v>0</v>
      </c>
      <c r="AG18" s="10" t="e">
        <f t="shared" si="10"/>
        <v>#DIV/0!</v>
      </c>
      <c r="AH18" s="16">
        <f>'насел.'!AH18+пільги!AH18+субсидії!AH18+'держ.бюджет'!AH18+'місц.-районн.бюджет'!AH18+областной!AH18+інші!AH18</f>
        <v>0</v>
      </c>
      <c r="AI18" s="16">
        <f>'насел.'!AI18+пільги!AI18+субсидії!AI18+'держ.бюджет'!AI18+'місц.-районн.бюджет'!AI18+областной!AI18+інші!AI18</f>
        <v>0</v>
      </c>
      <c r="AJ18" s="16">
        <f>'насел.'!AJ18+пільги!AJ18+субсидії!AJ18+'держ.бюджет'!AJ18+'місц.-районн.бюджет'!AJ18+областной!AJ18+інші!AJ18</f>
        <v>0</v>
      </c>
      <c r="AK18" s="16">
        <f>'насел.'!AK18+пільги!AK18+субсидії!AK18+'держ.бюджет'!AK18+'місц.-районн.бюджет'!AK18+областной!AK18+інші!AK18</f>
        <v>0</v>
      </c>
      <c r="AL18" s="16" t="e">
        <f t="shared" si="11"/>
        <v>#DIV/0!</v>
      </c>
      <c r="AM18" s="16">
        <f>'насел.'!AM18+пільги!AM18+субсидії!AM18+'держ.бюджет'!AM18+'місц.-районн.бюджет'!AM18+областной!AM18+інші!AM18</f>
        <v>0</v>
      </c>
      <c r="AN18" s="16">
        <f>'насел.'!AN18+пільги!AN18+субсидії!AN18+'держ.бюджет'!AN18+'місц.-районн.бюджет'!AN18+областной!AN18+інші!AN18</f>
        <v>0</v>
      </c>
      <c r="AO18" s="16">
        <f>'насел.'!AO18+пільги!AO18+субсидії!AO18+'держ.бюджет'!AO18+'місц.-районн.бюджет'!AO18+областной!AO18+інші!AO18</f>
        <v>0</v>
      </c>
      <c r="AP18" s="16">
        <f>'насел.'!AP18+пільги!AP18+субсидії!AP18+'держ.бюджет'!AP18+'місц.-районн.бюджет'!AP18+областной!AP18+інші!AP18</f>
        <v>0</v>
      </c>
      <c r="AQ18" s="16">
        <f>'насел.'!AQ18+пільги!AQ18+субсидії!AQ18+'держ.бюджет'!AQ18+'місц.-районн.бюджет'!AQ18+областной!AQ18+інші!AQ18</f>
        <v>0</v>
      </c>
      <c r="AR18" s="16">
        <f>'насел.'!AR18+пільги!AR18+субсидії!AR18+'держ.бюджет'!AR18+'місц.-районн.бюджет'!AR18+областной!AR18+інші!AR18</f>
        <v>0</v>
      </c>
      <c r="AS18" s="16">
        <f>'насел.'!AS18+пільги!AS18+субсидії!AS18+'держ.бюджет'!AS18+'місц.-районн.бюджет'!AS18+областной!AS18+інші!AS18</f>
        <v>772.9000000000001</v>
      </c>
      <c r="AT18" s="16">
        <f>'насел.'!AT18+пільги!AT18+субсидії!AT18+'держ.бюджет'!AT18+'місц.-районн.бюджет'!AT18+областной!AT18+інші!AT18</f>
        <v>755.2</v>
      </c>
      <c r="AU18" s="10">
        <f t="shared" si="4"/>
        <v>97.70992366412213</v>
      </c>
      <c r="AV18" s="16">
        <f>'насел.'!AV18+пільги!AV18+субсидії!AV18+'держ.бюджет'!AV18+'місц.-районн.бюджет'!AV18+областной!AV18+інші!AV18</f>
        <v>17.69999999999996</v>
      </c>
      <c r="AW18" s="104">
        <f>'насел.'!AW18+пільги!AW18+субсидії!AW18+'держ.бюджет'!AW18+'місц.-районн.бюджет'!AW18+областной!AW18+інші!AW18</f>
        <v>437.4</v>
      </c>
      <c r="AX18" s="40">
        <f t="shared" si="12"/>
        <v>772.9</v>
      </c>
      <c r="AY18" s="40">
        <f t="shared" si="13"/>
        <v>755.2</v>
      </c>
      <c r="AZ18" s="40">
        <f t="shared" si="14"/>
        <v>17.699999999999932</v>
      </c>
      <c r="BA18" s="40">
        <f t="shared" si="15"/>
        <v>437.39999999999986</v>
      </c>
    </row>
    <row r="19" spans="1:53" ht="34.5" customHeight="1">
      <c r="A19" s="12" t="s">
        <v>16</v>
      </c>
      <c r="B19" s="58" t="s">
        <v>56</v>
      </c>
      <c r="C19" s="16">
        <f>'насел.'!C19+пільги!C19+субсидії!C19+'держ.бюджет'!C19+'місц.-районн.бюджет'!C19+областной!C19+інші!C19</f>
        <v>1165.6999999999998</v>
      </c>
      <c r="D19" s="16">
        <f>'насел.'!D19+пільги!D19+субсидії!D19+'держ.бюджет'!D19+'місц.-районн.бюджет'!D19+областной!D19+інші!D19</f>
        <v>1022.1</v>
      </c>
      <c r="E19" s="16">
        <f>'насел.'!E19+пільги!E19+субсидії!E19+'держ.бюджет'!E19+'місц.-районн.бюджет'!E19+областной!E19+інші!E19</f>
        <v>674.7</v>
      </c>
      <c r="F19" s="10">
        <f t="shared" si="0"/>
        <v>66.0111535074846</v>
      </c>
      <c r="G19" s="16">
        <f>'насел.'!G19+пільги!G19+субсидії!G19+'держ.бюджет'!G19+'місц.-районн.бюджет'!G19+областной!G19+інші!G19</f>
        <v>1011.7</v>
      </c>
      <c r="H19" s="16">
        <f>'насел.'!H19+пільги!H19+субсидії!H19+'держ.бюджет'!H19+'місц.-районн.бюджет'!H19+областной!H19+інші!H19</f>
        <v>1016.6000000000001</v>
      </c>
      <c r="I19" s="10">
        <f t="shared" si="1"/>
        <v>100.48433330038552</v>
      </c>
      <c r="J19" s="16">
        <f>'насел.'!J19+пільги!J19+субсидії!J19+'держ.бюджет'!J19+'місц.-районн.бюджет'!J19+областной!J19+інші!J19</f>
        <v>972.4000000000001</v>
      </c>
      <c r="K19" s="16">
        <f>'насел.'!K19+пільги!K19+субсидії!K19+'держ.бюджет'!K19+'місц.-районн.бюджет'!K19+областной!K19+інші!K19</f>
        <v>885.1</v>
      </c>
      <c r="L19" s="10">
        <f t="shared" si="2"/>
        <v>91.02221308103661</v>
      </c>
      <c r="M19" s="10">
        <f>'насел.'!M19+пільги!M19+субсидії!M19+'держ.бюджет'!M19+'місц.-районн.бюджет'!M19+областной!M19+інші!M19</f>
        <v>3006.2</v>
      </c>
      <c r="N19" s="10">
        <f>'насел.'!N19+пільги!N19+субсидії!N19+'держ.бюджет'!N19+'місц.-районн.бюджет'!N19+областной!N19+інші!N19</f>
        <v>2576.4</v>
      </c>
      <c r="O19" s="10">
        <f t="shared" si="5"/>
        <v>85.70288071319274</v>
      </c>
      <c r="P19" s="16">
        <f>'насел.'!P19+пільги!P19+субсидії!P19+'держ.бюджет'!P19+'місц.-районн.бюджет'!P19+областной!P19+інші!P19</f>
        <v>0</v>
      </c>
      <c r="Q19" s="16">
        <f>'насел.'!Q19+пільги!Q19+субсидії!Q19+'держ.бюджет'!Q19+'місц.-районн.бюджет'!Q19+областной!Q19+інші!Q19</f>
        <v>0</v>
      </c>
      <c r="R19" s="10" t="e">
        <f t="shared" si="6"/>
        <v>#DIV/0!</v>
      </c>
      <c r="S19" s="16">
        <f>'насел.'!S19+пільги!S19+субсидії!S19+'держ.бюджет'!S19+'місц.-районн.бюджет'!S19+областной!S19+інші!S19</f>
        <v>0</v>
      </c>
      <c r="T19" s="16">
        <f>'насел.'!T19+пільги!T19+субсидії!T19+'держ.бюджет'!T19+'місц.-районн.бюджет'!T19+областной!T19+інші!T19</f>
        <v>0</v>
      </c>
      <c r="U19" s="10" t="e">
        <f t="shared" si="7"/>
        <v>#DIV/0!</v>
      </c>
      <c r="V19" s="16">
        <f>'насел.'!V19+пільги!V19+субсидії!V19+'держ.бюджет'!V19+'місц.-районн.бюджет'!V19+областной!V19+інші!V19</f>
        <v>0</v>
      </c>
      <c r="W19" s="16">
        <f>'насел.'!W19+пільги!W19+субсидії!W19+'держ.бюджет'!W19+'місц.-районн.бюджет'!W19+областной!W19+інші!W19</f>
        <v>0</v>
      </c>
      <c r="X19" s="10" t="e">
        <f t="shared" si="8"/>
        <v>#DIV/0!</v>
      </c>
      <c r="Y19" s="16">
        <f>'насел.'!Y19+пільги!Y19+субсидії!Y19+'держ.бюджет'!Y19+'місц.-районн.бюджет'!Y19+областной!Y19+інші!Y19</f>
        <v>0</v>
      </c>
      <c r="Z19" s="16">
        <f>'насел.'!Z19+пільги!Z19+субсидії!Z19+'держ.бюджет'!Z19+'місц.-районн.бюджет'!Z19+областной!Z19+інші!Z19</f>
        <v>0</v>
      </c>
      <c r="AA19" s="10" t="e">
        <f t="shared" si="3"/>
        <v>#DIV/0!</v>
      </c>
      <c r="AB19" s="16">
        <f>'насел.'!AB19+пільги!AB19+субсидії!AB19+'держ.бюджет'!AB19+'місц.-районн.бюджет'!AB19+областной!AB19+інші!AB19</f>
        <v>0</v>
      </c>
      <c r="AC19" s="16">
        <f>'насел.'!AC19+пільги!AC19+субсидії!AC19+'держ.бюджет'!AC19+'місц.-районн.бюджет'!AC19+областной!AC19+інші!AC19</f>
        <v>0</v>
      </c>
      <c r="AD19" s="10" t="e">
        <f t="shared" si="9"/>
        <v>#DIV/0!</v>
      </c>
      <c r="AE19" s="16">
        <f>'насел.'!AE19+пільги!AE19+субсидії!AE19+'держ.бюджет'!AE19+'місц.-районн.бюджет'!AE19+областной!AE19+інші!AE19</f>
        <v>0</v>
      </c>
      <c r="AF19" s="16">
        <f>'насел.'!AF19+пільги!AF19+субсидії!AF19+'держ.бюджет'!AF19+'місц.-районн.бюджет'!AF19+областной!AF19+інші!AF19</f>
        <v>0</v>
      </c>
      <c r="AG19" s="10" t="e">
        <f t="shared" si="10"/>
        <v>#DIV/0!</v>
      </c>
      <c r="AH19" s="16">
        <f>'насел.'!AH19+пільги!AH19+субсидії!AH19+'держ.бюджет'!AH19+'місц.-районн.бюджет'!AH19+областной!AH19+інші!AH19</f>
        <v>0</v>
      </c>
      <c r="AI19" s="16">
        <f>'насел.'!AI19+пільги!AI19+субсидії!AI19+'держ.бюджет'!AI19+'місц.-районн.бюджет'!AI19+областной!AI19+інші!AI19</f>
        <v>0</v>
      </c>
      <c r="AJ19" s="16">
        <f>'насел.'!AJ19+пільги!AJ19+субсидії!AJ19+'держ.бюджет'!AJ19+'місц.-районн.бюджет'!AJ19+областной!AJ19+інші!AJ19</f>
        <v>0</v>
      </c>
      <c r="AK19" s="16">
        <f>'насел.'!AK19+пільги!AK19+субсидії!AK19+'держ.бюджет'!AK19+'місц.-районн.бюджет'!AK19+областной!AK19+інші!AK19</f>
        <v>0</v>
      </c>
      <c r="AL19" s="16" t="e">
        <f t="shared" si="11"/>
        <v>#DIV/0!</v>
      </c>
      <c r="AM19" s="16">
        <f>'насел.'!AM19+пільги!AM19+субсидії!AM19+'держ.бюджет'!AM19+'місц.-районн.бюджет'!AM19+областной!AM19+інші!AM19</f>
        <v>0</v>
      </c>
      <c r="AN19" s="16">
        <f>'насел.'!AN19+пільги!AN19+субсидії!AN19+'держ.бюджет'!AN19+'місц.-районн.бюджет'!AN19+областной!AN19+інші!AN19</f>
        <v>0</v>
      </c>
      <c r="AO19" s="16">
        <f>'насел.'!AO19+пільги!AO19+субсидії!AO19+'держ.бюджет'!AO19+'місц.-районн.бюджет'!AO19+областной!AO19+інші!AO19</f>
        <v>0</v>
      </c>
      <c r="AP19" s="16">
        <f>'насел.'!AP19+пільги!AP19+субсидії!AP19+'держ.бюджет'!AP19+'місц.-районн.бюджет'!AP19+областной!AP19+інші!AP19</f>
        <v>0</v>
      </c>
      <c r="AQ19" s="16">
        <f>'насел.'!AQ19+пільги!AQ19+субсидії!AQ19+'держ.бюджет'!AQ19+'місц.-районн.бюджет'!AQ19+областной!AQ19+інші!AQ19</f>
        <v>0</v>
      </c>
      <c r="AR19" s="16">
        <f>'насел.'!AR19+пільги!AR19+субсидії!AR19+'держ.бюджет'!AR19+'місц.-районн.бюджет'!AR19+областной!AR19+інші!AR19</f>
        <v>0</v>
      </c>
      <c r="AS19" s="16">
        <f>'насел.'!AS19+пільги!AS19+субсидії!AS19+'держ.бюджет'!AS19+'місц.-районн.бюджет'!AS19+областной!AS19+інші!AS19</f>
        <v>3006.2</v>
      </c>
      <c r="AT19" s="16">
        <f>'насел.'!AT19+пільги!AT19+субсидії!AT19+'держ.бюджет'!AT19+'місц.-районн.бюджет'!AT19+областной!AT19+інші!AT19</f>
        <v>2576.4</v>
      </c>
      <c r="AU19" s="10">
        <f t="shared" si="4"/>
        <v>85.70288071319274</v>
      </c>
      <c r="AV19" s="16">
        <f>'насел.'!AV19+пільги!AV19+субсидії!AV19+'держ.бюджет'!AV19+'місц.-районн.бюджет'!AV19+областной!AV19+інші!AV19</f>
        <v>429.8000000000002</v>
      </c>
      <c r="AW19" s="104">
        <f>'насел.'!AW19+пільги!AW19+субсидії!AW19+'держ.бюджет'!AW19+'місц.-районн.бюджет'!AW19+областной!AW19+інші!AW19</f>
        <v>1595.5000000000005</v>
      </c>
      <c r="AX19" s="40">
        <f t="shared" si="12"/>
        <v>3006.2000000000003</v>
      </c>
      <c r="AY19" s="40">
        <f t="shared" si="13"/>
        <v>2576.4</v>
      </c>
      <c r="AZ19" s="40">
        <f t="shared" si="14"/>
        <v>429.8000000000002</v>
      </c>
      <c r="BA19" s="40">
        <f t="shared" si="15"/>
        <v>1595.4999999999995</v>
      </c>
    </row>
    <row r="20" spans="1:53" ht="34.5" customHeight="1">
      <c r="A20" s="12" t="s">
        <v>17</v>
      </c>
      <c r="B20" s="62" t="s">
        <v>57</v>
      </c>
      <c r="C20" s="16">
        <f>'насел.'!C20+пільги!C20+субсидії!C20+'держ.бюджет'!C20+'місц.-районн.бюджет'!C20+областной!C20+інші!C20</f>
        <v>414.59999999999997</v>
      </c>
      <c r="D20" s="153">
        <f>'насел.'!D20+пільги!D20+субсидії!D20+'держ.бюджет'!D20+'місц.-районн.бюджет'!D20+областной!D20+інші!D20</f>
        <v>242.9</v>
      </c>
      <c r="E20" s="153">
        <f>'насел.'!E20+пільги!E20+субсидії!E20+'держ.бюджет'!E20+'місц.-районн.бюджет'!E20+областной!E20+інші!E20</f>
        <v>253.1</v>
      </c>
      <c r="F20" s="154">
        <f t="shared" si="0"/>
        <v>104.19925895430218</v>
      </c>
      <c r="G20" s="153">
        <f>'насел.'!G20+пільги!G20+субсидії!G20+'держ.бюджет'!G20+'місц.-районн.бюджет'!G20+областной!G20+інші!G20</f>
        <v>224.59999999999997</v>
      </c>
      <c r="H20" s="153">
        <f>'насел.'!H20+пільги!H20+субсидії!H20+'держ.бюджет'!H20+'місц.-районн.бюджет'!H20+областной!H20+інші!H20</f>
        <v>247.10000000000002</v>
      </c>
      <c r="I20" s="154">
        <f t="shared" si="1"/>
        <v>110.0178094390027</v>
      </c>
      <c r="J20" s="16">
        <f>'насел.'!J20+пільги!J20+субсидії!J20+'держ.бюджет'!J20+'місц.-районн.бюджет'!J20+областной!J20+інші!J20</f>
        <v>242</v>
      </c>
      <c r="K20" s="16">
        <f>'насел.'!K20+пільги!K20+субсидії!K20+'держ.бюджет'!K20+'місц.-районн.бюджет'!K20+областной!K20+інші!K20</f>
        <v>235.29999999999998</v>
      </c>
      <c r="L20" s="154">
        <f t="shared" si="2"/>
        <v>97.23140495867769</v>
      </c>
      <c r="M20" s="154">
        <f>'насел.'!M20+пільги!M20+субсидії!M20+'держ.бюджет'!M20+'місц.-районн.бюджет'!M20+областной!M20+інші!M20</f>
        <v>709.5000000000001</v>
      </c>
      <c r="N20" s="154">
        <f>'насел.'!N20+пільги!N20+субсидії!N20+'держ.бюджет'!N20+'місц.-районн.бюджет'!N20+областной!N20+інші!N20</f>
        <v>735.5</v>
      </c>
      <c r="O20" s="154">
        <f t="shared" si="5"/>
        <v>103.66455250176179</v>
      </c>
      <c r="P20" s="153">
        <f>'насел.'!P20+пільги!P20+субсидії!P20+'держ.бюджет'!P20+'місц.-районн.бюджет'!P20+областной!P20+інші!P20</f>
        <v>0</v>
      </c>
      <c r="Q20" s="153">
        <f>'насел.'!Q20+пільги!Q20+субсидії!Q20+'держ.бюджет'!Q20+'місц.-районн.бюджет'!Q20+областной!Q20+інші!Q20</f>
        <v>0</v>
      </c>
      <c r="R20" s="154" t="e">
        <f t="shared" si="6"/>
        <v>#DIV/0!</v>
      </c>
      <c r="S20" s="153">
        <f>'насел.'!S20+пільги!S20+субсидії!S20+'держ.бюджет'!S20+'місц.-районн.бюджет'!S20+областной!S20+інші!S20</f>
        <v>0</v>
      </c>
      <c r="T20" s="153">
        <f>'насел.'!T20+пільги!T20+субсидії!T20+'держ.бюджет'!T20+'місц.-районн.бюджет'!T20+областной!T20+інші!T20</f>
        <v>0</v>
      </c>
      <c r="U20" s="154" t="e">
        <f t="shared" si="7"/>
        <v>#DIV/0!</v>
      </c>
      <c r="V20" s="153">
        <f>'насел.'!V20+пільги!V20+субсидії!V20+'держ.бюджет'!V20+'місц.-районн.бюджет'!V20+областной!V20+інші!V20</f>
        <v>0</v>
      </c>
      <c r="W20" s="153">
        <f>'насел.'!W20+пільги!W20+субсидії!W20+'держ.бюджет'!W20+'місц.-районн.бюджет'!W20+областной!W20+інші!W20</f>
        <v>0</v>
      </c>
      <c r="X20" s="154" t="e">
        <f t="shared" si="8"/>
        <v>#DIV/0!</v>
      </c>
      <c r="Y20" s="153">
        <f>'насел.'!Y20+пільги!Y20+субсидії!Y20+'держ.бюджет'!Y20+'місц.-районн.бюджет'!Y20+областной!Y20+інші!Y20</f>
        <v>0</v>
      </c>
      <c r="Z20" s="153">
        <f>'насел.'!Z20+пільги!Z20+субсидії!Z20+'держ.бюджет'!Z20+'місц.-районн.бюджет'!Z20+областной!Z20+інші!Z20</f>
        <v>0</v>
      </c>
      <c r="AA20" s="154" t="e">
        <f t="shared" si="3"/>
        <v>#DIV/0!</v>
      </c>
      <c r="AB20" s="153">
        <f>'насел.'!AB20+пільги!AB20+субсидії!AB20+'держ.бюджет'!AB20+'місц.-районн.бюджет'!AB20+областной!AB20+інші!AB20</f>
        <v>0</v>
      </c>
      <c r="AC20" s="153">
        <f>'насел.'!AC20+пільги!AC20+субсидії!AC20+'держ.бюджет'!AC20+'місц.-районн.бюджет'!AC20+областной!AC20+інші!AC20</f>
        <v>0</v>
      </c>
      <c r="AD20" s="154" t="e">
        <f t="shared" si="9"/>
        <v>#DIV/0!</v>
      </c>
      <c r="AE20" s="153">
        <f>'насел.'!AE20+пільги!AE20+субсидії!AE20+'держ.бюджет'!AE20+'місц.-районн.бюджет'!AE20+областной!AE20+інші!AE20</f>
        <v>0</v>
      </c>
      <c r="AF20" s="153">
        <f>'насел.'!AF20+пільги!AF20+субсидії!AF20+'держ.бюджет'!AF20+'місц.-районн.бюджет'!AF20+областной!AF20+інші!AF20</f>
        <v>0</v>
      </c>
      <c r="AG20" s="154" t="e">
        <f t="shared" si="10"/>
        <v>#DIV/0!</v>
      </c>
      <c r="AH20" s="16">
        <f>'насел.'!AH20+пільги!AH20+субсидії!AH20+'держ.бюджет'!AH20+'місц.-районн.бюджет'!AH20+областной!AH20+інші!AH20</f>
        <v>0</v>
      </c>
      <c r="AI20" s="16">
        <f>'насел.'!AI20+пільги!AI20+субсидії!AI20+'держ.бюджет'!AI20+'місц.-районн.бюджет'!AI20+областной!AI20+інші!AI20</f>
        <v>0</v>
      </c>
      <c r="AJ20" s="153">
        <f>'насел.'!AJ20+пільги!AJ20+субсидії!AJ20+'держ.бюджет'!AJ20+'місц.-районн.бюджет'!AJ20+областной!AJ20+інші!AJ20</f>
        <v>0</v>
      </c>
      <c r="AK20" s="153">
        <f>'насел.'!AK20+пільги!AK20+субсидії!AK20+'держ.бюджет'!AK20+'місц.-районн.бюджет'!AK20+областной!AK20+інші!AK20</f>
        <v>0</v>
      </c>
      <c r="AL20" s="153" t="e">
        <f t="shared" si="11"/>
        <v>#DIV/0!</v>
      </c>
      <c r="AM20" s="153">
        <f>'насел.'!AM20+пільги!AM20+субсидії!AM20+'держ.бюджет'!AM20+'місц.-районн.бюджет'!AM20+областной!AM20+інші!AM20</f>
        <v>0</v>
      </c>
      <c r="AN20" s="153">
        <f>'насел.'!AN20+пільги!AN20+субсидії!AN20+'держ.бюджет'!AN20+'місц.-районн.бюджет'!AN20+областной!AN20+інші!AN20</f>
        <v>0</v>
      </c>
      <c r="AO20" s="153">
        <f>'насел.'!AO20+пільги!AO20+субсидії!AO20+'держ.бюджет'!AO20+'місц.-районн.бюджет'!AO20+областной!AO20+інші!AO20</f>
        <v>0</v>
      </c>
      <c r="AP20" s="153">
        <f>'насел.'!AP20+пільги!AP20+субсидії!AP20+'держ.бюджет'!AP20+'місц.-районн.бюджет'!AP20+областной!AP20+інші!AP20</f>
        <v>0</v>
      </c>
      <c r="AQ20" s="153">
        <f>'насел.'!AQ20+пільги!AQ20+субсидії!AQ20+'держ.бюджет'!AQ20+'місц.-районн.бюджет'!AQ20+областной!AQ20+інші!AQ20</f>
        <v>0</v>
      </c>
      <c r="AR20" s="153">
        <f>'насел.'!AR20+пільги!AR20+субсидії!AR20+'держ.бюджет'!AR20+'місц.-районн.бюджет'!AR20+областной!AR20+інші!AR20</f>
        <v>0</v>
      </c>
      <c r="AS20" s="16">
        <f>'насел.'!AS20+пільги!AS20+субсидії!AS20+'держ.бюджет'!AS20+'місц.-районн.бюджет'!AS20+областной!AS20+інші!AS20</f>
        <v>709.5000000000001</v>
      </c>
      <c r="AT20" s="16">
        <f>'насел.'!AT20+пільги!AT20+субсидії!AT20+'держ.бюджет'!AT20+'місц.-районн.бюджет'!AT20+областной!AT20+інші!AT20</f>
        <v>735.5</v>
      </c>
      <c r="AU20" s="10">
        <f t="shared" si="4"/>
        <v>103.66455250176179</v>
      </c>
      <c r="AV20" s="16">
        <f>'насел.'!AV20+пільги!AV20+субсидії!AV20+'держ.бюджет'!AV20+'місц.-районн.бюджет'!AV20+областной!AV20+інші!AV20</f>
        <v>-25.99999999999996</v>
      </c>
      <c r="AW20" s="104">
        <f>'насел.'!AW20+пільги!AW20+субсидії!AW20+'держ.бюджет'!AW20+'місц.-районн.бюджет'!AW20+областной!AW20+інші!AW20</f>
        <v>388.6</v>
      </c>
      <c r="AX20" s="40">
        <f t="shared" si="12"/>
        <v>709.5</v>
      </c>
      <c r="AY20" s="40">
        <f t="shared" si="13"/>
        <v>735.5</v>
      </c>
      <c r="AZ20" s="40">
        <f t="shared" si="14"/>
        <v>-26</v>
      </c>
      <c r="BA20" s="40">
        <f t="shared" si="15"/>
        <v>388.5999999999999</v>
      </c>
    </row>
    <row r="21" spans="1:53" s="47" customFormat="1" ht="34.5" customHeight="1">
      <c r="A21" s="12" t="s">
        <v>18</v>
      </c>
      <c r="B21" s="62" t="s">
        <v>58</v>
      </c>
      <c r="C21" s="16">
        <f>'насел.'!C21+пільги!C21+субсидії!C21+'держ.бюджет'!C21+'місц.-районн.бюджет'!C21+областной!C21+інші!C21</f>
        <v>77.60000000000001</v>
      </c>
      <c r="D21" s="16">
        <f>'насел.'!D21+пільги!D21+субсидії!D21+'держ.бюджет'!D21+'місц.-районн.бюджет'!D21+областной!D21+інші!D21</f>
        <v>61.199999999999996</v>
      </c>
      <c r="E21" s="16">
        <f>'насел.'!E21+пільги!E21+субсидії!E21+'держ.бюджет'!E21+'місц.-районн.бюджет'!E21+областной!E21+інші!E21</f>
        <v>47.699999999999996</v>
      </c>
      <c r="F21" s="10">
        <f t="shared" si="0"/>
        <v>77.94117647058823</v>
      </c>
      <c r="G21" s="16">
        <f>'насел.'!G21+пільги!G21+субсидії!G21+'держ.бюджет'!G21+'місц.-районн.бюджет'!G21+областной!G21+інші!G21</f>
        <v>-10.5</v>
      </c>
      <c r="H21" s="16">
        <f>'насел.'!H21+пільги!H21+субсидії!H21+'держ.бюджет'!H21+'місц.-районн.бюджет'!H21+областной!H21+інші!H21</f>
        <v>54.3</v>
      </c>
      <c r="I21" s="10">
        <f t="shared" si="1"/>
        <v>-517.1428571428571</v>
      </c>
      <c r="J21" s="16">
        <f>'насел.'!J21+пільги!J21+субсидії!J21+'держ.бюджет'!J21+'місц.-районн.бюджет'!J21+областной!J21+інші!J21</f>
        <v>24.000000000000004</v>
      </c>
      <c r="K21" s="16">
        <f>'насел.'!K21+пільги!K21+субсидії!K21+'держ.бюджет'!K21+'місц.-районн.бюджет'!K21+областной!K21+інші!K21</f>
        <v>26.500000000000004</v>
      </c>
      <c r="L21" s="10">
        <f t="shared" si="2"/>
        <v>110.41666666666667</v>
      </c>
      <c r="M21" s="10">
        <f>'насел.'!M21+пільги!M21+субсидії!M21+'держ.бюджет'!M21+'місц.-районн.бюджет'!M21+областной!M21+інші!M21</f>
        <v>74.7</v>
      </c>
      <c r="N21" s="10">
        <f>'насел.'!N21+пільги!N21+субсидії!N21+'держ.бюджет'!N21+'місц.-районн.бюджет'!N21+областной!N21+інші!N21</f>
        <v>128.5</v>
      </c>
      <c r="O21" s="10">
        <f t="shared" si="5"/>
        <v>172.0214190093708</v>
      </c>
      <c r="P21" s="16">
        <f>'насел.'!P21+пільги!P21+субсидії!P21+'держ.бюджет'!P21+'місц.-районн.бюджет'!P21+областной!P21+інші!P21</f>
        <v>0</v>
      </c>
      <c r="Q21" s="16">
        <f>'насел.'!Q21+пільги!Q21+субсидії!Q21+'держ.бюджет'!Q21+'місц.-районн.бюджет'!Q21+областной!Q21+інші!Q21</f>
        <v>0</v>
      </c>
      <c r="R21" s="10" t="e">
        <f t="shared" si="6"/>
        <v>#DIV/0!</v>
      </c>
      <c r="S21" s="16">
        <f>'насел.'!S21+пільги!S21+субсидії!S21+'держ.бюджет'!S21+'місц.-районн.бюджет'!S21+областной!S21+інші!S21</f>
        <v>0</v>
      </c>
      <c r="T21" s="16">
        <f>'насел.'!T21+пільги!T21+субсидії!T21+'держ.бюджет'!T21+'місц.-районн.бюджет'!T21+областной!T21+інші!T21</f>
        <v>0</v>
      </c>
      <c r="U21" s="10" t="e">
        <f t="shared" si="7"/>
        <v>#DIV/0!</v>
      </c>
      <c r="V21" s="16">
        <f>'насел.'!V21+пільги!V21+субсидії!V21+'держ.бюджет'!V21+'місц.-районн.бюджет'!V21+областной!V21+інші!V21</f>
        <v>0</v>
      </c>
      <c r="W21" s="16">
        <f>'насел.'!W21+пільги!W21+субсидії!W21+'держ.бюджет'!W21+'місц.-районн.бюджет'!W21+областной!W21+інші!W21</f>
        <v>0</v>
      </c>
      <c r="X21" s="10" t="e">
        <f t="shared" si="8"/>
        <v>#DIV/0!</v>
      </c>
      <c r="Y21" s="16">
        <f>'насел.'!Y21+пільги!Y21+субсидії!Y21+'держ.бюджет'!Y21+'місц.-районн.бюджет'!Y21+областной!Y21+інші!Y21</f>
        <v>0</v>
      </c>
      <c r="Z21" s="16">
        <f>'насел.'!Z21+пільги!Z21+субсидії!Z21+'держ.бюджет'!Z21+'місц.-районн.бюджет'!Z21+областной!Z21+інші!Z21</f>
        <v>0</v>
      </c>
      <c r="AA21" s="10" t="e">
        <f t="shared" si="3"/>
        <v>#DIV/0!</v>
      </c>
      <c r="AB21" s="16">
        <f>'насел.'!AB21+пільги!AB21+субсидії!AB21+'держ.бюджет'!AB21+'місц.-районн.бюджет'!AB21+областной!AB21+інші!AB21</f>
        <v>0</v>
      </c>
      <c r="AC21" s="16">
        <f>'насел.'!AC21+пільги!AC21+субсидії!AC21+'держ.бюджет'!AC21+'місц.-районн.бюджет'!AC21+областной!AC21+інші!AC21</f>
        <v>0</v>
      </c>
      <c r="AD21" s="10" t="e">
        <f t="shared" si="9"/>
        <v>#DIV/0!</v>
      </c>
      <c r="AE21" s="16">
        <f>'насел.'!AE21+пільги!AE21+субсидії!AE21+'держ.бюджет'!AE21+'місц.-районн.бюджет'!AE21+областной!AE21+інші!AE21</f>
        <v>0</v>
      </c>
      <c r="AF21" s="16">
        <f>'насел.'!AF21+пільги!AF21+субсидії!AF21+'держ.бюджет'!AF21+'місц.-районн.бюджет'!AF21+областной!AF21+інші!AF21</f>
        <v>0</v>
      </c>
      <c r="AG21" s="10" t="e">
        <f t="shared" si="10"/>
        <v>#DIV/0!</v>
      </c>
      <c r="AH21" s="16">
        <f>'насел.'!AH21+пільги!AH21+субсидії!AH21+'держ.бюджет'!AH21+'місц.-районн.бюджет'!AH21+областной!AH21+інші!AH21</f>
        <v>0</v>
      </c>
      <c r="AI21" s="16">
        <f>'насел.'!AI21+пільги!AI21+субсидії!AI21+'держ.бюджет'!AI21+'місц.-районн.бюджет'!AI21+областной!AI21+інші!AI21</f>
        <v>0</v>
      </c>
      <c r="AJ21" s="16">
        <f>'насел.'!AJ21+пільги!AJ21+субсидії!AJ21+'держ.бюджет'!AJ21+'місц.-районн.бюджет'!AJ21+областной!AJ21+інші!AJ21</f>
        <v>0</v>
      </c>
      <c r="AK21" s="16">
        <f>'насел.'!AK21+пільги!AK21+субсидії!AK21+'держ.бюджет'!AK21+'місц.-районн.бюджет'!AK21+областной!AK21+інші!AK21</f>
        <v>0</v>
      </c>
      <c r="AL21" s="16" t="e">
        <f t="shared" si="11"/>
        <v>#DIV/0!</v>
      </c>
      <c r="AM21" s="16">
        <f>'насел.'!AM21+пільги!AM21+субсидії!AM21+'держ.бюджет'!AM21+'місц.-районн.бюджет'!AM21+областной!AM21+інші!AM21</f>
        <v>0</v>
      </c>
      <c r="AN21" s="16">
        <f>'насел.'!AN21+пільги!AN21+субсидії!AN21+'держ.бюджет'!AN21+'місц.-районн.бюджет'!AN21+областной!AN21+інші!AN21</f>
        <v>0</v>
      </c>
      <c r="AO21" s="16">
        <f>'насел.'!AO21+пільги!AO21+субсидії!AO21+'держ.бюджет'!AO21+'місц.-районн.бюджет'!AO21+областной!AO21+інші!AO21</f>
        <v>0</v>
      </c>
      <c r="AP21" s="16">
        <f>'насел.'!AP21+пільги!AP21+субсидії!AP21+'держ.бюджет'!AP21+'місц.-районн.бюджет'!AP21+областной!AP21+інші!AP21</f>
        <v>0</v>
      </c>
      <c r="AQ21" s="16">
        <f>'насел.'!AQ21+пільги!AQ21+субсидії!AQ21+'держ.бюджет'!AQ21+'місц.-районн.бюджет'!AQ21+областной!AQ21+інші!AQ21</f>
        <v>0</v>
      </c>
      <c r="AR21" s="16">
        <f>'насел.'!AR21+пільги!AR21+субсидії!AR21+'держ.бюджет'!AR21+'місц.-районн.бюджет'!AR21+областной!AR21+інші!AR21</f>
        <v>0</v>
      </c>
      <c r="AS21" s="16">
        <f>'насел.'!AS21+пільги!AS21+субсидії!AS21+'держ.бюджет'!AS21+'місц.-районн.бюджет'!AS21+областной!AS21+інші!AS21</f>
        <v>74.7</v>
      </c>
      <c r="AT21" s="16">
        <f>'насел.'!AT21+пільги!AT21+субсидії!AT21+'держ.бюджет'!AT21+'місц.-районн.бюджет'!AT21+областной!AT21+інші!AT21</f>
        <v>128.5</v>
      </c>
      <c r="AU21" s="10">
        <f t="shared" si="4"/>
        <v>172.0214190093708</v>
      </c>
      <c r="AV21" s="16">
        <f>'насел.'!AV21+пільги!AV21+субсидії!AV21+'держ.бюджет'!AV21+'місц.-районн.бюджет'!AV21+областной!AV21+інші!AV21</f>
        <v>-53.80000000000001</v>
      </c>
      <c r="AW21" s="104">
        <f>'насел.'!AW21+пільги!AW21+субсидії!AW21+'держ.бюджет'!AW21+'місц.-районн.бюджет'!AW21+областной!AW21+інші!AW21</f>
        <v>23.79999999999999</v>
      </c>
      <c r="AX21" s="40">
        <f t="shared" si="12"/>
        <v>74.7</v>
      </c>
      <c r="AY21" s="40">
        <f t="shared" si="13"/>
        <v>128.5</v>
      </c>
      <c r="AZ21" s="40">
        <f t="shared" si="14"/>
        <v>-53.8</v>
      </c>
      <c r="BA21" s="40">
        <f t="shared" si="15"/>
        <v>23.80000000000001</v>
      </c>
    </row>
    <row r="22" spans="1:53" ht="34.5" customHeight="1">
      <c r="A22" s="12" t="s">
        <v>19</v>
      </c>
      <c r="B22" s="62" t="s">
        <v>41</v>
      </c>
      <c r="C22" s="16">
        <f>'насел.'!C22+пільги!C22+субсидії!C22+'держ.бюджет'!C22+'місц.-районн.бюджет'!C22+областной!C22+інші!C22</f>
        <v>-204.7</v>
      </c>
      <c r="D22" s="16">
        <f>'насел.'!D22+пільги!D22+субсидії!D22+'держ.бюджет'!D22+'місц.-районн.бюджет'!D22+областной!D22+інші!D22</f>
        <v>209.00000000000003</v>
      </c>
      <c r="E22" s="16">
        <f>'насел.'!E22+пільги!E22+субсидії!E22+'держ.бюджет'!E22+'місц.-районн.бюджет'!E22+областной!E22+інші!E22</f>
        <v>271.70000000000005</v>
      </c>
      <c r="F22" s="10">
        <f t="shared" si="0"/>
        <v>130</v>
      </c>
      <c r="G22" s="16">
        <f>'насел.'!G22+пільги!G22+субсидії!G22+'держ.бюджет'!G22+'місц.-районн.бюджет'!G22+областной!G22+інші!G22</f>
        <v>232.40000000000003</v>
      </c>
      <c r="H22" s="16">
        <f>'насел.'!H22+пільги!H22+субсидії!H22+'держ.бюджет'!H22+'місц.-районн.бюджет'!H22+областной!H22+інші!H22</f>
        <v>255.10000000000002</v>
      </c>
      <c r="I22" s="10">
        <f t="shared" si="1"/>
        <v>109.76764199655766</v>
      </c>
      <c r="J22" s="16">
        <f>'насел.'!J22+пільги!J22+субсидії!J22+'держ.бюджет'!J22+'місц.-районн.бюджет'!J22+областной!J22+інші!J22</f>
        <v>196.2</v>
      </c>
      <c r="K22" s="16">
        <f>'насел.'!K22+пільги!K22+субсидії!K22+'держ.бюджет'!K22+'місц.-районн.бюджет'!K22+областной!K22+інші!K22</f>
        <v>159.79999999999998</v>
      </c>
      <c r="L22" s="10">
        <f t="shared" si="2"/>
        <v>81.44750254841998</v>
      </c>
      <c r="M22" s="10">
        <f>'насел.'!M22+пільги!M22+субсидії!M22+'держ.бюджет'!M22+'місц.-районн.бюджет'!M22+областной!M22+інші!M22</f>
        <v>637.6</v>
      </c>
      <c r="N22" s="10">
        <f>'насел.'!N22+пільги!N22+субсидії!N22+'держ.бюджет'!N22+'місц.-районн.бюджет'!N22+областной!N22+інші!N22</f>
        <v>686.5999999999999</v>
      </c>
      <c r="O22" s="10">
        <f t="shared" si="5"/>
        <v>107.68506900878292</v>
      </c>
      <c r="P22" s="16">
        <f>'насел.'!P22+пільги!P22+субсидії!P22+'держ.бюджет'!P22+'місц.-районн.бюджет'!P22+областной!P22+інші!P22</f>
        <v>0</v>
      </c>
      <c r="Q22" s="16">
        <f>'насел.'!Q22+пільги!Q22+субсидії!Q22+'держ.бюджет'!Q22+'місц.-районн.бюджет'!Q22+областной!Q22+інші!Q22</f>
        <v>0</v>
      </c>
      <c r="R22" s="10" t="e">
        <f t="shared" si="6"/>
        <v>#DIV/0!</v>
      </c>
      <c r="S22" s="16">
        <f>'насел.'!S22+пільги!S22+субсидії!S22+'держ.бюджет'!S22+'місц.-районн.бюджет'!S22+областной!S22+інші!S22</f>
        <v>0</v>
      </c>
      <c r="T22" s="16">
        <f>'насел.'!T22+пільги!T22+субсидії!T22+'держ.бюджет'!T22+'місц.-районн.бюджет'!T22+областной!T22+інші!T22</f>
        <v>0</v>
      </c>
      <c r="U22" s="10" t="e">
        <f t="shared" si="7"/>
        <v>#DIV/0!</v>
      </c>
      <c r="V22" s="16">
        <f>'насел.'!V22+пільги!V22+субсидії!V22+'держ.бюджет'!V22+'місц.-районн.бюджет'!V22+областной!V22+інші!V22</f>
        <v>0</v>
      </c>
      <c r="W22" s="16">
        <f>'насел.'!W22+пільги!W22+субсидії!W22+'держ.бюджет'!W22+'місц.-районн.бюджет'!W22+областной!W22+інші!W22</f>
        <v>0</v>
      </c>
      <c r="X22" s="10" t="e">
        <f t="shared" si="8"/>
        <v>#DIV/0!</v>
      </c>
      <c r="Y22" s="16">
        <f>'насел.'!Y22+пільги!Y22+субсидії!Y22+'держ.бюджет'!Y22+'місц.-районн.бюджет'!Y22+областной!Y22+інші!Y22</f>
        <v>0</v>
      </c>
      <c r="Z22" s="16">
        <f>'насел.'!Z22+пільги!Z22+субсидії!Z22+'держ.бюджет'!Z22+'місц.-районн.бюджет'!Z22+областной!Z22+інші!Z22</f>
        <v>0</v>
      </c>
      <c r="AA22" s="10" t="e">
        <f t="shared" si="3"/>
        <v>#DIV/0!</v>
      </c>
      <c r="AB22" s="16">
        <f>'насел.'!AB22+пільги!AB22+субсидії!AB22+'держ.бюджет'!AB22+'місц.-районн.бюджет'!AB22+областной!AB22+інші!AB22</f>
        <v>0</v>
      </c>
      <c r="AC22" s="16">
        <f>'насел.'!AC22+пільги!AC22+субсидії!AC22+'держ.бюджет'!AC22+'місц.-районн.бюджет'!AC22+областной!AC22+інші!AC22</f>
        <v>0</v>
      </c>
      <c r="AD22" s="10" t="e">
        <f t="shared" si="9"/>
        <v>#DIV/0!</v>
      </c>
      <c r="AE22" s="16">
        <f>'насел.'!AE22+пільги!AE22+субсидії!AE22+'держ.бюджет'!AE22+'місц.-районн.бюджет'!AE22+областной!AE22+інші!AE22</f>
        <v>0</v>
      </c>
      <c r="AF22" s="16">
        <f>'насел.'!AF22+пільги!AF22+субсидії!AF22+'держ.бюджет'!AF22+'місц.-районн.бюджет'!AF22+областной!AF22+інші!AF22</f>
        <v>0</v>
      </c>
      <c r="AG22" s="10" t="e">
        <f t="shared" si="10"/>
        <v>#DIV/0!</v>
      </c>
      <c r="AH22" s="16">
        <f>'насел.'!AH22+пільги!AH22+субсидії!AH22+'держ.бюджет'!AH22+'місц.-районн.бюджет'!AH22+областной!AH22+інші!AH22</f>
        <v>0</v>
      </c>
      <c r="AI22" s="16">
        <f>'насел.'!AI22+пільги!AI22+субсидії!AI22+'держ.бюджет'!AI22+'місц.-районн.бюджет'!AI22+областной!AI22+інші!AI22</f>
        <v>0</v>
      </c>
      <c r="AJ22" s="16">
        <f>'насел.'!AJ22+пільги!AJ22+субсидії!AJ22+'держ.бюджет'!AJ22+'місц.-районн.бюджет'!AJ22+областной!AJ22+інші!AJ22</f>
        <v>0</v>
      </c>
      <c r="AK22" s="16">
        <f>'насел.'!AK22+пільги!AK22+субсидії!AK22+'держ.бюджет'!AK22+'місц.-районн.бюджет'!AK22+областной!AK22+інші!AK22</f>
        <v>0</v>
      </c>
      <c r="AL22" s="16" t="e">
        <f t="shared" si="11"/>
        <v>#DIV/0!</v>
      </c>
      <c r="AM22" s="16">
        <f>'насел.'!AM22+пільги!AM22+субсидії!AM22+'держ.бюджет'!AM22+'місц.-районн.бюджет'!AM22+областной!AM22+інші!AM22</f>
        <v>0</v>
      </c>
      <c r="AN22" s="16">
        <f>'насел.'!AN22+пільги!AN22+субсидії!AN22+'держ.бюджет'!AN22+'місц.-районн.бюджет'!AN22+областной!AN22+інші!AN22</f>
        <v>0</v>
      </c>
      <c r="AO22" s="16">
        <f>'насел.'!AO22+пільги!AO22+субсидії!AO22+'держ.бюджет'!AO22+'місц.-районн.бюджет'!AO22+областной!AO22+інші!AO22</f>
        <v>0</v>
      </c>
      <c r="AP22" s="16">
        <f>'насел.'!AP22+пільги!AP22+субсидії!AP22+'держ.бюджет'!AP22+'місц.-районн.бюджет'!AP22+областной!AP22+інші!AP22</f>
        <v>0</v>
      </c>
      <c r="AQ22" s="16">
        <f>'насел.'!AQ22+пільги!AQ22+субсидії!AQ22+'держ.бюджет'!AQ22+'місц.-районн.бюджет'!AQ22+областной!AQ22+інші!AQ22</f>
        <v>0</v>
      </c>
      <c r="AR22" s="16">
        <f>'насел.'!AR22+пільги!AR22+субсидії!AR22+'держ.бюджет'!AR22+'місц.-районн.бюджет'!AR22+областной!AR22+інші!AR22</f>
        <v>0</v>
      </c>
      <c r="AS22" s="16">
        <f>'насел.'!AS22+пільги!AS22+субсидії!AS22+'держ.бюджет'!AS22+'місц.-районн.бюджет'!AS22+областной!AS22+інші!AS22</f>
        <v>637.6</v>
      </c>
      <c r="AT22" s="16">
        <f>'насел.'!AT22+пільги!AT22+субсидії!AT22+'держ.бюджет'!AT22+'місц.-районн.бюджет'!AT22+областной!AT22+інші!AT22</f>
        <v>686.5999999999999</v>
      </c>
      <c r="AU22" s="10">
        <f t="shared" si="4"/>
        <v>107.68506900878292</v>
      </c>
      <c r="AV22" s="16">
        <f>'насел.'!AV22+пільги!AV22+субсидії!AV22+'держ.бюджет'!AV22+'місц.-районн.бюджет'!AV22+областной!AV22+інші!AV22</f>
        <v>-49.00000000000003</v>
      </c>
      <c r="AW22" s="104">
        <f>'насел.'!AW22+пільги!AW22+субсидії!AW22+'держ.бюджет'!AW22+'місц.-районн.бюджет'!AW22+областной!AW22+інші!AW22</f>
        <v>-253.70000000000005</v>
      </c>
      <c r="AX22" s="40">
        <f t="shared" si="12"/>
        <v>637.6000000000001</v>
      </c>
      <c r="AY22" s="40">
        <f t="shared" si="13"/>
        <v>686.6</v>
      </c>
      <c r="AZ22" s="40">
        <f t="shared" si="14"/>
        <v>-48.999999999999886</v>
      </c>
      <c r="BA22" s="40">
        <f t="shared" si="15"/>
        <v>-253.69999999999987</v>
      </c>
    </row>
    <row r="23" spans="1:53" ht="34.5" customHeight="1">
      <c r="A23" s="12" t="s">
        <v>20</v>
      </c>
      <c r="B23" s="62" t="s">
        <v>98</v>
      </c>
      <c r="C23" s="16">
        <f>'насел.'!C23+пільги!C23+субсидії!C23+'держ.бюджет'!C23+'місц.-районн.бюджет'!C23+областной!C23+інші!C23</f>
        <v>-25.4</v>
      </c>
      <c r="D23" s="16">
        <f>'насел.'!D23+пільги!D23+субсидії!D23+'держ.бюджет'!D23+'місц.-районн.бюджет'!D23+областной!D23+інші!D23</f>
        <v>36</v>
      </c>
      <c r="E23" s="16">
        <f>'насел.'!E23+пільги!E23+субсидії!E23+'держ.бюджет'!E23+'місц.-районн.бюджет'!E23+областной!E23+інші!E23</f>
        <v>22.099999999999994</v>
      </c>
      <c r="F23" s="10">
        <f t="shared" si="0"/>
        <v>61.38888888888887</v>
      </c>
      <c r="G23" s="16">
        <f>'насел.'!G23+пільги!G23+субсидії!G23+'держ.бюджет'!G23+'місц.-районн.бюджет'!G23+областной!G23+інші!G23</f>
        <v>35.2</v>
      </c>
      <c r="H23" s="16">
        <f>'насел.'!H23+пільги!H23+субсидії!H23+'держ.бюджет'!H23+'місц.-районн.бюджет'!H23+областной!H23+інші!H23</f>
        <v>29.9</v>
      </c>
      <c r="I23" s="10">
        <f t="shared" si="1"/>
        <v>84.94318181818181</v>
      </c>
      <c r="J23" s="16">
        <f>'насел.'!J23+пільги!J23+субсидії!J23+'держ.бюджет'!J23+'місц.-районн.бюджет'!J23+областной!J23+інші!J23</f>
        <v>31.299999999999997</v>
      </c>
      <c r="K23" s="16">
        <f>'насел.'!K23+пільги!K23+субсидії!K23+'держ.бюджет'!K23+'місц.-районн.бюджет'!K23+областной!K23+інші!K23</f>
        <v>24.599999999999998</v>
      </c>
      <c r="L23" s="10">
        <f t="shared" si="2"/>
        <v>78.59424920127796</v>
      </c>
      <c r="M23" s="10">
        <f>'насел.'!M23+пільги!M23+субсидії!M23+'держ.бюджет'!M23+'місц.-районн.бюджет'!M23+областной!M23+інші!M23</f>
        <v>102.5</v>
      </c>
      <c r="N23" s="10">
        <f>'насел.'!N23+пільги!N23+субсидії!N23+'держ.бюджет'!N23+'місц.-районн.бюджет'!N23+областной!N23+інші!N23</f>
        <v>76.6</v>
      </c>
      <c r="O23" s="10">
        <f t="shared" si="5"/>
        <v>74.73170731707317</v>
      </c>
      <c r="P23" s="16">
        <f>'насел.'!P23+пільги!P23+субсидії!P23+'держ.бюджет'!P23+'місц.-районн.бюджет'!P23+областной!P23+інші!P23</f>
        <v>0</v>
      </c>
      <c r="Q23" s="16">
        <f>'насел.'!Q23+пільги!Q23+субсидії!Q23+'держ.бюджет'!Q23+'місц.-районн.бюджет'!Q23+областной!Q23+інші!Q23</f>
        <v>0</v>
      </c>
      <c r="R23" s="10" t="e">
        <f t="shared" si="6"/>
        <v>#DIV/0!</v>
      </c>
      <c r="S23" s="16">
        <f>'насел.'!S23+пільги!S23+субсидії!S23+'держ.бюджет'!S23+'місц.-районн.бюджет'!S23+областной!S23+інші!S23</f>
        <v>0</v>
      </c>
      <c r="T23" s="16">
        <f>'насел.'!T23+пільги!T23+субсидії!T23+'держ.бюджет'!T23+'місц.-районн.бюджет'!T23+областной!T23+інші!T23</f>
        <v>0</v>
      </c>
      <c r="U23" s="10" t="e">
        <f t="shared" si="7"/>
        <v>#DIV/0!</v>
      </c>
      <c r="V23" s="16">
        <f>'насел.'!V23+пільги!V23+субсидії!V23+'держ.бюджет'!V23+'місц.-районн.бюджет'!V23+областной!V23+інші!V23</f>
        <v>0</v>
      </c>
      <c r="W23" s="16">
        <f>'насел.'!W23+пільги!W23+субсидії!W23+'держ.бюджет'!W23+'місц.-районн.бюджет'!W23+областной!W23+інші!W23</f>
        <v>0</v>
      </c>
      <c r="X23" s="10" t="e">
        <f t="shared" si="8"/>
        <v>#DIV/0!</v>
      </c>
      <c r="Y23" s="16">
        <f>'насел.'!Y23+пільги!Y23+субсидії!Y23+'держ.бюджет'!Y23+'місц.-районн.бюджет'!Y23+областной!Y23+інші!Y23</f>
        <v>0</v>
      </c>
      <c r="Z23" s="16">
        <f>'насел.'!Z23+пільги!Z23+субсидії!Z23+'держ.бюджет'!Z23+'місц.-районн.бюджет'!Z23+областной!Z23+інші!Z23</f>
        <v>0</v>
      </c>
      <c r="AA23" s="10" t="e">
        <f t="shared" si="3"/>
        <v>#DIV/0!</v>
      </c>
      <c r="AB23" s="16">
        <f>'насел.'!AB23+пільги!AB23+субсидії!AB23+'держ.бюджет'!AB23+'місц.-районн.бюджет'!AB23+областной!AB23+інші!AB23</f>
        <v>0</v>
      </c>
      <c r="AC23" s="16">
        <f>'насел.'!AC23+пільги!AC23+субсидії!AC23+'держ.бюджет'!AC23+'місц.-районн.бюджет'!AC23+областной!AC23+інші!AC23</f>
        <v>0</v>
      </c>
      <c r="AD23" s="10" t="e">
        <f t="shared" si="9"/>
        <v>#DIV/0!</v>
      </c>
      <c r="AE23" s="16">
        <f>'насел.'!AE23+пільги!AE23+субсидії!AE23+'держ.бюджет'!AE23+'місц.-районн.бюджет'!AE23+областной!AE23+інші!AE23</f>
        <v>0</v>
      </c>
      <c r="AF23" s="16">
        <f>'насел.'!AF23+пільги!AF23+субсидії!AF23+'держ.бюджет'!AF23+'місц.-районн.бюджет'!AF23+областной!AF23+інші!AF23</f>
        <v>0</v>
      </c>
      <c r="AG23" s="10" t="e">
        <f t="shared" si="10"/>
        <v>#DIV/0!</v>
      </c>
      <c r="AH23" s="16">
        <f>'насел.'!AH23+пільги!AH23+субсидії!AH23+'держ.бюджет'!AH23+'місц.-районн.бюджет'!AH23+областной!AH23+інші!AH23</f>
        <v>0</v>
      </c>
      <c r="AI23" s="16">
        <f>'насел.'!AI23+пільги!AI23+субсидії!AI23+'держ.бюджет'!AI23+'місц.-районн.бюджет'!AI23+областной!AI23+інші!AI23</f>
        <v>0</v>
      </c>
      <c r="AJ23" s="16">
        <f>'насел.'!AJ23+пільги!AJ23+субсидії!AJ23+'держ.бюджет'!AJ23+'місц.-районн.бюджет'!AJ23+областной!AJ23+інші!AJ23</f>
        <v>0</v>
      </c>
      <c r="AK23" s="16">
        <f>'насел.'!AK23+пільги!AK23+субсидії!AK23+'держ.бюджет'!AK23+'місц.-районн.бюджет'!AK23+областной!AK23+інші!AK23</f>
        <v>0</v>
      </c>
      <c r="AL23" s="16" t="e">
        <f t="shared" si="11"/>
        <v>#DIV/0!</v>
      </c>
      <c r="AM23" s="16">
        <f>'насел.'!AM23+пільги!AM23+субсидії!AM23+'держ.бюджет'!AM23+'місц.-районн.бюджет'!AM23+областной!AM23+інші!AM23</f>
        <v>0</v>
      </c>
      <c r="AN23" s="16">
        <f>'насел.'!AN23+пільги!AN23+субсидії!AN23+'держ.бюджет'!AN23+'місц.-районн.бюджет'!AN23+областной!AN23+інші!AN23</f>
        <v>0</v>
      </c>
      <c r="AO23" s="16">
        <f>'насел.'!AO23+пільги!AO23+субсидії!AO23+'держ.бюджет'!AO23+'місц.-районн.бюджет'!AO23+областной!AO23+інші!AO23</f>
        <v>0</v>
      </c>
      <c r="AP23" s="16">
        <f>'насел.'!AP23+пільги!AP23+субсидії!AP23+'держ.бюджет'!AP23+'місц.-районн.бюджет'!AP23+областной!AP23+інші!AP23</f>
        <v>0</v>
      </c>
      <c r="AQ23" s="16">
        <f>'насел.'!AQ23+пільги!AQ23+субсидії!AQ23+'держ.бюджет'!AQ23+'місц.-районн.бюджет'!AQ23+областной!AQ23+інші!AQ23</f>
        <v>0</v>
      </c>
      <c r="AR23" s="16">
        <f>'насел.'!AR23+пільги!AR23+субсидії!AR23+'держ.бюджет'!AR23+'місц.-районн.бюджет'!AR23+областной!AR23+інші!AR23</f>
        <v>0</v>
      </c>
      <c r="AS23" s="16">
        <f>'насел.'!AS23+пільги!AS23+субсидії!AS23+'держ.бюджет'!AS23+'місц.-районн.бюджет'!AS23+областной!AS23+інші!AS23</f>
        <v>102.5</v>
      </c>
      <c r="AT23" s="16">
        <f>'насел.'!AT23+пільги!AT23+субсидії!AT23+'держ.бюджет'!AT23+'місц.-районн.бюджет'!AT23+областной!AT23+інші!AT23</f>
        <v>76.6</v>
      </c>
      <c r="AU23" s="10">
        <f t="shared" si="4"/>
        <v>74.73170731707317</v>
      </c>
      <c r="AV23" s="16">
        <f>'насел.'!AV23+пільги!AV23+субсидії!AV23+'держ.бюджет'!AV23+'місц.-районн.бюджет'!AV23+областной!AV23+інші!AV23</f>
        <v>25.9</v>
      </c>
      <c r="AW23" s="104">
        <f>'насел.'!AW23+пільги!AW23+субсидії!AW23+'держ.бюджет'!AW23+'місц.-районн.бюджет'!AW23+областной!AW23+інші!AW23</f>
        <v>0.49999999999999645</v>
      </c>
      <c r="AX23" s="40">
        <f t="shared" si="12"/>
        <v>102.5</v>
      </c>
      <c r="AY23" s="40">
        <f t="shared" si="13"/>
        <v>76.6</v>
      </c>
      <c r="AZ23" s="40">
        <f t="shared" si="14"/>
        <v>25.900000000000006</v>
      </c>
      <c r="BA23" s="40">
        <f t="shared" si="15"/>
        <v>0.5</v>
      </c>
    </row>
    <row r="24" spans="1:53" ht="34.5" customHeight="1">
      <c r="A24" s="12" t="s">
        <v>21</v>
      </c>
      <c r="B24" s="62" t="s">
        <v>40</v>
      </c>
      <c r="C24" s="16">
        <f>'насел.'!C24+пільги!C24+субсидії!C24+'держ.бюджет'!C24+'місц.-районн.бюджет'!C24+областной!C24+інші!C24</f>
        <v>932.4</v>
      </c>
      <c r="D24" s="16">
        <f>'насел.'!D24+пільги!D24+субсидії!D24+'держ.бюджет'!D24+'місц.-районн.бюджет'!D24+областной!D24+інші!D24</f>
        <v>1583.8999999999999</v>
      </c>
      <c r="E24" s="16">
        <f>'насел.'!E24+пільги!E24+субсидії!E24+'держ.бюджет'!E24+'місц.-районн.бюджет'!E24+областной!E24+інші!E24</f>
        <v>1916.5</v>
      </c>
      <c r="F24" s="10">
        <f t="shared" si="0"/>
        <v>120.99880042932006</v>
      </c>
      <c r="G24" s="16">
        <f>'насел.'!G24+пільги!G24+субсидії!G24+'держ.бюджет'!G24+'місц.-районн.бюджет'!G24+областной!G24+інші!G24</f>
        <v>1634.3</v>
      </c>
      <c r="H24" s="16">
        <f>'насел.'!H24+пільги!H24+субсидії!H24+'держ.бюджет'!H24+'місц.-районн.бюджет'!H24+областной!H24+інші!H24</f>
        <v>1719.0000000000002</v>
      </c>
      <c r="I24" s="10">
        <f t="shared" si="1"/>
        <v>105.18264700483388</v>
      </c>
      <c r="J24" s="16">
        <f>'насел.'!J24+пільги!J24+субсидії!J24+'держ.бюджет'!J24+'місц.-районн.бюджет'!J24+областной!J24+інші!J24</f>
        <v>1595.5999999999997</v>
      </c>
      <c r="K24" s="16">
        <f>'насел.'!K24+пільги!K24+субсидії!K24+'держ.бюджет'!K24+'місц.-районн.бюджет'!K24+областной!K24+інші!K24</f>
        <v>1467.6999999999998</v>
      </c>
      <c r="L24" s="10">
        <f t="shared" si="2"/>
        <v>91.98420656806218</v>
      </c>
      <c r="M24" s="10">
        <f>'насел.'!M24+пільги!M24+субсидії!M24+'держ.бюджет'!M24+'місц.-районн.бюджет'!M24+областной!M24+інші!M24</f>
        <v>4813.8</v>
      </c>
      <c r="N24" s="10">
        <f>'насел.'!N24+пільги!N24+субсидії!N24+'держ.бюджет'!N24+'місц.-районн.бюджет'!N24+областной!N24+інші!N24</f>
        <v>5103.2</v>
      </c>
      <c r="O24" s="10">
        <f t="shared" si="5"/>
        <v>106.01188250446631</v>
      </c>
      <c r="P24" s="16">
        <f>'насел.'!P24+пільги!P24+субсидії!P24+'держ.бюджет'!P24+'місц.-районн.бюджет'!P24+областной!P24+інші!P24</f>
        <v>0</v>
      </c>
      <c r="Q24" s="16">
        <f>'насел.'!Q24+пільги!Q24+субсидії!Q24+'держ.бюджет'!Q24+'місц.-районн.бюджет'!Q24+областной!Q24+інші!Q24</f>
        <v>0</v>
      </c>
      <c r="R24" s="10" t="e">
        <f t="shared" si="6"/>
        <v>#DIV/0!</v>
      </c>
      <c r="S24" s="16">
        <f>'насел.'!S24+пільги!S24+субсидії!S24+'держ.бюджет'!S24+'місц.-районн.бюджет'!S24+областной!S24+інші!S24</f>
        <v>0</v>
      </c>
      <c r="T24" s="16">
        <f>'насел.'!T24+пільги!T24+субсидії!T24+'держ.бюджет'!T24+'місц.-районн.бюджет'!T24+областной!T24+інші!T24</f>
        <v>0</v>
      </c>
      <c r="U24" s="10" t="e">
        <f t="shared" si="7"/>
        <v>#DIV/0!</v>
      </c>
      <c r="V24" s="16">
        <f>'насел.'!V24+пільги!V24+субсидії!V24+'держ.бюджет'!V24+'місц.-районн.бюджет'!V24+областной!V24+інші!V24</f>
        <v>0</v>
      </c>
      <c r="W24" s="16">
        <f>'насел.'!W24+пільги!W24+субсидії!W24+'держ.бюджет'!W24+'місц.-районн.бюджет'!W24+областной!W24+інші!W24</f>
        <v>0</v>
      </c>
      <c r="X24" s="10" t="e">
        <f t="shared" si="8"/>
        <v>#DIV/0!</v>
      </c>
      <c r="Y24" s="16">
        <f>'насел.'!Y24+пільги!Y24+субсидії!Y24+'держ.бюджет'!Y24+'місц.-районн.бюджет'!Y24+областной!Y24+інші!Y24</f>
        <v>0</v>
      </c>
      <c r="Z24" s="16">
        <f>'насел.'!Z24+пільги!Z24+субсидії!Z24+'держ.бюджет'!Z24+'місц.-районн.бюджет'!Z24+областной!Z24+інші!Z24</f>
        <v>0</v>
      </c>
      <c r="AA24" s="10" t="e">
        <f t="shared" si="3"/>
        <v>#DIV/0!</v>
      </c>
      <c r="AB24" s="16">
        <f>'насел.'!AB24+пільги!AB24+субсидії!AB24+'держ.бюджет'!AB24+'місц.-районн.бюджет'!AB24+областной!AB24+інші!AB24</f>
        <v>0</v>
      </c>
      <c r="AC24" s="16">
        <f>'насел.'!AC24+пільги!AC24+субсидії!AC24+'держ.бюджет'!AC24+'місц.-районн.бюджет'!AC24+областной!AC24+інші!AC24</f>
        <v>0</v>
      </c>
      <c r="AD24" s="10" t="e">
        <f t="shared" si="9"/>
        <v>#DIV/0!</v>
      </c>
      <c r="AE24" s="16">
        <f>'насел.'!AE24+пільги!AE24+субсидії!AE24+'держ.бюджет'!AE24+'місц.-районн.бюджет'!AE24+областной!AE24+інші!AE24</f>
        <v>0</v>
      </c>
      <c r="AF24" s="16">
        <f>'насел.'!AF24+пільги!AF24+субсидії!AF24+'держ.бюджет'!AF24+'місц.-районн.бюджет'!AF24+областной!AF24+інші!AF24</f>
        <v>0</v>
      </c>
      <c r="AG24" s="10" t="e">
        <f t="shared" si="10"/>
        <v>#DIV/0!</v>
      </c>
      <c r="AH24" s="16">
        <f>'насел.'!AH24+пільги!AH24+субсидії!AH24+'держ.бюджет'!AH24+'місц.-районн.бюджет'!AH24+областной!AH24+інші!AH24</f>
        <v>0</v>
      </c>
      <c r="AI24" s="16">
        <f>'насел.'!AI24+пільги!AI24+субсидії!AI24+'держ.бюджет'!AI24+'місц.-районн.бюджет'!AI24+областной!AI24+інші!AI24</f>
        <v>0</v>
      </c>
      <c r="AJ24" s="16">
        <f>'насел.'!AJ24+пільги!AJ24+субсидії!AJ24+'держ.бюджет'!AJ24+'місц.-районн.бюджет'!AJ24+областной!AJ24+інші!AJ24</f>
        <v>0</v>
      </c>
      <c r="AK24" s="16">
        <f>'насел.'!AK24+пільги!AK24+субсидії!AK24+'держ.бюджет'!AK24+'місц.-районн.бюджет'!AK24+областной!AK24+інші!AK24</f>
        <v>0</v>
      </c>
      <c r="AL24" s="16" t="e">
        <f t="shared" si="11"/>
        <v>#DIV/0!</v>
      </c>
      <c r="AM24" s="16">
        <f>'насел.'!AM24+пільги!AM24+субсидії!AM24+'держ.бюджет'!AM24+'місц.-районн.бюджет'!AM24+областной!AM24+інші!AM24</f>
        <v>0</v>
      </c>
      <c r="AN24" s="16">
        <f>'насел.'!AN24+пільги!AN24+субсидії!AN24+'держ.бюджет'!AN24+'місц.-районн.бюджет'!AN24+областной!AN24+інші!AN24</f>
        <v>0</v>
      </c>
      <c r="AO24" s="16">
        <f>'насел.'!AO24+пільги!AO24+субсидії!AO24+'держ.бюджет'!AO24+'місц.-районн.бюджет'!AO24+областной!AO24+інші!AO24</f>
        <v>0</v>
      </c>
      <c r="AP24" s="16">
        <f>'насел.'!AP24+пільги!AP24+субсидії!AP24+'держ.бюджет'!AP24+'місц.-районн.бюджет'!AP24+областной!AP24+інші!AP24</f>
        <v>0</v>
      </c>
      <c r="AQ24" s="16">
        <f>'насел.'!AQ24+пільги!AQ24+субсидії!AQ24+'держ.бюджет'!AQ24+'місц.-районн.бюджет'!AQ24+областной!AQ24+інші!AQ24</f>
        <v>0</v>
      </c>
      <c r="AR24" s="16">
        <f>'насел.'!AR24+пільги!AR24+субсидії!AR24+'держ.бюджет'!AR24+'місц.-районн.бюджет'!AR24+областной!AR24+інші!AR24</f>
        <v>0</v>
      </c>
      <c r="AS24" s="16">
        <f>'насел.'!AS24+пільги!AS24+субсидії!AS24+'держ.бюджет'!AS24+'місц.-районн.бюджет'!AS24+областной!AS24+інші!AS24</f>
        <v>4813.8</v>
      </c>
      <c r="AT24" s="16">
        <f>'насел.'!AT24+пільги!AT24+субсидії!AT24+'держ.бюджет'!AT24+'місц.-районн.бюджет'!AT24+областной!AT24+інші!AT24</f>
        <v>5103.2</v>
      </c>
      <c r="AU24" s="10">
        <f t="shared" si="4"/>
        <v>106.01188250446631</v>
      </c>
      <c r="AV24" s="16">
        <f>'насел.'!AV24+пільги!AV24+субсидії!AV24+'держ.бюджет'!AV24+'місц.-районн.бюджет'!AV24+областной!AV24+інші!AV24</f>
        <v>-289.39999999999975</v>
      </c>
      <c r="AW24" s="104">
        <f>'насел.'!AW24+пільги!AW24+субсидії!AW24+'держ.бюджет'!AW24+'місц.-районн.бюджет'!AW24+областной!AW24+інші!AW24</f>
        <v>643.0000000000002</v>
      </c>
      <c r="AX24" s="40">
        <f t="shared" si="12"/>
        <v>4813.799999999999</v>
      </c>
      <c r="AY24" s="40">
        <f t="shared" si="13"/>
        <v>5103.2</v>
      </c>
      <c r="AZ24" s="40">
        <f t="shared" si="14"/>
        <v>-289.40000000000055</v>
      </c>
      <c r="BA24" s="40">
        <f t="shared" si="15"/>
        <v>642.9999999999991</v>
      </c>
    </row>
    <row r="25" spans="1:53" ht="34.5" customHeight="1">
      <c r="A25" s="12" t="s">
        <v>22</v>
      </c>
      <c r="B25" s="58" t="s">
        <v>43</v>
      </c>
      <c r="C25" s="16">
        <f>'насел.'!C25+пільги!C25+субсидії!C25+'держ.бюджет'!C25+'місц.-районн.бюджет'!C25+областной!C25+інші!C25</f>
        <v>-77.10000000000001</v>
      </c>
      <c r="D25" s="16">
        <f>'насел.'!D25+пільги!D25+субсидії!D25+'держ.бюджет'!D25+'місц.-районн.бюджет'!D25+областной!D25+інші!D25</f>
        <v>465.99999999999994</v>
      </c>
      <c r="E25" s="16">
        <f>'насел.'!E25+пільги!E25+субсидії!E25+'держ.бюджет'!E25+'місц.-районн.бюджет'!E25+областной!E25+інші!E25</f>
        <v>327.8</v>
      </c>
      <c r="F25" s="10">
        <f t="shared" si="0"/>
        <v>70.34334763948499</v>
      </c>
      <c r="G25" s="16">
        <f>'насел.'!G25+пільги!G25+субсидії!G25+'держ.бюджет'!G25+'місц.-районн.бюджет'!G25+областной!G25+інші!G25</f>
        <v>426.9</v>
      </c>
      <c r="H25" s="16">
        <f>'насел.'!H25+пільги!H25+субсидії!H25+'держ.бюджет'!H25+'місц.-районн.бюджет'!H25+областной!H25+інші!H25</f>
        <v>546.4</v>
      </c>
      <c r="I25" s="10">
        <f t="shared" si="1"/>
        <v>127.99250409932068</v>
      </c>
      <c r="J25" s="16">
        <f>'насел.'!J25+пільги!J25+субсидії!J25+'держ.бюджет'!J25+'місц.-районн.бюджет'!J25+областной!J25+інші!J25</f>
        <v>430.29999999999995</v>
      </c>
      <c r="K25" s="16">
        <f>'насел.'!K25+пільги!K25+субсидії!K25+'держ.бюджет'!K25+'місц.-районн.бюджет'!K25+областной!K25+інші!K25</f>
        <v>375.7</v>
      </c>
      <c r="L25" s="10">
        <f>K25/J25*100</f>
        <v>87.31117824773415</v>
      </c>
      <c r="M25" s="10">
        <f>'насел.'!M25+пільги!M25+субсидії!M25+'держ.бюджет'!M25+'місц.-районн.бюджет'!M25+областной!M25+інші!M25</f>
        <v>1323.1999999999998</v>
      </c>
      <c r="N25" s="10">
        <f>'насел.'!N25+пільги!N25+субсидії!N25+'держ.бюджет'!N25+'місц.-районн.бюджет'!N25+областной!N25+інші!N25</f>
        <v>1249.9</v>
      </c>
      <c r="O25" s="10">
        <f t="shared" si="5"/>
        <v>94.46039903264814</v>
      </c>
      <c r="P25" s="16">
        <f>'насел.'!P25+пільги!P25+субсидії!P25+'держ.бюджет'!P25+'місц.-районн.бюджет'!P25+областной!P25+інші!P25</f>
        <v>0</v>
      </c>
      <c r="Q25" s="16">
        <f>'насел.'!Q25+пільги!Q25+субсидії!Q25+'держ.бюджет'!Q25+'місц.-районн.бюджет'!Q25+областной!Q25+інші!Q25</f>
        <v>0</v>
      </c>
      <c r="R25" s="10" t="e">
        <f t="shared" si="6"/>
        <v>#DIV/0!</v>
      </c>
      <c r="S25" s="16">
        <f>'насел.'!S25+пільги!S25+субсидії!S25+'держ.бюджет'!S25+'місц.-районн.бюджет'!S25+областной!S25+інші!S25</f>
        <v>0</v>
      </c>
      <c r="T25" s="16">
        <f>'насел.'!T25+пільги!T25+субсидії!T25+'держ.бюджет'!T25+'місц.-районн.бюджет'!T25+областной!T25+інші!T25</f>
        <v>0</v>
      </c>
      <c r="U25" s="10" t="e">
        <f t="shared" si="7"/>
        <v>#DIV/0!</v>
      </c>
      <c r="V25" s="16">
        <f>'насел.'!V25+пільги!V25+субсидії!V25+'держ.бюджет'!V25+'місц.-районн.бюджет'!V25+областной!V25+інші!V25</f>
        <v>0</v>
      </c>
      <c r="W25" s="16">
        <f>'насел.'!W25+пільги!W25+субсидії!W25+'держ.бюджет'!W25+'місц.-районн.бюджет'!W25+областной!W25+інші!W25</f>
        <v>0</v>
      </c>
      <c r="X25" s="10" t="e">
        <f t="shared" si="8"/>
        <v>#DIV/0!</v>
      </c>
      <c r="Y25" s="16">
        <f>'насел.'!Y25+пільги!Y25+субсидії!Y25+'держ.бюджет'!Y25+'місц.-районн.бюджет'!Y25+областной!Y25+інші!Y25</f>
        <v>0</v>
      </c>
      <c r="Z25" s="16">
        <f>'насел.'!Z25+пільги!Z25+субсидії!Z25+'держ.бюджет'!Z25+'місц.-районн.бюджет'!Z25+областной!Z25+інші!Z25</f>
        <v>0</v>
      </c>
      <c r="AA25" s="10" t="e">
        <f t="shared" si="3"/>
        <v>#DIV/0!</v>
      </c>
      <c r="AB25" s="16">
        <f>'насел.'!AB25+пільги!AB25+субсидії!AB25+'держ.бюджет'!AB25+'місц.-районн.бюджет'!AB25+областной!AB25+інші!AB25</f>
        <v>0</v>
      </c>
      <c r="AC25" s="16">
        <f>'насел.'!AC25+пільги!AC25+субсидії!AC25+'держ.бюджет'!AC25+'місц.-районн.бюджет'!AC25+областной!AC25+інші!AC25</f>
        <v>0</v>
      </c>
      <c r="AD25" s="10" t="e">
        <f t="shared" si="9"/>
        <v>#DIV/0!</v>
      </c>
      <c r="AE25" s="16">
        <f>'насел.'!AE25+пільги!AE25+субсидії!AE25+'держ.бюджет'!AE25+'місц.-районн.бюджет'!AE25+областной!AE25+інші!AE25</f>
        <v>0</v>
      </c>
      <c r="AF25" s="16">
        <f>'насел.'!AF25+пільги!AF25+субсидії!AF25+'держ.бюджет'!AF25+'місц.-районн.бюджет'!AF25+областной!AF25+інші!AF25</f>
        <v>0</v>
      </c>
      <c r="AG25" s="10" t="e">
        <f t="shared" si="10"/>
        <v>#DIV/0!</v>
      </c>
      <c r="AH25" s="16">
        <f>'насел.'!AH25+пільги!AH25+субсидії!AH25+'держ.бюджет'!AH25+'місц.-районн.бюджет'!AH25+областной!AH25+інші!AH25</f>
        <v>0</v>
      </c>
      <c r="AI25" s="16">
        <f>'насел.'!AI25+пільги!AI25+субсидії!AI25+'держ.бюджет'!AI25+'місц.-районн.бюджет'!AI25+областной!AI25+інші!AI25</f>
        <v>0</v>
      </c>
      <c r="AJ25" s="16">
        <f>'насел.'!AJ25+пільги!AJ25+субсидії!AJ25+'держ.бюджет'!AJ25+'місц.-районн.бюджет'!AJ25+областной!AJ25+інші!AJ25</f>
        <v>0</v>
      </c>
      <c r="AK25" s="16">
        <f>'насел.'!AK25+пільги!AK25+субсидії!AK25+'держ.бюджет'!AK25+'місц.-районн.бюджет'!AK25+областной!AK25+інші!AK25</f>
        <v>0</v>
      </c>
      <c r="AL25" s="16" t="e">
        <f t="shared" si="11"/>
        <v>#DIV/0!</v>
      </c>
      <c r="AM25" s="16">
        <f>'насел.'!AM25+пільги!AM25+субсидії!AM25+'держ.бюджет'!AM25+'місц.-районн.бюджет'!AM25+областной!AM25+інші!AM25</f>
        <v>0</v>
      </c>
      <c r="AN25" s="16">
        <f>'насел.'!AN25+пільги!AN25+субсидії!AN25+'держ.бюджет'!AN25+'місц.-районн.бюджет'!AN25+областной!AN25+інші!AN25</f>
        <v>0</v>
      </c>
      <c r="AO25" s="16">
        <f>'насел.'!AO25+пільги!AO25+субсидії!AO25+'держ.бюджет'!AO25+'місц.-районн.бюджет'!AO25+областной!AO25+інші!AO25</f>
        <v>0</v>
      </c>
      <c r="AP25" s="16">
        <f>'насел.'!AP25+пільги!AP25+субсидії!AP25+'держ.бюджет'!AP25+'місц.-районн.бюджет'!AP25+областной!AP25+інші!AP25</f>
        <v>0</v>
      </c>
      <c r="AQ25" s="16">
        <f>'насел.'!AQ25+пільги!AQ25+субсидії!AQ25+'держ.бюджет'!AQ25+'місц.-районн.бюджет'!AQ25+областной!AQ25+інші!AQ25</f>
        <v>0</v>
      </c>
      <c r="AR25" s="16">
        <f>'насел.'!AR25+пільги!AR25+субсидії!AR25+'держ.бюджет'!AR25+'місц.-районн.бюджет'!AR25+областной!AR25+інші!AR25</f>
        <v>0</v>
      </c>
      <c r="AS25" s="16">
        <f>'насел.'!AS25+пільги!AS25+субсидії!AS25+'держ.бюджет'!AS25+'місц.-районн.бюджет'!AS25+областной!AS25+інші!AS25</f>
        <v>1323.1999999999998</v>
      </c>
      <c r="AT25" s="16">
        <f>'насел.'!AT25+пільги!AT25+субсидії!AT25+'держ.бюджет'!AT25+'місц.-районн.бюджет'!AT25+областной!AT25+інші!AT25</f>
        <v>1249.9</v>
      </c>
      <c r="AU25" s="10">
        <f t="shared" si="4"/>
        <v>94.46039903264814</v>
      </c>
      <c r="AV25" s="16">
        <f>'насел.'!AV25+пільги!AV25+субсидії!AV25+'держ.бюджет'!AV25+'місц.-районн.бюджет'!AV25+областной!AV25+інші!AV25</f>
        <v>73.29999999999991</v>
      </c>
      <c r="AW25" s="104">
        <f>'насел.'!AW25+пільги!AW25+субсидії!AW25+'держ.бюджет'!AW25+'місц.-районн.бюджет'!AW25+областной!AW25+інші!AW25</f>
        <v>-3.800000000000111</v>
      </c>
      <c r="AX25" s="40">
        <f t="shared" si="12"/>
        <v>1323.1999999999998</v>
      </c>
      <c r="AY25" s="40">
        <f t="shared" si="13"/>
        <v>1249.9</v>
      </c>
      <c r="AZ25" s="40">
        <f t="shared" si="14"/>
        <v>73.29999999999973</v>
      </c>
      <c r="BA25" s="40">
        <f t="shared" si="15"/>
        <v>-3.800000000000182</v>
      </c>
    </row>
    <row r="26" spans="1:53" ht="34.5" customHeight="1">
      <c r="A26" s="12" t="s">
        <v>23</v>
      </c>
      <c r="B26" s="62" t="s">
        <v>99</v>
      </c>
      <c r="C26" s="16">
        <f>'насел.'!C26+пільги!C26+субсидії!C26+'держ.бюджет'!C26+'місц.-районн.бюджет'!C26+областной!C26+інші!C26</f>
        <v>154.90000000000003</v>
      </c>
      <c r="D26" s="16">
        <f>'насел.'!D26+пільги!D26+субсидії!D26+'держ.бюджет'!D26+'місц.-районн.бюджет'!D26+областной!D26+інші!D26</f>
        <v>43.900000000000006</v>
      </c>
      <c r="E26" s="16">
        <f>'насел.'!E26+пільги!E26+субсидії!E26+'держ.бюджет'!E26+'місц.-районн.бюджет'!E26+областной!E26+інші!E26</f>
        <v>35.9</v>
      </c>
      <c r="F26" s="10">
        <f t="shared" si="0"/>
        <v>81.7767653758542</v>
      </c>
      <c r="G26" s="16">
        <f>'насел.'!G26+пільги!G26+субсидії!G26+'держ.бюджет'!G26+'місц.-районн.бюджет'!G26+областной!G26+інші!G26</f>
        <v>35.699999999999996</v>
      </c>
      <c r="H26" s="16">
        <f>'насел.'!H26+пільги!H26+субсидії!H26+'держ.бюджет'!H26+'місц.-районн.бюджет'!H26+областной!H26+інші!H26</f>
        <v>30.9</v>
      </c>
      <c r="I26" s="10">
        <f t="shared" si="1"/>
        <v>86.5546218487395</v>
      </c>
      <c r="J26" s="16">
        <f>'насел.'!J26+пільги!J26+субсидії!J26+'держ.бюджет'!J26+'місц.-районн.бюджет'!J26+областной!J26+інші!J26</f>
        <v>37</v>
      </c>
      <c r="K26" s="16">
        <f>'насел.'!K26+пільги!K26+субсидії!K26+'держ.бюджет'!K26+'місц.-районн.бюджет'!K26+областной!K26+інші!K26</f>
        <v>31.599999999999998</v>
      </c>
      <c r="L26" s="10">
        <f>K26/J26*100</f>
        <v>85.4054054054054</v>
      </c>
      <c r="M26" s="10">
        <f>'насел.'!M26+пільги!M26+субсидії!M26+'держ.бюджет'!M26+'місц.-районн.бюджет'!M26+областной!M26+інші!M26</f>
        <v>116.6</v>
      </c>
      <c r="N26" s="10">
        <f>'насел.'!N26+пільги!N26+субсидії!N26+'держ.бюджет'!N26+'місц.-районн.бюджет'!N26+областной!N26+інші!N26</f>
        <v>98.4</v>
      </c>
      <c r="O26" s="10">
        <f t="shared" si="5"/>
        <v>84.39108061749572</v>
      </c>
      <c r="P26" s="16">
        <f>'насел.'!P26+пільги!P26+субсидії!P26+'держ.бюджет'!P26+'місц.-районн.бюджет'!P26+областной!P26+інші!P26</f>
        <v>0</v>
      </c>
      <c r="Q26" s="16">
        <f>'насел.'!Q26+пільги!Q26+субсидії!Q26+'держ.бюджет'!Q26+'місц.-районн.бюджет'!Q26+областной!Q26+інші!Q26</f>
        <v>0</v>
      </c>
      <c r="R26" s="10" t="e">
        <f t="shared" si="6"/>
        <v>#DIV/0!</v>
      </c>
      <c r="S26" s="16">
        <f>'насел.'!S26+пільги!S26+субсидії!S26+'держ.бюджет'!S26+'місц.-районн.бюджет'!S26+областной!S26+інші!S26</f>
        <v>0</v>
      </c>
      <c r="T26" s="16">
        <f>'насел.'!T26+пільги!T26+субсидії!T26+'держ.бюджет'!T26+'місц.-районн.бюджет'!T26+областной!T26+інші!T26</f>
        <v>0</v>
      </c>
      <c r="U26" s="10" t="e">
        <f t="shared" si="7"/>
        <v>#DIV/0!</v>
      </c>
      <c r="V26" s="16">
        <f>'насел.'!V26+пільги!V26+субсидії!V26+'держ.бюджет'!V26+'місц.-районн.бюджет'!V26+областной!V26+інші!V26</f>
        <v>0</v>
      </c>
      <c r="W26" s="16">
        <f>'насел.'!W26+пільги!W26+субсидії!W26+'держ.бюджет'!W26+'місц.-районн.бюджет'!W26+областной!W26+інші!W26</f>
        <v>0</v>
      </c>
      <c r="X26" s="10" t="e">
        <f t="shared" si="8"/>
        <v>#DIV/0!</v>
      </c>
      <c r="Y26" s="16">
        <f>'насел.'!Y26+пільги!Y26+субсидії!Y26+'держ.бюджет'!Y26+'місц.-районн.бюджет'!Y26+областной!Y26+інші!Y26</f>
        <v>0</v>
      </c>
      <c r="Z26" s="16">
        <f>'насел.'!Z26+пільги!Z26+субсидії!Z26+'держ.бюджет'!Z26+'місц.-районн.бюджет'!Z26+областной!Z26+інші!Z26</f>
        <v>0</v>
      </c>
      <c r="AA26" s="10" t="e">
        <f t="shared" si="3"/>
        <v>#DIV/0!</v>
      </c>
      <c r="AB26" s="16">
        <f>'насел.'!AB26+пільги!AB26+субсидії!AB26+'держ.бюджет'!AB26+'місц.-районн.бюджет'!AB26+областной!AB26+інші!AB26</f>
        <v>0</v>
      </c>
      <c r="AC26" s="16">
        <f>'насел.'!AC26+пільги!AC26+субсидії!AC26+'держ.бюджет'!AC26+'місц.-районн.бюджет'!AC26+областной!AC26+інші!AC26</f>
        <v>0</v>
      </c>
      <c r="AD26" s="10" t="e">
        <f t="shared" si="9"/>
        <v>#DIV/0!</v>
      </c>
      <c r="AE26" s="16">
        <f>'насел.'!AE26+пільги!AE26+субсидії!AE26+'держ.бюджет'!AE26+'місц.-районн.бюджет'!AE26+областной!AE26+інші!AE26</f>
        <v>0</v>
      </c>
      <c r="AF26" s="16">
        <f>'насел.'!AF26+пільги!AF26+субсидії!AF26+'держ.бюджет'!AF26+'місц.-районн.бюджет'!AF26+областной!AF26+інші!AF26</f>
        <v>0</v>
      </c>
      <c r="AG26" s="10" t="e">
        <f t="shared" si="10"/>
        <v>#DIV/0!</v>
      </c>
      <c r="AH26" s="16">
        <f>'насел.'!AH26+пільги!AH26+субсидії!AH26+'держ.бюджет'!AH26+'місц.-районн.бюджет'!AH26+областной!AH26+інші!AH26</f>
        <v>0</v>
      </c>
      <c r="AI26" s="16">
        <f>'насел.'!AI26+пільги!AI26+субсидії!AI26+'держ.бюджет'!AI26+'місц.-районн.бюджет'!AI26+областной!AI26+інші!AI26</f>
        <v>0</v>
      </c>
      <c r="AJ26" s="16">
        <f>'насел.'!AJ26+пільги!AJ26+субсидії!AJ26+'держ.бюджет'!AJ26+'місц.-районн.бюджет'!AJ26+областной!AJ26+інші!AJ26</f>
        <v>0</v>
      </c>
      <c r="AK26" s="16">
        <f>'насел.'!AK26+пільги!AK26+субсидії!AK26+'держ.бюджет'!AK26+'місц.-районн.бюджет'!AK26+областной!AK26+інші!AK26</f>
        <v>0</v>
      </c>
      <c r="AL26" s="16" t="e">
        <f t="shared" si="11"/>
        <v>#DIV/0!</v>
      </c>
      <c r="AM26" s="16">
        <f>'насел.'!AM26+пільги!AM26+субсидії!AM26+'держ.бюджет'!AM26+'місц.-районн.бюджет'!AM26+областной!AM26+інші!AM26</f>
        <v>0</v>
      </c>
      <c r="AN26" s="16">
        <f>'насел.'!AN26+пільги!AN26+субсидії!AN26+'держ.бюджет'!AN26+'місц.-районн.бюджет'!AN26+областной!AN26+інші!AN26</f>
        <v>0</v>
      </c>
      <c r="AO26" s="16">
        <f>'насел.'!AO26+пільги!AO26+субсидії!AO26+'держ.бюджет'!AO26+'місц.-районн.бюджет'!AO26+областной!AO26+інші!AO26</f>
        <v>0</v>
      </c>
      <c r="AP26" s="16">
        <f>'насел.'!AP26+пільги!AP26+субсидії!AP26+'держ.бюджет'!AP26+'місц.-районн.бюджет'!AP26+областной!AP26+інші!AP26</f>
        <v>0</v>
      </c>
      <c r="AQ26" s="16">
        <f>'насел.'!AQ26+пільги!AQ26+субсидії!AQ26+'держ.бюджет'!AQ26+'місц.-районн.бюджет'!AQ26+областной!AQ26+інші!AQ26</f>
        <v>0</v>
      </c>
      <c r="AR26" s="16">
        <f>'насел.'!AR26+пільги!AR26+субсидії!AR26+'держ.бюджет'!AR26+'місц.-районн.бюджет'!AR26+областной!AR26+інші!AR26</f>
        <v>0</v>
      </c>
      <c r="AS26" s="16">
        <f>'насел.'!AS26+пільги!AS26+субсидії!AS26+'держ.бюджет'!AS26+'місц.-районн.бюджет'!AS26+областной!AS26+інші!AS26</f>
        <v>116.6</v>
      </c>
      <c r="AT26" s="16">
        <f>'насел.'!AT26+пільги!AT26+субсидії!AT26+'держ.бюджет'!AT26+'місц.-районн.бюджет'!AT26+областной!AT26+інші!AT26</f>
        <v>98.4</v>
      </c>
      <c r="AU26" s="10">
        <f t="shared" si="4"/>
        <v>84.39108061749572</v>
      </c>
      <c r="AV26" s="16">
        <f>'насел.'!AV26+пільги!AV26+субсидії!AV26+'держ.бюджет'!AV26+'місц.-районн.бюджет'!AV26+областной!AV26+інші!AV26</f>
        <v>18.199999999999996</v>
      </c>
      <c r="AW26" s="104">
        <f>'насел.'!AW26+пільги!AW26+субсидії!AW26+'держ.бюджет'!AW26+'місц.-районн.бюджет'!AW26+областной!AW26+інші!AW26</f>
        <v>173.10000000000002</v>
      </c>
      <c r="AX26" s="40">
        <f t="shared" si="12"/>
        <v>116.6</v>
      </c>
      <c r="AY26" s="40">
        <f t="shared" si="13"/>
        <v>98.39999999999999</v>
      </c>
      <c r="AZ26" s="40">
        <f t="shared" si="14"/>
        <v>18.200000000000003</v>
      </c>
      <c r="BA26" s="40">
        <f t="shared" si="15"/>
        <v>173.10000000000002</v>
      </c>
    </row>
    <row r="27" spans="1:53" ht="34.5" customHeight="1">
      <c r="A27" s="12" t="s">
        <v>24</v>
      </c>
      <c r="B27" s="62" t="s">
        <v>59</v>
      </c>
      <c r="C27" s="16">
        <f>'насел.'!C27+пільги!C27+субсидії!C27+'держ.бюджет'!C27+'місц.-районн.бюджет'!C27+областной!C27+інші!C27</f>
        <v>-707.5000000000001</v>
      </c>
      <c r="D27" s="16">
        <f>'насел.'!D27+пільги!D27+субсидії!D27+'держ.бюджет'!D27+'місц.-районн.бюджет'!D27+областной!D27+інші!D27</f>
        <v>901.2</v>
      </c>
      <c r="E27" s="16">
        <f>'насел.'!E27+пільги!E27+субсидії!E27+'держ.бюджет'!E27+'місц.-районн.бюджет'!E27+областной!E27+інші!E27</f>
        <v>896.0999999999999</v>
      </c>
      <c r="F27" s="10">
        <f t="shared" si="0"/>
        <v>99.43408788282288</v>
      </c>
      <c r="G27" s="16">
        <f>'насел.'!G27+пільги!G27+субсидії!G27+'держ.бюджет'!G27+'місц.-районн.бюджет'!G27+областной!G27+інші!G27</f>
        <v>645.5000000000001</v>
      </c>
      <c r="H27" s="16">
        <f>'насел.'!H27+пільги!H27+субсидії!H27+'держ.бюджет'!H27+'місц.-районн.бюджет'!H27+областной!H27+інші!H27</f>
        <v>941.9000000000001</v>
      </c>
      <c r="I27" s="10">
        <f t="shared" si="1"/>
        <v>145.91789310611927</v>
      </c>
      <c r="J27" s="16">
        <f>'насел.'!J27+пільги!J27+субсидії!J27+'держ.бюджет'!J27+'місц.-районн.бюджет'!J27+областной!J27+інші!J27</f>
        <v>629.1999999999999</v>
      </c>
      <c r="K27" s="16">
        <f>'насел.'!K27+пільги!K27+субсидії!K27+'держ.бюджет'!K27+'місц.-районн.бюджет'!K27+областной!K27+інші!K27</f>
        <v>560</v>
      </c>
      <c r="L27" s="10">
        <f>K27/J27*100</f>
        <v>89.00190718372536</v>
      </c>
      <c r="M27" s="10">
        <f>'насел.'!M27+пільги!M27+субсидії!M27+'держ.бюджет'!M27+'місц.-районн.бюджет'!M27+областной!M27+інші!M27</f>
        <v>2175.9</v>
      </c>
      <c r="N27" s="10">
        <f>'насел.'!N27+пільги!N27+субсидії!N27+'держ.бюджет'!N27+'місц.-районн.бюджет'!N27+областной!N27+інші!N27</f>
        <v>2398.0000000000005</v>
      </c>
      <c r="O27" s="10">
        <f t="shared" si="5"/>
        <v>110.207270554713</v>
      </c>
      <c r="P27" s="16">
        <f>'насел.'!P27+пільги!P27+субсидії!P27+'держ.бюджет'!P27+'місц.-районн.бюджет'!P27+областной!P27+інші!P27</f>
        <v>0</v>
      </c>
      <c r="Q27" s="16">
        <f>'насел.'!Q27+пільги!Q27+субсидії!Q27+'держ.бюджет'!Q27+'місц.-районн.бюджет'!Q27+областной!Q27+інші!Q27</f>
        <v>0</v>
      </c>
      <c r="R27" s="10" t="e">
        <f t="shared" si="6"/>
        <v>#DIV/0!</v>
      </c>
      <c r="S27" s="16">
        <f>'насел.'!S27+пільги!S27+субсидії!S27+'держ.бюджет'!S27+'місц.-районн.бюджет'!S27+областной!S27+інші!S27</f>
        <v>0</v>
      </c>
      <c r="T27" s="16">
        <f>'насел.'!T27+пільги!T27+субсидії!T27+'держ.бюджет'!T27+'місц.-районн.бюджет'!T27+областной!T27+інші!T27</f>
        <v>0</v>
      </c>
      <c r="U27" s="10" t="e">
        <f t="shared" si="7"/>
        <v>#DIV/0!</v>
      </c>
      <c r="V27" s="16">
        <f>'насел.'!V27+пільги!V27+субсидії!V27+'держ.бюджет'!V27+'місц.-районн.бюджет'!V27+областной!V27+інші!V27</f>
        <v>0</v>
      </c>
      <c r="W27" s="16">
        <f>'насел.'!W27+пільги!W27+субсидії!W27+'держ.бюджет'!W27+'місц.-районн.бюджет'!W27+областной!W27+інші!W27</f>
        <v>0</v>
      </c>
      <c r="X27" s="10" t="e">
        <f t="shared" si="8"/>
        <v>#DIV/0!</v>
      </c>
      <c r="Y27" s="16">
        <f>'насел.'!Y27+пільги!Y27+субсидії!Y27+'держ.бюджет'!Y27+'місц.-районн.бюджет'!Y27+областной!Y27+інші!Y27</f>
        <v>0</v>
      </c>
      <c r="Z27" s="16">
        <f>'насел.'!Z27+пільги!Z27+субсидії!Z27+'держ.бюджет'!Z27+'місц.-районн.бюджет'!Z27+областной!Z27+інші!Z27</f>
        <v>0</v>
      </c>
      <c r="AA27" s="10" t="e">
        <f t="shared" si="3"/>
        <v>#DIV/0!</v>
      </c>
      <c r="AB27" s="16">
        <f>'насел.'!AB27+пільги!AB27+субсидії!AB27+'держ.бюджет'!AB27+'місц.-районн.бюджет'!AB27+областной!AB27+інші!AB27</f>
        <v>0</v>
      </c>
      <c r="AC27" s="16">
        <f>'насел.'!AC27+пільги!AC27+субсидії!AC27+'держ.бюджет'!AC27+'місц.-районн.бюджет'!AC27+областной!AC27+інші!AC27</f>
        <v>0</v>
      </c>
      <c r="AD27" s="10" t="e">
        <f t="shared" si="9"/>
        <v>#DIV/0!</v>
      </c>
      <c r="AE27" s="16">
        <f>'насел.'!AE27+пільги!AE27+субсидії!AE27+'держ.бюджет'!AE27+'місц.-районн.бюджет'!AE27+областной!AE27+інші!AE27</f>
        <v>0</v>
      </c>
      <c r="AF27" s="16">
        <f>'насел.'!AF27+пільги!AF27+субсидії!AF27+'держ.бюджет'!AF27+'місц.-районн.бюджет'!AF27+областной!AF27+інші!AF27</f>
        <v>0</v>
      </c>
      <c r="AG27" s="10" t="e">
        <f t="shared" si="10"/>
        <v>#DIV/0!</v>
      </c>
      <c r="AH27" s="16">
        <f>'насел.'!AH27+пільги!AH27+субсидії!AH27+'держ.бюджет'!AH27+'місц.-районн.бюджет'!AH27+областной!AH27+інші!AH27</f>
        <v>0</v>
      </c>
      <c r="AI27" s="16">
        <f>'насел.'!AI27+пільги!AI27+субсидії!AI27+'держ.бюджет'!AI27+'місц.-районн.бюджет'!AI27+областной!AI27+інші!AI27</f>
        <v>0</v>
      </c>
      <c r="AJ27" s="16">
        <f>'насел.'!AJ27+пільги!AJ27+субсидії!AJ27+'держ.бюджет'!AJ27+'місц.-районн.бюджет'!AJ27+областной!AJ27+інші!AJ27</f>
        <v>0</v>
      </c>
      <c r="AK27" s="16">
        <f>'насел.'!AK27+пільги!AK27+субсидії!AK27+'держ.бюджет'!AK27+'місц.-районн.бюджет'!AK27+областной!AK27+інші!AK27</f>
        <v>0</v>
      </c>
      <c r="AL27" s="16" t="e">
        <f t="shared" si="11"/>
        <v>#DIV/0!</v>
      </c>
      <c r="AM27" s="16">
        <f>'насел.'!AM27+пільги!AM27+субсидії!AM27+'держ.бюджет'!AM27+'місц.-районн.бюджет'!AM27+областной!AM27+інші!AM27</f>
        <v>0</v>
      </c>
      <c r="AN27" s="16">
        <f>'насел.'!AN27+пільги!AN27+субсидії!AN27+'держ.бюджет'!AN27+'місц.-районн.бюджет'!AN27+областной!AN27+інші!AN27</f>
        <v>0</v>
      </c>
      <c r="AO27" s="16">
        <f>'насел.'!AO27+пільги!AO27+субсидії!AO27+'держ.бюджет'!AO27+'місц.-районн.бюджет'!AO27+областной!AO27+інші!AO27</f>
        <v>0</v>
      </c>
      <c r="AP27" s="16">
        <f>'насел.'!AP27+пільги!AP27+субсидії!AP27+'держ.бюджет'!AP27+'місц.-районн.бюджет'!AP27+областной!AP27+інші!AP27</f>
        <v>0</v>
      </c>
      <c r="AQ27" s="16">
        <f>'насел.'!AQ27+пільги!AQ27+субсидії!AQ27+'держ.бюджет'!AQ27+'місц.-районн.бюджет'!AQ27+областной!AQ27+інші!AQ27</f>
        <v>0</v>
      </c>
      <c r="AR27" s="16">
        <f>'насел.'!AR27+пільги!AR27+субсидії!AR27+'держ.бюджет'!AR27+'місц.-районн.бюджет'!AR27+областной!AR27+інші!AR27</f>
        <v>0</v>
      </c>
      <c r="AS27" s="16">
        <f>'насел.'!AS27+пільги!AS27+субсидії!AS27+'держ.бюджет'!AS27+'місц.-районн.бюджет'!AS27+областной!AS27+інші!AS27</f>
        <v>2175.9</v>
      </c>
      <c r="AT27" s="16">
        <f>'насел.'!AT27+пільги!AT27+субсидії!AT27+'держ.бюджет'!AT27+'місц.-районн.бюджет'!AT27+областной!AT27+інші!AT27</f>
        <v>2398.0000000000005</v>
      </c>
      <c r="AU27" s="10">
        <f t="shared" si="4"/>
        <v>110.207270554713</v>
      </c>
      <c r="AV27" s="16">
        <f>'насел.'!AV27+пільги!AV27+субсидії!AV27+'держ.бюджет'!AV27+'місц.-районн.бюджет'!AV27+областной!AV27+інші!AV27</f>
        <v>-222.1000000000003</v>
      </c>
      <c r="AW27" s="104">
        <f>'насел.'!AW27+пільги!AW27+субсидії!AW27+'держ.бюджет'!AW27+'місц.-районн.бюджет'!AW27+областной!AW27+інші!AW27</f>
        <v>-929.6000000000006</v>
      </c>
      <c r="AX27" s="40">
        <f t="shared" si="12"/>
        <v>2175.9</v>
      </c>
      <c r="AY27" s="40">
        <f t="shared" si="13"/>
        <v>2398</v>
      </c>
      <c r="AZ27" s="40">
        <f t="shared" si="14"/>
        <v>-222.0999999999999</v>
      </c>
      <c r="BA27" s="40">
        <f t="shared" si="15"/>
        <v>-929.5999999999999</v>
      </c>
    </row>
    <row r="28" spans="1:53" ht="34.5" customHeight="1">
      <c r="A28" s="12" t="s">
        <v>25</v>
      </c>
      <c r="B28" s="115" t="s">
        <v>100</v>
      </c>
      <c r="C28" s="16">
        <f>'насел.'!C28+пільги!C28+субсидії!C28+'держ.бюджет'!C28+'місц.-районн.бюджет'!C28+областной!C28+інші!C28</f>
        <v>190.3</v>
      </c>
      <c r="D28" s="16">
        <f>'насел.'!D28+пільги!D28+субсидії!D28+'держ.бюджет'!D28+'місц.-районн.бюджет'!D28+областной!D28+інші!D28</f>
        <v>329.4</v>
      </c>
      <c r="E28" s="16">
        <f>'насел.'!E28+пільги!E28+субсидії!E28+'держ.бюджет'!E28+'місц.-районн.бюджет'!E28+областной!E28+інші!E28</f>
        <v>226.1</v>
      </c>
      <c r="F28" s="10">
        <f t="shared" si="0"/>
        <v>68.63995142683667</v>
      </c>
      <c r="G28" s="16">
        <f>'насел.'!G28+пільги!G28+субсидії!G28+'держ.бюджет'!G28+'місц.-районн.бюджет'!G28+областной!G28+інші!G28</f>
        <v>370.79999999999995</v>
      </c>
      <c r="H28" s="16">
        <f>'насел.'!H28+пільги!H28+субсидії!H28+'держ.бюджет'!H28+'місц.-районн.бюджет'!H28+областной!H28+інші!H28</f>
        <v>293.9</v>
      </c>
      <c r="I28" s="10">
        <f t="shared" si="1"/>
        <v>79.26105717367854</v>
      </c>
      <c r="J28" s="16">
        <f>'насел.'!J28+пільги!J28+субсидії!J28+'держ.бюджет'!J28+'місц.-районн.бюджет'!J28+областной!J28+інші!J28</f>
        <v>366.09999999999997</v>
      </c>
      <c r="K28" s="16">
        <f>'насел.'!K28+пільги!K28+субсидії!K28+'держ.бюджет'!K28+'місц.-районн.бюджет'!K28+областной!K28+інші!K28</f>
        <v>426.4000000000001</v>
      </c>
      <c r="L28" s="76">
        <f>K28/J28*100</f>
        <v>116.47090958754443</v>
      </c>
      <c r="M28" s="10">
        <f>'насел.'!M28+пільги!M28+субсидії!M28+'держ.бюджет'!M28+'місц.-районн.бюджет'!M28+областной!M28+інші!M28</f>
        <v>1066.3</v>
      </c>
      <c r="N28" s="10">
        <f>'насел.'!N28+пільги!N28+субсидії!N28+'держ.бюджет'!N28+'місц.-районн.бюджет'!N28+областной!N28+інші!N28</f>
        <v>946.4</v>
      </c>
      <c r="O28" s="10">
        <f t="shared" si="5"/>
        <v>88.7555097064616</v>
      </c>
      <c r="P28" s="16">
        <f>'насел.'!P28+пільги!P28+субсидії!P28+'держ.бюджет'!P28+'місц.-районн.бюджет'!P28+областной!P28+інші!P28</f>
        <v>0</v>
      </c>
      <c r="Q28" s="16">
        <f>'насел.'!Q28+пільги!Q28+субсидії!Q28+'держ.бюджет'!Q28+'місц.-районн.бюджет'!Q28+областной!Q28+інші!Q28</f>
        <v>0</v>
      </c>
      <c r="R28" s="10" t="e">
        <f t="shared" si="6"/>
        <v>#DIV/0!</v>
      </c>
      <c r="S28" s="16">
        <f>'насел.'!S28+пільги!S28+субсидії!S28+'держ.бюджет'!S28+'місц.-районн.бюджет'!S28+областной!S28+інші!S28</f>
        <v>0</v>
      </c>
      <c r="T28" s="16">
        <f>'насел.'!T28+пільги!T28+субсидії!T28+'держ.бюджет'!T28+'місц.-районн.бюджет'!T28+областной!T28+інші!T28</f>
        <v>0</v>
      </c>
      <c r="U28" s="10" t="e">
        <f t="shared" si="7"/>
        <v>#DIV/0!</v>
      </c>
      <c r="V28" s="16">
        <f>'насел.'!V28+пільги!V28+субсидії!V28+'держ.бюджет'!V28+'місц.-районн.бюджет'!V28+областной!V28+інші!V28</f>
        <v>0</v>
      </c>
      <c r="W28" s="16">
        <f>'насел.'!W28+пільги!W28+субсидії!W28+'держ.бюджет'!W28+'місц.-районн.бюджет'!W28+областной!W28+інші!W28</f>
        <v>0</v>
      </c>
      <c r="X28" s="10" t="e">
        <f t="shared" si="8"/>
        <v>#DIV/0!</v>
      </c>
      <c r="Y28" s="16">
        <f>'насел.'!Y28+пільги!Y28+субсидії!Y28+'держ.бюджет'!Y28+'місц.-районн.бюджет'!Y28+областной!Y28+інші!Y28</f>
        <v>0</v>
      </c>
      <c r="Z28" s="16">
        <f>'насел.'!Z28+пільги!Z28+субсидії!Z28+'держ.бюджет'!Z28+'місц.-районн.бюджет'!Z28+областной!Z28+інші!Z28</f>
        <v>0</v>
      </c>
      <c r="AA28" s="10" t="e">
        <f t="shared" si="3"/>
        <v>#DIV/0!</v>
      </c>
      <c r="AB28" s="16">
        <f>'насел.'!AB28+пільги!AB28+субсидії!AB28+'держ.бюджет'!AB28+'місц.-районн.бюджет'!AB28+областной!AB28+інші!AB28</f>
        <v>0</v>
      </c>
      <c r="AC28" s="16">
        <f>'насел.'!AC28+пільги!AC28+субсидії!AC28+'держ.бюджет'!AC28+'місц.-районн.бюджет'!AC28+областной!AC28+інші!AC28</f>
        <v>0</v>
      </c>
      <c r="AD28" s="10" t="e">
        <f t="shared" si="9"/>
        <v>#DIV/0!</v>
      </c>
      <c r="AE28" s="16">
        <f>'насел.'!AE28+пільги!AE28+субсидії!AE28+'держ.бюджет'!AE28+'місц.-районн.бюджет'!AE28+областной!AE28+інші!AE28</f>
        <v>0</v>
      </c>
      <c r="AF28" s="16">
        <f>'насел.'!AF28+пільги!AF28+субсидії!AF28+'держ.бюджет'!AF28+'місц.-районн.бюджет'!AF28+областной!AF28+інші!AF28</f>
        <v>0</v>
      </c>
      <c r="AG28" s="10" t="e">
        <f t="shared" si="10"/>
        <v>#DIV/0!</v>
      </c>
      <c r="AH28" s="16">
        <f>'насел.'!AH28+пільги!AH28+субсидії!AH28+'держ.бюджет'!AH28+'місц.-районн.бюджет'!AH28+областной!AH28+інші!AH28</f>
        <v>0</v>
      </c>
      <c r="AI28" s="16">
        <f>'насел.'!AI28+пільги!AI28+субсидії!AI28+'держ.бюджет'!AI28+'місц.-районн.бюджет'!AI28+областной!AI28+інші!AI28</f>
        <v>0</v>
      </c>
      <c r="AJ28" s="16">
        <f>'насел.'!AJ28+пільги!AJ28+субсидії!AJ28+'держ.бюджет'!AJ28+'місц.-районн.бюджет'!AJ28+областной!AJ28+інші!AJ28</f>
        <v>0</v>
      </c>
      <c r="AK28" s="16">
        <f>'насел.'!AK28+пільги!AK28+субсидії!AK28+'держ.бюджет'!AK28+'місц.-районн.бюджет'!AK28+областной!AK28+інші!AK28</f>
        <v>0</v>
      </c>
      <c r="AL28" s="16" t="e">
        <f t="shared" si="11"/>
        <v>#DIV/0!</v>
      </c>
      <c r="AM28" s="16">
        <f>'насел.'!AM28+пільги!AM28+субсидії!AM28+'держ.бюджет'!AM28+'місц.-районн.бюджет'!AM28+областной!AM28+інші!AM28</f>
        <v>0</v>
      </c>
      <c r="AN28" s="16">
        <f>'насел.'!AN28+пільги!AN28+субсидії!AN28+'держ.бюджет'!AN28+'місц.-районн.бюджет'!AN28+областной!AN28+інші!AN28</f>
        <v>0</v>
      </c>
      <c r="AO28" s="16">
        <f>'насел.'!AO28+пільги!AO28+субсидії!AO28+'держ.бюджет'!AO28+'місц.-районн.бюджет'!AO28+областной!AO28+інші!AO28</f>
        <v>0</v>
      </c>
      <c r="AP28" s="16">
        <f>'насел.'!AP28+пільги!AP28+субсидії!AP28+'держ.бюджет'!AP28+'місц.-районн.бюджет'!AP28+областной!AP28+інші!AP28</f>
        <v>0</v>
      </c>
      <c r="AQ28" s="16">
        <f>'насел.'!AQ28+пільги!AQ28+субсидії!AQ28+'держ.бюджет'!AQ28+'місц.-районн.бюджет'!AQ28+областной!AQ28+інші!AQ28</f>
        <v>0</v>
      </c>
      <c r="AR28" s="16">
        <f>'насел.'!AR28+пільги!AR28+субсидії!AR28+'держ.бюджет'!AR28+'місц.-районн.бюджет'!AR28+областной!AR28+інші!AR28</f>
        <v>0</v>
      </c>
      <c r="AS28" s="16">
        <f>'насел.'!AS28+пільги!AS28+субсидії!AS28+'держ.бюджет'!AS28+'місц.-районн.бюджет'!AS28+областной!AS28+інші!AS28</f>
        <v>1066.3</v>
      </c>
      <c r="AT28" s="16">
        <f>'насел.'!AT28+пільги!AT28+субсидії!AT28+'держ.бюджет'!AT28+'місц.-районн.бюджет'!AT28+областной!AT28+інші!AT28</f>
        <v>946.4</v>
      </c>
      <c r="AU28" s="10">
        <f t="shared" si="4"/>
        <v>88.7555097064616</v>
      </c>
      <c r="AV28" s="16">
        <f>'насел.'!AV28+пільги!AV28+субсидії!AV28+'держ.бюджет'!AV28+'місц.-районн.бюджет'!AV28+областной!AV28+інші!AV28</f>
        <v>119.89999999999995</v>
      </c>
      <c r="AW28" s="104">
        <f>'насел.'!AW28+пільги!AW28+субсидії!AW28+'держ.бюджет'!AW28+'місц.-районн.бюджет'!AW28+областной!AW28+інші!AW28</f>
        <v>310.1999999999999</v>
      </c>
      <c r="AX28" s="40">
        <f t="shared" si="12"/>
        <v>1066.3</v>
      </c>
      <c r="AY28" s="40">
        <f t="shared" si="13"/>
        <v>946.4000000000001</v>
      </c>
      <c r="AZ28" s="40">
        <f t="shared" si="14"/>
        <v>119.89999999999986</v>
      </c>
      <c r="BA28" s="40">
        <f t="shared" si="15"/>
        <v>310.1999999999998</v>
      </c>
    </row>
    <row r="29" spans="1:53" ht="34.5" customHeight="1">
      <c r="A29" s="12" t="s">
        <v>26</v>
      </c>
      <c r="B29" s="58" t="s">
        <v>2</v>
      </c>
      <c r="C29" s="127">
        <f>'насел.'!C29+пільги!C29+субсидії!C29+'держ.бюджет'!C29+'місц.-районн.бюджет'!C29+областной!C29+інші!C29</f>
        <v>0</v>
      </c>
      <c r="D29" s="127"/>
      <c r="E29" s="127"/>
      <c r="F29" s="86"/>
      <c r="G29" s="127"/>
      <c r="H29" s="127"/>
      <c r="I29" s="86"/>
      <c r="J29" s="16">
        <f>'насел.'!J29+пільги!J29+субсидії!J29+'держ.бюджет'!J29+'місц.-районн.бюджет'!J29+областной!J29+інші!J29</f>
        <v>0</v>
      </c>
      <c r="K29" s="16">
        <f>'насел.'!K29+пільги!K29+субсидії!K29+'держ.бюджет'!K29+'місц.-районн.бюджет'!K29+областной!K29+інші!K29</f>
        <v>0</v>
      </c>
      <c r="L29" s="155"/>
      <c r="M29" s="86"/>
      <c r="N29" s="86"/>
      <c r="O29" s="86"/>
      <c r="P29" s="127"/>
      <c r="Q29" s="127"/>
      <c r="R29" s="155"/>
      <c r="S29" s="127"/>
      <c r="T29" s="127"/>
      <c r="U29" s="155"/>
      <c r="V29" s="127"/>
      <c r="W29" s="127"/>
      <c r="X29" s="155"/>
      <c r="Y29" s="127"/>
      <c r="Z29" s="127"/>
      <c r="AA29" s="86"/>
      <c r="AB29" s="127"/>
      <c r="AC29" s="127"/>
      <c r="AD29" s="155"/>
      <c r="AE29" s="127"/>
      <c r="AF29" s="127"/>
      <c r="AG29" s="155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6">
        <f>'насел.'!AS29+пільги!AS29+субсидії!AS29+'держ.бюджет'!AS29+'місц.-районн.бюджет'!AS29+областной!AS29+інші!AS29</f>
        <v>0</v>
      </c>
      <c r="AT29" s="16">
        <f>'насел.'!AT29+пільги!AT29+субсидії!AT29+'держ.бюджет'!AT29+'місц.-районн.бюджет'!AT29+областной!AT29+інші!AT29</f>
        <v>0</v>
      </c>
      <c r="AU29" s="86" t="e">
        <f t="shared" si="4"/>
        <v>#DIV/0!</v>
      </c>
      <c r="AV29" s="127">
        <f>'насел.'!AV29+пільги!AV29+субсидії!AV29+'держ.бюджет'!AV29+'місц.-районн.бюджет'!AV29+областной!AV29+інші!AV29</f>
        <v>0</v>
      </c>
      <c r="AW29" s="86">
        <f>'насел.'!AW29+пільги!AW29+субсидії!AW29+'держ.бюджет'!AW29+'місц.-районн.бюджет'!AW29+областной!AW29+інші!AW29</f>
        <v>0</v>
      </c>
      <c r="AX29" s="40">
        <f t="shared" si="12"/>
        <v>0</v>
      </c>
      <c r="AY29" s="40">
        <f t="shared" si="13"/>
        <v>0</v>
      </c>
      <c r="AZ29" s="40"/>
      <c r="BA29" s="40"/>
    </row>
    <row r="30" spans="1:53" ht="34.5" customHeight="1">
      <c r="A30" s="12" t="s">
        <v>27</v>
      </c>
      <c r="B30" s="62" t="s">
        <v>39</v>
      </c>
      <c r="C30" s="16">
        <f>'насел.'!C30+пільги!C30+субсидії!C30+'держ.бюджет'!C30+'місц.-районн.бюджет'!C30+областной!C30+інші!C30</f>
        <v>-97.10000000000001</v>
      </c>
      <c r="D30" s="16">
        <f>'насел.'!D30+пільги!D30+субсидії!D30+'держ.бюджет'!D30+'місц.-районн.бюджет'!D30+областной!D30+інші!D30</f>
        <v>156.6</v>
      </c>
      <c r="E30" s="16">
        <f>'насел.'!E30+пільги!E30+субсидії!E30+'держ.бюджет'!E30+'місц.-районн.бюджет'!E30+областной!E30+інші!E30</f>
        <v>162.8</v>
      </c>
      <c r="F30" s="10">
        <f t="shared" si="0"/>
        <v>103.95913154533845</v>
      </c>
      <c r="G30" s="16">
        <f>'насел.'!G30+пільги!G30+субсидії!G30+'держ.бюджет'!G30+'місц.-районн.бюджет'!G30+областной!G30+інші!G30</f>
        <v>182.2</v>
      </c>
      <c r="H30" s="16">
        <f>'насел.'!H30+пільги!H30+субсидії!H30+'держ.бюджет'!H30+'місц.-районн.бюджет'!H30+областной!H30+інші!H30</f>
        <v>190.7</v>
      </c>
      <c r="I30" s="10">
        <f t="shared" si="1"/>
        <v>104.66520307354557</v>
      </c>
      <c r="J30" s="16">
        <f>'насел.'!J30+пільги!J30+субсидії!J30+'держ.бюджет'!J30+'місц.-районн.бюджет'!J30+областной!J30+інші!J30</f>
        <v>194.7</v>
      </c>
      <c r="K30" s="16">
        <f>'насел.'!K30+пільги!K30+субсидії!K30+'держ.бюджет'!K30+'місц.-районн.бюджет'!K30+областной!K30+інші!K30</f>
        <v>174.3</v>
      </c>
      <c r="L30" s="61">
        <f aca="true" t="shared" si="16" ref="L30:L45">K30/J30*100</f>
        <v>89.52234206471495</v>
      </c>
      <c r="M30" s="10">
        <f>'насел.'!M30+пільги!M30+субсидії!M30+'держ.бюджет'!M30+'місц.-районн.бюджет'!M30+областной!M30+інші!M30</f>
        <v>533.5</v>
      </c>
      <c r="N30" s="10">
        <f>'насел.'!N30+пільги!N30+субсидії!N30+'держ.бюджет'!N30+'місц.-районн.бюджет'!N30+областной!N30+інші!N30</f>
        <v>527.8</v>
      </c>
      <c r="O30" s="10">
        <f t="shared" si="5"/>
        <v>98.93158388003748</v>
      </c>
      <c r="P30" s="16">
        <f>'насел.'!P30+пільги!P30+субсидії!P30+'держ.бюджет'!P30+'місц.-районн.бюджет'!P30+областной!P30+інші!P30</f>
        <v>0</v>
      </c>
      <c r="Q30" s="16">
        <f>'насел.'!Q30+пільги!Q30+субсидії!Q30+'держ.бюджет'!Q30+'місц.-районн.бюджет'!Q30+областной!Q30+інші!Q30</f>
        <v>0</v>
      </c>
      <c r="R30" s="10" t="e">
        <f aca="true" t="shared" si="17" ref="R30:R41">Q30/P30*100</f>
        <v>#DIV/0!</v>
      </c>
      <c r="S30" s="16">
        <f>'насел.'!S30+пільги!S30+субсидії!S30+'держ.бюджет'!S30+'місц.-районн.бюджет'!S30+областной!S30+інші!S30</f>
        <v>0</v>
      </c>
      <c r="T30" s="16">
        <f>'насел.'!T30+пільги!T30+субсидії!T30+'держ.бюджет'!T30+'місц.-районн.бюджет'!T30+областной!T30+інші!T30</f>
        <v>0</v>
      </c>
      <c r="U30" s="10" t="e">
        <f aca="true" t="shared" si="18" ref="U30:U41">T30/S30*100</f>
        <v>#DIV/0!</v>
      </c>
      <c r="V30" s="16">
        <f>'насел.'!V30+пільги!V30+субсидії!V30+'держ.бюджет'!V30+'місц.-районн.бюджет'!V30+областной!V30+інші!V30</f>
        <v>0</v>
      </c>
      <c r="W30" s="16">
        <f>'насел.'!W30+пільги!W30+субсидії!W30+'держ.бюджет'!W30+'місц.-районн.бюджет'!W30+областной!W30+інші!W30</f>
        <v>0</v>
      </c>
      <c r="X30" s="10" t="e">
        <f aca="true" t="shared" si="19" ref="X30:X41">W30/V30*100</f>
        <v>#DIV/0!</v>
      </c>
      <c r="Y30" s="16">
        <f>'насел.'!Y30+пільги!Y30+субсидії!Y30+'держ.бюджет'!Y30+'місц.-районн.бюджет'!Y30+областной!Y30+інші!Y30</f>
        <v>0</v>
      </c>
      <c r="Z30" s="16">
        <f>'насел.'!Z30+пільги!Z30+субсидії!Z30+'держ.бюджет'!Z30+'місц.-районн.бюджет'!Z30+областной!Z30+інші!Z30</f>
        <v>0</v>
      </c>
      <c r="AA30" s="10" t="e">
        <f aca="true" t="shared" si="20" ref="AA30:AA45">Z30/Y30*100</f>
        <v>#DIV/0!</v>
      </c>
      <c r="AB30" s="16">
        <f>'насел.'!AB30+пільги!AB30+субсидії!AB30+'держ.бюджет'!AB30+'місц.-районн.бюджет'!AB30+областной!AB30+інші!AB30</f>
        <v>0</v>
      </c>
      <c r="AC30" s="16">
        <f>'насел.'!AC30+пільги!AC30+субсидії!AC30+'держ.бюджет'!AC30+'місц.-районн.бюджет'!AC30+областной!AC30+інші!AC30</f>
        <v>0</v>
      </c>
      <c r="AD30" s="10" t="e">
        <f aca="true" t="shared" si="21" ref="AD30:AD41">AC30/AB30*100</f>
        <v>#DIV/0!</v>
      </c>
      <c r="AE30" s="16">
        <f>'насел.'!AE30+пільги!AE30+субсидії!AE30+'держ.бюджет'!AE30+'місц.-районн.бюджет'!AE30+областной!AE30+інші!AE30</f>
        <v>0</v>
      </c>
      <c r="AF30" s="16">
        <f>'насел.'!AF30+пільги!AF30+субсидії!AF30+'держ.бюджет'!AF30+'місц.-районн.бюджет'!AF30+областной!AF30+інші!AF30</f>
        <v>0</v>
      </c>
      <c r="AG30" s="10" t="e">
        <f aca="true" t="shared" si="22" ref="AG30:AG41">AF30/AE30*100</f>
        <v>#DIV/0!</v>
      </c>
      <c r="AH30" s="16">
        <f>'насел.'!AH30+пільги!AH30+субсидії!AH30+'держ.бюджет'!AH30+'місц.-районн.бюджет'!AH30+областной!AH30+інші!AH30</f>
        <v>0</v>
      </c>
      <c r="AI30" s="16">
        <f>'насел.'!AI30+пільги!AI30+субсидії!AI30+'держ.бюджет'!AI30+'місц.-районн.бюджет'!AI30+областной!AI30+інші!AI30</f>
        <v>0</v>
      </c>
      <c r="AJ30" s="16">
        <f>'насел.'!AJ30+пільги!AJ30+субсидії!AJ30+'держ.бюджет'!AJ30+'місц.-районн.бюджет'!AJ30+областной!AJ30+інші!AJ30</f>
        <v>0</v>
      </c>
      <c r="AK30" s="16">
        <f>'насел.'!AK30+пільги!AK30+субсидії!AK30+'держ.бюджет'!AK30+'місц.-районн.бюджет'!AK30+областной!AK30+інші!AK30</f>
        <v>0</v>
      </c>
      <c r="AL30" s="16" t="e">
        <f t="shared" si="11"/>
        <v>#DIV/0!</v>
      </c>
      <c r="AM30" s="16">
        <f>'насел.'!AM30+пільги!AM30+субсидії!AM30+'держ.бюджет'!AM30+'місц.-районн.бюджет'!AM30+областной!AM30+інші!AM30</f>
        <v>0</v>
      </c>
      <c r="AN30" s="16">
        <f>'насел.'!AN30+пільги!AN30+субсидії!AN30+'держ.бюджет'!AN30+'місц.-районн.бюджет'!AN30+областной!AN30+інші!AN30</f>
        <v>0</v>
      </c>
      <c r="AO30" s="16">
        <f>'насел.'!AO30+пільги!AO30+субсидії!AO30+'держ.бюджет'!AO30+'місц.-районн.бюджет'!AO30+областной!AO30+інші!AO30</f>
        <v>0</v>
      </c>
      <c r="AP30" s="16">
        <f>'насел.'!AP30+пільги!AP30+субсидії!AP30+'держ.бюджет'!AP30+'місц.-районн.бюджет'!AP30+областной!AP30+інші!AP30</f>
        <v>0</v>
      </c>
      <c r="AQ30" s="16">
        <f>'насел.'!AQ30+пільги!AQ30+субсидії!AQ30+'держ.бюджет'!AQ30+'місц.-районн.бюджет'!AQ30+областной!AQ30+інші!AQ30</f>
        <v>0</v>
      </c>
      <c r="AR30" s="16">
        <f>'насел.'!AR30+пільги!AR30+субсидії!AR30+'держ.бюджет'!AR30+'місц.-районн.бюджет'!AR30+областной!AR30+інші!AR30</f>
        <v>0</v>
      </c>
      <c r="AS30" s="16">
        <f>'насел.'!AS30+пільги!AS30+субсидії!AS30+'держ.бюджет'!AS30+'місц.-районн.бюджет'!AS30+областной!AS30+інші!AS30</f>
        <v>533.5</v>
      </c>
      <c r="AT30" s="16">
        <f>'насел.'!AT30+пільги!AT30+субсидії!AT30+'держ.бюджет'!AT30+'місц.-районн.бюджет'!AT30+областной!AT30+інші!AT30</f>
        <v>527.8</v>
      </c>
      <c r="AU30" s="10">
        <f t="shared" si="4"/>
        <v>98.93158388003748</v>
      </c>
      <c r="AV30" s="16">
        <f>'насел.'!AV30+пільги!AV30+субсидії!AV30+'держ.бюджет'!AV30+'місц.-районн.бюджет'!AV30+областной!AV30+інші!AV30</f>
        <v>5.700000000000019</v>
      </c>
      <c r="AW30" s="104">
        <f>'насел.'!AW30+пільги!AW30+субсидії!AW30+'держ.бюджет'!AW30+'місц.-районн.бюджет'!AW30+областной!AW30+інші!AW30</f>
        <v>-91.39999999999999</v>
      </c>
      <c r="AX30" s="40">
        <f t="shared" si="12"/>
        <v>533.5</v>
      </c>
      <c r="AY30" s="40">
        <f t="shared" si="13"/>
        <v>527.8</v>
      </c>
      <c r="AZ30" s="40">
        <f t="shared" si="14"/>
        <v>5.7000000000000455</v>
      </c>
      <c r="BA30" s="40">
        <f t="shared" si="15"/>
        <v>-91.39999999999998</v>
      </c>
    </row>
    <row r="31" spans="1:53" ht="34.5" customHeight="1">
      <c r="A31" s="12" t="s">
        <v>28</v>
      </c>
      <c r="B31" s="62" t="s">
        <v>3</v>
      </c>
      <c r="C31" s="16">
        <f>'насел.'!C31+пільги!C31+субсидії!C31+'держ.бюджет'!C31+'місц.-районн.бюджет'!C31+областной!C31+інші!C31</f>
        <v>-1005.6000000000001</v>
      </c>
      <c r="D31" s="16">
        <f>'насел.'!D31+пільги!D31+субсидії!D31+'держ.бюджет'!D31+'місц.-районн.бюджет'!D31+областной!D31+інші!D31</f>
        <v>219.60000000000002</v>
      </c>
      <c r="E31" s="16">
        <f>'насел.'!E31+пільги!E31+субсидії!E31+'держ.бюджет'!E31+'місц.-районн.бюджет'!E31+областной!E31+інші!E31</f>
        <v>344.8</v>
      </c>
      <c r="F31" s="10">
        <f t="shared" si="0"/>
        <v>157.0127504553734</v>
      </c>
      <c r="G31" s="16">
        <f>'насел.'!G31+пільги!G31+субсидії!G31+'держ.бюджет'!G31+'місц.-районн.бюджет'!G31+областной!G31+інші!G31</f>
        <v>227.10000000000002</v>
      </c>
      <c r="H31" s="16">
        <f>'насел.'!H31+пільги!H31+субсидії!H31+'держ.бюджет'!H31+'місц.-районн.бюджет'!H31+областной!H31+інші!H31</f>
        <v>168.2</v>
      </c>
      <c r="I31" s="10">
        <f t="shared" si="1"/>
        <v>74.06428885953324</v>
      </c>
      <c r="J31" s="16">
        <f>'насел.'!J31+пільги!J31+субсидії!J31+'держ.бюджет'!J31+'місц.-районн.бюджет'!J31+областной!J31+інші!J31</f>
        <v>238.19999999999996</v>
      </c>
      <c r="K31" s="16">
        <f>'насел.'!K31+пільги!K31+субсидії!K31+'держ.бюджет'!K31+'місц.-районн.бюджет'!K31+областной!K31+інші!K31</f>
        <v>229.50000000000003</v>
      </c>
      <c r="L31" s="61">
        <f t="shared" si="16"/>
        <v>96.34760705289676</v>
      </c>
      <c r="M31" s="10">
        <f>'насел.'!M31+пільги!M31+субсидії!M31+'держ.бюджет'!M31+'місц.-районн.бюджет'!M31+областной!M31+інші!M31</f>
        <v>684.9</v>
      </c>
      <c r="N31" s="10">
        <f>'насел.'!N31+пільги!N31+субсидії!N31+'держ.бюджет'!N31+'місц.-районн.бюджет'!N31+областной!N31+інші!N31</f>
        <v>742.5000000000001</v>
      </c>
      <c r="O31" s="10">
        <f t="shared" si="5"/>
        <v>108.40998685939556</v>
      </c>
      <c r="P31" s="16">
        <f>'насел.'!P31+пільги!P31+субсидії!P31+'держ.бюджет'!P31+'місц.-районн.бюджет'!P31+областной!P31+інші!P31</f>
        <v>0</v>
      </c>
      <c r="Q31" s="16">
        <f>'насел.'!Q31+пільги!Q31+субсидії!Q31+'держ.бюджет'!Q31+'місц.-районн.бюджет'!Q31+областной!Q31+інші!Q31</f>
        <v>0</v>
      </c>
      <c r="R31" s="10" t="e">
        <f t="shared" si="17"/>
        <v>#DIV/0!</v>
      </c>
      <c r="S31" s="16">
        <f>'насел.'!S31+пільги!S31+субсидії!S31+'держ.бюджет'!S31+'місц.-районн.бюджет'!S31+областной!S31+інші!S31</f>
        <v>0</v>
      </c>
      <c r="T31" s="16">
        <f>'насел.'!T31+пільги!T31+субсидії!T31+'держ.бюджет'!T31+'місц.-районн.бюджет'!T31+областной!T31+інші!T31</f>
        <v>0</v>
      </c>
      <c r="U31" s="10" t="e">
        <f t="shared" si="18"/>
        <v>#DIV/0!</v>
      </c>
      <c r="V31" s="16">
        <f>'насел.'!V31+пільги!V31+субсидії!V31+'держ.бюджет'!V31+'місц.-районн.бюджет'!V31+областной!V31+інші!V31</f>
        <v>0</v>
      </c>
      <c r="W31" s="16">
        <f>'насел.'!W31+пільги!W31+субсидії!W31+'держ.бюджет'!W31+'місц.-районн.бюджет'!W31+областной!W31+інші!W31</f>
        <v>0</v>
      </c>
      <c r="X31" s="10" t="e">
        <f t="shared" si="19"/>
        <v>#DIV/0!</v>
      </c>
      <c r="Y31" s="16">
        <f>'насел.'!Y31+пільги!Y31+субсидії!Y31+'держ.бюджет'!Y31+'місц.-районн.бюджет'!Y31+областной!Y31+інші!Y31</f>
        <v>0</v>
      </c>
      <c r="Z31" s="16">
        <f>'насел.'!Z31+пільги!Z31+субсидії!Z31+'держ.бюджет'!Z31+'місц.-районн.бюджет'!Z31+областной!Z31+інші!Z31</f>
        <v>0</v>
      </c>
      <c r="AA31" s="10" t="e">
        <f t="shared" si="20"/>
        <v>#DIV/0!</v>
      </c>
      <c r="AB31" s="16">
        <f>'насел.'!AB31+пільги!AB31+субсидії!AB31+'держ.бюджет'!AB31+'місц.-районн.бюджет'!AB31+областной!AB31+інші!AB31</f>
        <v>0</v>
      </c>
      <c r="AC31" s="16">
        <f>'насел.'!AC31+пільги!AC31+субсидії!AC31+'держ.бюджет'!AC31+'місц.-районн.бюджет'!AC31+областной!AC31+інші!AC31</f>
        <v>0</v>
      </c>
      <c r="AD31" s="10" t="e">
        <f t="shared" si="21"/>
        <v>#DIV/0!</v>
      </c>
      <c r="AE31" s="16">
        <f>'насел.'!AE31+пільги!AE31+субсидії!AE31+'держ.бюджет'!AE31+'місц.-районн.бюджет'!AE31+областной!AE31+інші!AE31</f>
        <v>0</v>
      </c>
      <c r="AF31" s="16">
        <f>'насел.'!AF31+пільги!AF31+субсидії!AF31+'держ.бюджет'!AF31+'місц.-районн.бюджет'!AF31+областной!AF31+інші!AF31</f>
        <v>0</v>
      </c>
      <c r="AG31" s="10" t="e">
        <f t="shared" si="22"/>
        <v>#DIV/0!</v>
      </c>
      <c r="AH31" s="16">
        <f>'насел.'!AH31+пільги!AH31+субсидії!AH31+'держ.бюджет'!AH31+'місц.-районн.бюджет'!AH31+областной!AH31+інші!AH31</f>
        <v>0</v>
      </c>
      <c r="AI31" s="16">
        <f>'насел.'!AI31+пільги!AI31+субсидії!AI31+'держ.бюджет'!AI31+'місц.-районн.бюджет'!AI31+областной!AI31+інші!AI31</f>
        <v>0</v>
      </c>
      <c r="AJ31" s="16">
        <f>'насел.'!AJ31+пільги!AJ31+субсидії!AJ31+'держ.бюджет'!AJ31+'місц.-районн.бюджет'!AJ31+областной!AJ31+інші!AJ31</f>
        <v>0</v>
      </c>
      <c r="AK31" s="16">
        <f>'насел.'!AK31+пільги!AK31+субсидії!AK31+'держ.бюджет'!AK31+'місц.-районн.бюджет'!AK31+областной!AK31+інші!AK31</f>
        <v>0</v>
      </c>
      <c r="AL31" s="16" t="e">
        <f t="shared" si="11"/>
        <v>#DIV/0!</v>
      </c>
      <c r="AM31" s="16">
        <f>'насел.'!AM31+пільги!AM31+субсидії!AM31+'держ.бюджет'!AM31+'місц.-районн.бюджет'!AM31+областной!AM31+інші!AM31</f>
        <v>0</v>
      </c>
      <c r="AN31" s="16">
        <f>'насел.'!AN31+пільги!AN31+субсидії!AN31+'держ.бюджет'!AN31+'місц.-районн.бюджет'!AN31+областной!AN31+інші!AN31</f>
        <v>0</v>
      </c>
      <c r="AO31" s="16">
        <f>'насел.'!AO31+пільги!AO31+субсидії!AO31+'держ.бюджет'!AO31+'місц.-районн.бюджет'!AO31+областной!AO31+інші!AO31</f>
        <v>0</v>
      </c>
      <c r="AP31" s="16">
        <f>'насел.'!AP31+пільги!AP31+субсидії!AP31+'держ.бюджет'!AP31+'місц.-районн.бюджет'!AP31+областной!AP31+інші!AP31</f>
        <v>0</v>
      </c>
      <c r="AQ31" s="16">
        <f>'насел.'!AQ31+пільги!AQ31+субсидії!AQ31+'держ.бюджет'!AQ31+'місц.-районн.бюджет'!AQ31+областной!AQ31+інші!AQ31</f>
        <v>0</v>
      </c>
      <c r="AR31" s="16">
        <f>'насел.'!AR31+пільги!AR31+субсидії!AR31+'держ.бюджет'!AR31+'місц.-районн.бюджет'!AR31+областной!AR31+інші!AR31</f>
        <v>0</v>
      </c>
      <c r="AS31" s="16">
        <f>'насел.'!AS31+пільги!AS31+субсидії!AS31+'держ.бюджет'!AS31+'місц.-районн.бюджет'!AS31+областной!AS31+інші!AS31</f>
        <v>684.9</v>
      </c>
      <c r="AT31" s="16">
        <f>'насел.'!AT31+пільги!AT31+субсидії!AT31+'держ.бюджет'!AT31+'місц.-районн.бюджет'!AT31+областной!AT31+інші!AT31</f>
        <v>742.5000000000001</v>
      </c>
      <c r="AU31" s="10">
        <f t="shared" si="4"/>
        <v>108.40998685939556</v>
      </c>
      <c r="AV31" s="16">
        <f>'насел.'!AV31+пільги!AV31+субсидії!AV31+'держ.бюджет'!AV31+'місц.-районн.бюджет'!AV31+областной!AV31+інші!AV31</f>
        <v>-57.600000000000065</v>
      </c>
      <c r="AW31" s="104">
        <f>'насел.'!AW31+пільги!AW31+субсидії!AW31+'держ.бюджет'!AW31+'місц.-районн.бюджет'!AW31+областной!AW31+інші!AW31</f>
        <v>-1063.2000000000003</v>
      </c>
      <c r="AX31" s="40">
        <f t="shared" si="12"/>
        <v>684.9</v>
      </c>
      <c r="AY31" s="40">
        <f t="shared" si="13"/>
        <v>742.5</v>
      </c>
      <c r="AZ31" s="40">
        <f t="shared" si="14"/>
        <v>-57.60000000000002</v>
      </c>
      <c r="BA31" s="40">
        <f t="shared" si="15"/>
        <v>-1063.2000000000003</v>
      </c>
    </row>
    <row r="32" spans="1:53" ht="34.5" customHeight="1">
      <c r="A32" s="12"/>
      <c r="B32" s="62" t="s">
        <v>101</v>
      </c>
      <c r="C32" s="16">
        <f>'насел.'!C32+пільги!C32+субсидії!C32+'держ.бюджет'!C32+'місц.-районн.бюджет'!C32+областной!C32+інші!C32</f>
        <v>8074.299999999999</v>
      </c>
      <c r="D32" s="16">
        <f>'насел.'!D32+пільги!D32+субсидії!D32+'держ.бюджет'!D32+'місц.-районн.бюджет'!D32+областной!D32+інші!D32</f>
        <v>3051.6</v>
      </c>
      <c r="E32" s="16">
        <f>'насел.'!E32+пільги!E32+субсидії!E32+'держ.бюджет'!E32+'місц.-районн.бюджет'!E32+областной!E32+інші!E32</f>
        <v>2526.6</v>
      </c>
      <c r="F32" s="10">
        <f t="shared" si="0"/>
        <v>82.7959103421156</v>
      </c>
      <c r="G32" s="16">
        <f>'насел.'!G32+пільги!G32+субсидії!G32+'держ.бюджет'!G32+'місц.-районн.бюджет'!G32+областной!G32+інші!G32</f>
        <v>2999.9</v>
      </c>
      <c r="H32" s="16">
        <f>'насел.'!H32+пільги!H32+субсидії!H32+'держ.бюджет'!H32+'місц.-районн.бюджет'!H32+областной!H32+інші!H32</f>
        <v>2252.1</v>
      </c>
      <c r="I32" s="10">
        <f t="shared" si="1"/>
        <v>75.07250241674723</v>
      </c>
      <c r="J32" s="16">
        <f>'насел.'!J32+пільги!J32+субсидії!J32+'держ.бюджет'!J32+'місц.-районн.бюджет'!J32+областной!J32+інші!J32</f>
        <v>3899.6</v>
      </c>
      <c r="K32" s="16">
        <f>'насел.'!K32+пільги!K32+субсидії!K32+'держ.бюджет'!K32+'місц.-районн.бюджет'!K32+областной!K32+інші!K32</f>
        <v>2785.8</v>
      </c>
      <c r="L32" s="61">
        <f t="shared" si="16"/>
        <v>71.43809621499642</v>
      </c>
      <c r="M32" s="16">
        <f>'насел.'!M32+пільги!M32+субсидії!M32+'держ.бюджет'!M32+'місц.-районн.бюджет'!M32+областной!M32+інші!M32</f>
        <v>569</v>
      </c>
      <c r="N32" s="16">
        <f>'насел.'!N32+пільги!N32+субсидії!N32+'держ.бюджет'!N32+'місц.-районн.бюджет'!N32+областной!N32+інші!N32</f>
        <v>497.20000000000005</v>
      </c>
      <c r="O32" s="16">
        <f>'насел.'!O32+пільги!O32+субсидії!O32+'держ.бюджет'!O32+'місц.-районн.бюджет'!O32+областной!O32+інші!O32</f>
        <v>0</v>
      </c>
      <c r="P32" s="16">
        <f>'насел.'!P32+пільги!P32+субсидії!P32+'держ.бюджет'!P32+'місц.-районн.бюджет'!P32+областной!P32+інші!P32</f>
        <v>0</v>
      </c>
      <c r="Q32" s="16">
        <f>'насел.'!Q32+пільги!Q32+субсидії!Q32+'держ.бюджет'!Q32+'місц.-районн.бюджет'!Q32+областной!Q32+інші!Q32</f>
        <v>0</v>
      </c>
      <c r="R32" s="16">
        <f>'насел.'!R32+пільги!R32+субсидії!R32+'держ.бюджет'!R32+'місц.-районн.бюджет'!R32+областной!R32+інші!R32</f>
        <v>0</v>
      </c>
      <c r="S32" s="16">
        <f>'насел.'!S32+пільги!S32+субсидії!S32+'держ.бюджет'!S32+'місц.-районн.бюджет'!S32+областной!S32+інші!S32</f>
        <v>0</v>
      </c>
      <c r="T32" s="16">
        <f>'насел.'!T32+пільги!T32+субсидії!T32+'держ.бюджет'!T32+'місц.-районн.бюджет'!T32+областной!T32+інші!T32</f>
        <v>0</v>
      </c>
      <c r="U32" s="16">
        <f>'насел.'!U32+пільги!U32+субсидії!U32+'держ.бюджет'!U32+'місц.-районн.бюджет'!U32+областной!U32+інші!U32</f>
        <v>0</v>
      </c>
      <c r="V32" s="16">
        <f>'насел.'!V32+пільги!V32+субсидії!V32+'держ.бюджет'!V32+'місц.-районн.бюджет'!V32+областной!V32+інші!V32</f>
        <v>0</v>
      </c>
      <c r="W32" s="16">
        <f>'насел.'!W32+пільги!W32+субсидії!W32+'держ.бюджет'!W32+'місц.-районн.бюджет'!W32+областной!W32+інші!W32</f>
        <v>0</v>
      </c>
      <c r="X32" s="16">
        <f>'насел.'!X32+пільги!X32+субсидії!X32+'держ.бюджет'!X32+'місц.-районн.бюджет'!X32+областной!X32+інші!X32</f>
        <v>0</v>
      </c>
      <c r="Y32" s="16">
        <f>'насел.'!Y32+пільги!Y32+субсидії!Y32+'держ.бюджет'!Y32+'місц.-районн.бюджет'!Y32+областной!Y32+інші!Y32</f>
        <v>0</v>
      </c>
      <c r="Z32" s="16">
        <f>'насел.'!Z32+пільги!Z32+субсидії!Z32+'держ.бюджет'!Z32+'місц.-районн.бюджет'!Z32+областной!Z32+інші!Z32</f>
        <v>0</v>
      </c>
      <c r="AA32" s="16">
        <f>'насел.'!AA32+пільги!AA32+субсидії!AA32+'держ.бюджет'!AA32+'місц.-районн.бюджет'!AA32+областной!AA32+інші!AA32</f>
        <v>0</v>
      </c>
      <c r="AB32" s="16">
        <f>'насел.'!AB32+пільги!AB32+субсидії!AB32+'держ.бюджет'!AB32+'місц.-районн.бюджет'!AB32+областной!AB32+інші!AB32</f>
        <v>0</v>
      </c>
      <c r="AC32" s="16">
        <f>'насел.'!AC32+пільги!AC32+субсидії!AC32+'держ.бюджет'!AC32+'місц.-районн.бюджет'!AC32+областной!AC32+інші!AC32</f>
        <v>0</v>
      </c>
      <c r="AD32" s="16">
        <f>'насел.'!AD32+пільги!AD32+субсидії!AD32+'держ.бюджет'!AD32+'місц.-районн.бюджет'!AD32+областной!AD32+інші!AD32</f>
        <v>0</v>
      </c>
      <c r="AE32" s="16">
        <f>'насел.'!AE32+пільги!AE32+субсидії!AE32+'держ.бюджет'!AE32+'місц.-районн.бюджет'!AE32+областной!AE32+інші!AE32</f>
        <v>0</v>
      </c>
      <c r="AF32" s="16">
        <f>'насел.'!AF32+пільги!AF32+субсидії!AF32+'держ.бюджет'!AF32+'місц.-районн.бюджет'!AF32+областной!AF32+інші!AF32</f>
        <v>0</v>
      </c>
      <c r="AG32" s="16">
        <f>'насел.'!AG32+пільги!AG32+субсидії!AG32+'держ.бюджет'!AG32+'місц.-районн.бюджет'!AG32+областной!AG32+інші!AG32</f>
        <v>0</v>
      </c>
      <c r="AH32" s="16">
        <f>'насел.'!AH32+пільги!AH32+субсидії!AH32+'держ.бюджет'!AH32+'місц.-районн.бюджет'!AH32+областной!AH32+інші!AH32</f>
        <v>0</v>
      </c>
      <c r="AI32" s="16">
        <f>'насел.'!AI32+пільги!AI32+субсидії!AI32+'держ.бюджет'!AI32+'місц.-районн.бюджет'!AI32+областной!AI32+інші!AI32</f>
        <v>0</v>
      </c>
      <c r="AJ32" s="16">
        <f>'насел.'!AJ32+пільги!AJ32+субсидії!AJ32+'держ.бюджет'!AJ32+'місц.-районн.бюджет'!AJ32+областной!AJ32+інші!AJ32</f>
        <v>0</v>
      </c>
      <c r="AK32" s="16">
        <f>'насел.'!AK32+пільги!AK32+субсидії!AK32+'держ.бюджет'!AK32+'місц.-районн.бюджет'!AK32+областной!AK32+інші!AK32</f>
        <v>0</v>
      </c>
      <c r="AL32" s="16">
        <f>'насел.'!AL32+пільги!AL32+субсидії!AL32+'держ.бюджет'!AL32+'місц.-районн.бюджет'!AL32+областной!AL32+інші!AL32</f>
        <v>0</v>
      </c>
      <c r="AM32" s="16">
        <f>'насел.'!AM32+пільги!AM32+субсидії!AM32+'держ.бюджет'!AM32+'місц.-районн.бюджет'!AM32+областной!AM32+інші!AM32</f>
        <v>0</v>
      </c>
      <c r="AN32" s="16">
        <f>'насел.'!AN32+пільги!AN32+субсидії!AN32+'держ.бюджет'!AN32+'місц.-районн.бюджет'!AN32+областной!AN32+інші!AN32</f>
        <v>0</v>
      </c>
      <c r="AO32" s="16">
        <f>'насел.'!AO32+пільги!AO32+субсидії!AO32+'держ.бюджет'!AO32+'місц.-районн.бюджет'!AO32+областной!AO32+інші!AO32</f>
        <v>0</v>
      </c>
      <c r="AP32" s="16">
        <f>'насел.'!AP32+пільги!AP32+субсидії!AP32+'держ.бюджет'!AP32+'місц.-районн.бюджет'!AP32+областной!AP32+інші!AP32</f>
        <v>0</v>
      </c>
      <c r="AQ32" s="16">
        <f>'насел.'!AQ32+пільги!AQ32+субсидії!AQ32+'держ.бюджет'!AQ32+'місц.-районн.бюджет'!AQ32+областной!AQ32+інші!AQ32</f>
        <v>0</v>
      </c>
      <c r="AR32" s="16">
        <f>'насел.'!AR32+пільги!AR32+субсидії!AR32+'держ.бюджет'!AR32+'місц.-районн.бюджет'!AR32+областной!AR32+інші!AR32</f>
        <v>0</v>
      </c>
      <c r="AS32" s="16">
        <f>'насел.'!AS32+пільги!AS32+субсидії!AS32+'держ.бюджет'!AS32+'місц.-районн.бюджет'!AS32+областной!AS32+інші!AS32</f>
        <v>9951.1</v>
      </c>
      <c r="AT32" s="16">
        <f>'насел.'!AT32+пільги!AT32+субсидії!AT32+'держ.бюджет'!AT32+'місц.-районн.бюджет'!AT32+областной!AT32+інші!AT32</f>
        <v>7564.5</v>
      </c>
      <c r="AU32" s="10">
        <f t="shared" si="4"/>
        <v>76.01672176945262</v>
      </c>
      <c r="AV32" s="16">
        <f>'насел.'!AV32+пільги!AV32+субсидії!AV32+'держ.бюджет'!AV32+'місц.-районн.бюджет'!AV32+областной!AV32+інші!AV32</f>
        <v>2404.5000000000005</v>
      </c>
      <c r="AW32" s="104">
        <f>'насел.'!AW32+пільги!AW32+субсидії!AW32+'держ.бюджет'!AW32+'місц.-районн.бюджет'!AW32+областной!AW32+інші!AW32</f>
        <v>10460.900000000001</v>
      </c>
      <c r="AX32" s="40">
        <f t="shared" si="12"/>
        <v>9951.1</v>
      </c>
      <c r="AY32" s="40">
        <f t="shared" si="13"/>
        <v>7564.5</v>
      </c>
      <c r="AZ32" s="40"/>
      <c r="BA32" s="40"/>
    </row>
    <row r="33" spans="1:53" ht="34.5" customHeight="1">
      <c r="A33" s="12" t="s">
        <v>29</v>
      </c>
      <c r="B33" s="62" t="s">
        <v>102</v>
      </c>
      <c r="C33" s="16">
        <f>'насел.'!C33+пільги!C33+субсидії!C33+'держ.бюджет'!C33+'місц.-районн.бюджет'!C33+областной!C33+інші!C33</f>
        <v>6950.5</v>
      </c>
      <c r="D33" s="16">
        <f>'насел.'!D33+пільги!D33+субсидії!D33+'держ.бюджет'!D33+'місц.-районн.бюджет'!D33+областной!D33+інші!D33</f>
        <v>2130.2</v>
      </c>
      <c r="E33" s="16">
        <f>'насел.'!E33+пільги!E33+субсидії!E33+'держ.бюджет'!E33+'місц.-районн.бюджет'!E33+областной!E33+інші!E33</f>
        <v>1972</v>
      </c>
      <c r="F33" s="10">
        <f t="shared" si="0"/>
        <v>92.57346728006762</v>
      </c>
      <c r="G33" s="16">
        <f>'насел.'!G33+пільги!G33+субсидії!G33+'держ.бюджет'!G33+'місц.-районн.бюджет'!G33+областной!G33+інші!G33</f>
        <v>2182.2000000000003</v>
      </c>
      <c r="H33" s="16">
        <f>'насел.'!H33+пільги!H33+субсидії!H33+'держ.бюджет'!H33+'місц.-районн.бюджет'!H33+областной!H33+інші!H33</f>
        <v>1799.6</v>
      </c>
      <c r="I33" s="10">
        <f t="shared" si="1"/>
        <v>82.46723490055905</v>
      </c>
      <c r="J33" s="16">
        <f>'насел.'!J33+пільги!J33+субсидії!J33+'держ.бюджет'!J33+'місц.-районн.бюджет'!J33+областной!J33+інші!J33</f>
        <v>2182.2000000000003</v>
      </c>
      <c r="K33" s="16">
        <f>'насел.'!K33+пільги!K33+субсидії!K33+'держ.бюджет'!K33+'місц.-районн.бюджет'!K33+областной!K33+інші!K33</f>
        <v>1863.4</v>
      </c>
      <c r="L33" s="10">
        <f t="shared" si="16"/>
        <v>85.39088992759599</v>
      </c>
      <c r="M33" s="10">
        <f>'насел.'!M33+пільги!M33+субсидії!M33+'держ.бюджет'!M33+'місц.-районн.бюджет'!M33+областной!M33+інші!M33</f>
        <v>6494.6</v>
      </c>
      <c r="N33" s="10">
        <f>'насел.'!N33+пільги!N33+субсидії!N33+'держ.бюджет'!N33+'місц.-районн.бюджет'!N33+областной!N33+інші!N33</f>
        <v>5635.000000000001</v>
      </c>
      <c r="O33" s="10">
        <f t="shared" si="5"/>
        <v>86.76438887691313</v>
      </c>
      <c r="P33" s="16">
        <f>'насел.'!P33+пільги!P33+субсидії!P33+'держ.бюджет'!P33+'місц.-районн.бюджет'!P33+областной!P33+інші!P33</f>
        <v>0</v>
      </c>
      <c r="Q33" s="16">
        <f>'насел.'!Q33+пільги!Q33+субсидії!Q33+'держ.бюджет'!Q33+'місц.-районн.бюджет'!Q33+областной!Q33+інші!Q33</f>
        <v>0</v>
      </c>
      <c r="R33" s="10" t="e">
        <f t="shared" si="17"/>
        <v>#DIV/0!</v>
      </c>
      <c r="S33" s="16">
        <f>'насел.'!S33+пільги!S33+субсидії!S33+'держ.бюджет'!S33+'місц.-районн.бюджет'!S33+областной!S33+інші!S33</f>
        <v>0</v>
      </c>
      <c r="T33" s="16">
        <f>'насел.'!T33+пільги!T33+субсидії!T33+'держ.бюджет'!T33+'місц.-районн.бюджет'!T33+областной!T33+інші!T33</f>
        <v>0</v>
      </c>
      <c r="U33" s="10" t="e">
        <f t="shared" si="18"/>
        <v>#DIV/0!</v>
      </c>
      <c r="V33" s="16">
        <f>'насел.'!V33+пільги!V33+субсидії!V33+'держ.бюджет'!V33+'місц.-районн.бюджет'!V33+областной!V33+інші!V33</f>
        <v>0</v>
      </c>
      <c r="W33" s="16">
        <f>'насел.'!W33+пільги!W33+субсидії!W33+'держ.бюджет'!W33+'місц.-районн.бюджет'!W33+областной!W33+інші!W33</f>
        <v>0</v>
      </c>
      <c r="X33" s="10" t="e">
        <f t="shared" si="19"/>
        <v>#DIV/0!</v>
      </c>
      <c r="Y33" s="16">
        <f>'насел.'!Y33+пільги!Y33+субсидії!Y33+'держ.бюджет'!Y33+'місц.-районн.бюджет'!Y33+областной!Y33+інші!Y33</f>
        <v>0</v>
      </c>
      <c r="Z33" s="16">
        <f>'насел.'!Z33+пільги!Z33+субсидії!Z33+'держ.бюджет'!Z33+'місц.-районн.бюджет'!Z33+областной!Z33+інші!Z33</f>
        <v>0</v>
      </c>
      <c r="AA33" s="10" t="e">
        <f t="shared" si="20"/>
        <v>#DIV/0!</v>
      </c>
      <c r="AB33" s="16">
        <f>'насел.'!AB33+пільги!AB33+субсидії!AB33+'держ.бюджет'!AB33+'місц.-районн.бюджет'!AB33+областной!AB33+інші!AB33</f>
        <v>0</v>
      </c>
      <c r="AC33" s="16">
        <f>'насел.'!AC33+пільги!AC33+субсидії!AC33+'держ.бюджет'!AC33+'місц.-районн.бюджет'!AC33+областной!AC33+інші!AC33</f>
        <v>0</v>
      </c>
      <c r="AD33" s="10" t="e">
        <f t="shared" si="21"/>
        <v>#DIV/0!</v>
      </c>
      <c r="AE33" s="16">
        <f>'насел.'!AE33+пільги!AE33+субсидії!AE33+'держ.бюджет'!AE33+'місц.-районн.бюджет'!AE33+областной!AE33+інші!AE33</f>
        <v>0</v>
      </c>
      <c r="AF33" s="16">
        <f>'насел.'!AF33+пільги!AF33+субсидії!AF33+'держ.бюджет'!AF33+'місц.-районн.бюджет'!AF33+областной!AF33+інші!AF33</f>
        <v>0</v>
      </c>
      <c r="AG33" s="10" t="e">
        <f t="shared" si="22"/>
        <v>#DIV/0!</v>
      </c>
      <c r="AH33" s="16">
        <f>'насел.'!AH33+пільги!AH33+субсидії!AH33+'держ.бюджет'!AH33+'місц.-районн.бюджет'!AH33+областной!AH33+інші!AH33</f>
        <v>0</v>
      </c>
      <c r="AI33" s="16">
        <f>'насел.'!AI33+пільги!AI33+субсидії!AI33+'держ.бюджет'!AI33+'місц.-районн.бюджет'!AI33+областной!AI33+інші!AI33</f>
        <v>0</v>
      </c>
      <c r="AJ33" s="16">
        <f>'насел.'!AJ33+пільги!AJ33+субсидії!AJ33+'держ.бюджет'!AJ33+'місц.-районн.бюджет'!AJ33+областной!AJ33+інші!AJ33</f>
        <v>0</v>
      </c>
      <c r="AK33" s="16">
        <f>'насел.'!AK33+пільги!AK33+субсидії!AK33+'держ.бюджет'!AK33+'місц.-районн.бюджет'!AK33+областной!AK33+інші!AK33</f>
        <v>0</v>
      </c>
      <c r="AL33" s="16" t="e">
        <f t="shared" si="11"/>
        <v>#DIV/0!</v>
      </c>
      <c r="AM33" s="16">
        <f>'насел.'!AM33+пільги!AM33+субсидії!AM33+'держ.бюджет'!AM33+'місц.-районн.бюджет'!AM33+областной!AM33+інші!AM33</f>
        <v>0</v>
      </c>
      <c r="AN33" s="16">
        <f>'насел.'!AN33+пільги!AN33+субсидії!AN33+'держ.бюджет'!AN33+'місц.-районн.бюджет'!AN33+областной!AN33+інші!AN33</f>
        <v>0</v>
      </c>
      <c r="AO33" s="16">
        <f>'насел.'!AO33+пільги!AO33+субсидії!AO33+'держ.бюджет'!AO33+'місц.-районн.бюджет'!AO33+областной!AO33+інші!AO33</f>
        <v>0</v>
      </c>
      <c r="AP33" s="16">
        <f>'насел.'!AP33+пільги!AP33+субсидії!AP33+'держ.бюджет'!AP33+'місц.-районн.бюджет'!AP33+областной!AP33+інші!AP33</f>
        <v>0</v>
      </c>
      <c r="AQ33" s="16">
        <f>'насел.'!AQ33+пільги!AQ33+субсидії!AQ33+'держ.бюджет'!AQ33+'місц.-районн.бюджет'!AQ33+областной!AQ33+інші!AQ33</f>
        <v>0</v>
      </c>
      <c r="AR33" s="16">
        <f>'насел.'!AR33+пільги!AR33+субсидії!AR33+'держ.бюджет'!AR33+'місц.-районн.бюджет'!AR33+областной!AR33+інші!AR33</f>
        <v>0</v>
      </c>
      <c r="AS33" s="16">
        <f>'насел.'!AS33+пільги!AS33+субсидії!AS33+'держ.бюджет'!AS33+'місц.-районн.бюджет'!AS33+областной!AS33+інші!AS33</f>
        <v>6494.6</v>
      </c>
      <c r="AT33" s="16">
        <f>'насел.'!AT33+пільги!AT33+субсидії!AT33+'держ.бюджет'!AT33+'місц.-районн.бюджет'!AT33+областной!AT33+інші!AT33</f>
        <v>5635.000000000001</v>
      </c>
      <c r="AU33" s="10">
        <f t="shared" si="4"/>
        <v>86.76438887691313</v>
      </c>
      <c r="AV33" s="16">
        <f>'насел.'!AV33+пільги!AV33+субсидії!AV33+'держ.бюджет'!AV33+'місц.-районн.бюджет'!AV33+областной!AV33+інші!AV33</f>
        <v>859.5999999999997</v>
      </c>
      <c r="AW33" s="16">
        <f>'насел.'!AW33+пільги!AW33+субсидії!AW33+'держ.бюджет'!AW33+'місц.-районн.бюджет'!AW33+областной!AW33+інші!AW33</f>
        <v>7810.1</v>
      </c>
      <c r="AX33" s="40">
        <f t="shared" si="12"/>
        <v>6494.6</v>
      </c>
      <c r="AY33" s="40">
        <f t="shared" si="13"/>
        <v>5635</v>
      </c>
      <c r="AZ33" s="40">
        <f t="shared" si="14"/>
        <v>859.6000000000004</v>
      </c>
      <c r="BA33" s="40">
        <f t="shared" si="15"/>
        <v>7810.1</v>
      </c>
    </row>
    <row r="34" spans="1:53" ht="34.5" customHeight="1">
      <c r="A34" s="12" t="s">
        <v>30</v>
      </c>
      <c r="B34" s="62" t="s">
        <v>103</v>
      </c>
      <c r="C34" s="16">
        <f>'насел.'!C34+пільги!C34+субсидії!C34+'держ.бюджет'!C34+'місц.-районн.бюджет'!C34+областной!C34+інші!C34</f>
        <v>1123.8</v>
      </c>
      <c r="D34" s="16">
        <f>'насел.'!D34+пільги!D34+субсидії!D34+'держ.бюджет'!D34+'місц.-районн.бюджет'!D34+областной!D34+інші!D34</f>
        <v>921.4000000000001</v>
      </c>
      <c r="E34" s="16">
        <f>'насел.'!E34+пільги!E34+субсидії!E34+'держ.бюджет'!E34+'місц.-районн.бюджет'!E34+областной!E34+інші!E34</f>
        <v>554.6</v>
      </c>
      <c r="F34" s="10">
        <f t="shared" si="0"/>
        <v>60.19101367484263</v>
      </c>
      <c r="G34" s="16">
        <f>'насел.'!G34+пільги!G34+субсидії!G34+'держ.бюджет'!G34+'місц.-районн.бюджет'!G34+областной!G34+інші!G34</f>
        <v>817.6999999999999</v>
      </c>
      <c r="H34" s="16">
        <f>'насел.'!H34+пільги!H34+субсидії!H34+'держ.бюджет'!H34+'місц.-районн.бюджет'!H34+областной!H34+інші!H34</f>
        <v>452.5</v>
      </c>
      <c r="I34" s="10">
        <f t="shared" si="1"/>
        <v>55.33814357343769</v>
      </c>
      <c r="J34" s="16">
        <f>'насел.'!J34+пільги!J34+субсидії!J34+'держ.бюджет'!J34+'місц.-районн.бюджет'!J34+областной!J34+інші!J34</f>
        <v>1717.4</v>
      </c>
      <c r="K34" s="16">
        <f>'насел.'!K34+пільги!K34+субсидії!K34+'держ.бюджет'!K34+'місц.-районн.бюджет'!K34+областной!K34+інші!K34</f>
        <v>922.4</v>
      </c>
      <c r="L34" s="10">
        <f t="shared" si="16"/>
        <v>53.70909514382205</v>
      </c>
      <c r="M34" s="10">
        <f>'насел.'!M34+пільги!M34+субсидії!M34+'держ.бюджет'!M34+'місц.-районн.бюджет'!M34+областной!M34+інші!M34</f>
        <v>3456.5</v>
      </c>
      <c r="N34" s="10">
        <f>'насел.'!N34+пільги!N34+субсидії!N34+'держ.бюджет'!N34+'місц.-районн.бюджет'!N34+областной!N34+інші!N34</f>
        <v>1929.5000000000002</v>
      </c>
      <c r="O34" s="16">
        <f>'насел.'!O34+пільги!O34+субсидії!O34+'держ.бюджет'!O34+'місц.-районн.бюджет'!O34+областной!O34+інші!O34</f>
        <v>279.0466428929969</v>
      </c>
      <c r="P34" s="16">
        <f>'насел.'!P34+пільги!P34+субсидії!P34+'держ.бюджет'!P34+'місц.-районн.бюджет'!P34+областной!P34+інші!P34</f>
        <v>0</v>
      </c>
      <c r="Q34" s="16">
        <f>'насел.'!Q34+пільги!Q34+субсидії!Q34+'держ.бюджет'!Q34+'місц.-районн.бюджет'!Q34+областной!Q34+інші!Q34</f>
        <v>0</v>
      </c>
      <c r="R34" s="16">
        <f>'насел.'!R34+пільги!R34+субсидії!R34+'держ.бюджет'!R34+'місц.-районн.бюджет'!R34+областной!R34+інші!R34</f>
        <v>0</v>
      </c>
      <c r="S34" s="16">
        <f>'насел.'!S34+пільги!S34+субсидії!S34+'держ.бюджет'!S34+'місц.-районн.бюджет'!S34+областной!S34+інші!S34</f>
        <v>0</v>
      </c>
      <c r="T34" s="16">
        <f>'насел.'!T34+пільги!T34+субсидії!T34+'держ.бюджет'!T34+'місц.-районн.бюджет'!T34+областной!T34+інші!T34</f>
        <v>0</v>
      </c>
      <c r="U34" s="16" t="e">
        <f>'насел.'!U34+пільги!U34+субсидії!U34+'держ.бюджет'!U34+'місц.-районн.бюджет'!U34+областной!U34+інші!U34</f>
        <v>#DIV/0!</v>
      </c>
      <c r="V34" s="16">
        <f>'насел.'!V34+пільги!V34+субсидії!V34+'держ.бюджет'!V34+'місц.-районн.бюджет'!V34+областной!V34+інші!V34</f>
        <v>0</v>
      </c>
      <c r="W34" s="16">
        <f>'насел.'!W34+пільги!W34+субсидії!W34+'держ.бюджет'!W34+'місц.-районн.бюджет'!W34+областной!W34+інші!W34</f>
        <v>0</v>
      </c>
      <c r="X34" s="16" t="e">
        <f>'насел.'!X34+пільги!X34+субсидії!X34+'держ.бюджет'!X34+'місц.-районн.бюджет'!X34+областной!X34+інші!X34</f>
        <v>#DIV/0!</v>
      </c>
      <c r="Y34" s="16">
        <f>'насел.'!Y34+пільги!Y34+субсидії!Y34+'держ.бюджет'!Y34+'місц.-районн.бюджет'!Y34+областной!Y34+інші!Y34</f>
        <v>0</v>
      </c>
      <c r="Z34" s="16">
        <f>'насел.'!Z34+пільги!Z34+субсидії!Z34+'держ.бюджет'!Z34+'місц.-районн.бюджет'!Z34+областной!Z34+інші!Z34</f>
        <v>0</v>
      </c>
      <c r="AA34" s="16" t="e">
        <f>'насел.'!AA34+пільги!AA34+субсидії!AA34+'держ.бюджет'!AA34+'місц.-районн.бюджет'!AA34+областной!AA34+інші!AA34</f>
        <v>#DIV/0!</v>
      </c>
      <c r="AB34" s="16">
        <f>'насел.'!AB34+пільги!AB34+субсидії!AB34+'держ.бюджет'!AB34+'місц.-районн.бюджет'!AB34+областной!AB34+інші!AB34</f>
        <v>0</v>
      </c>
      <c r="AC34" s="16">
        <f>'насел.'!AC34+пільги!AC34+субсидії!AC34+'держ.бюджет'!AC34+'місц.-районн.бюджет'!AC34+областной!AC34+інші!AC34</f>
        <v>0</v>
      </c>
      <c r="AD34" s="16">
        <f>'насел.'!AD34+пільги!AD34+субсидії!AD34+'держ.бюджет'!AD34+'місц.-районн.бюджет'!AD34+областной!AD34+інші!AD34</f>
        <v>0</v>
      </c>
      <c r="AE34" s="16">
        <f>'насел.'!AE34+пільги!AE34+субсидії!AE34+'держ.бюджет'!AE34+'місц.-районн.бюджет'!AE34+областной!AE34+інші!AE34</f>
        <v>0</v>
      </c>
      <c r="AF34" s="16">
        <f>'насел.'!AF34+пільги!AF34+субсидії!AF34+'держ.бюджет'!AF34+'місц.-районн.бюджет'!AF34+областной!AF34+інші!AF34</f>
        <v>0</v>
      </c>
      <c r="AG34" s="16">
        <f>'насел.'!AG34+пільги!AG34+субсидії!AG34+'держ.бюджет'!AG34+'місц.-районн.бюджет'!AG34+областной!AG34+інші!AG34</f>
        <v>0</v>
      </c>
      <c r="AH34" s="16">
        <f>'насел.'!AH34+пільги!AH34+субсидії!AH34+'держ.бюджет'!AH34+'місц.-районн.бюджет'!AH34+областной!AH34+інші!AH34</f>
        <v>0</v>
      </c>
      <c r="AI34" s="16">
        <f>'насел.'!AI34+пільги!AI34+субсидії!AI34+'держ.бюджет'!AI34+'місц.-районн.бюджет'!AI34+областной!AI34+інші!AI34</f>
        <v>0</v>
      </c>
      <c r="AJ34" s="16">
        <f>'насел.'!AJ34+пільги!AJ34+субсидії!AJ34+'держ.бюджет'!AJ34+'місц.-районн.бюджет'!AJ34+областной!AJ34+інші!AJ34</f>
        <v>0</v>
      </c>
      <c r="AK34" s="16">
        <f>'насел.'!AK34+пільги!AK34+субсидії!AK34+'держ.бюджет'!AK34+'місц.-районн.бюджет'!AK34+областной!AK34+інші!AK34</f>
        <v>0</v>
      </c>
      <c r="AL34" s="16" t="e">
        <f>'насел.'!AL34+пільги!AL34+субсидії!AL34+'держ.бюджет'!AL34+'місц.-районн.бюджет'!AL34+областной!AL34+інші!AL34</f>
        <v>#DIV/0!</v>
      </c>
      <c r="AM34" s="16">
        <f>'насел.'!AM34+пільги!AM34+субсидії!AM34+'держ.бюджет'!AM34+'місц.-районн.бюджет'!AM34+областной!AM34+інші!AM34</f>
        <v>0</v>
      </c>
      <c r="AN34" s="16">
        <f>'насел.'!AN34+пільги!AN34+субсидії!AN34+'держ.бюджет'!AN34+'місц.-районн.бюджет'!AN34+областной!AN34+інші!AN34</f>
        <v>0</v>
      </c>
      <c r="AO34" s="16">
        <f>'насел.'!AO34+пільги!AO34+субсидії!AO34+'держ.бюджет'!AO34+'місц.-районн.бюджет'!AO34+областной!AO34+інші!AO34</f>
        <v>0</v>
      </c>
      <c r="AP34" s="16">
        <f>'насел.'!AP34+пільги!AP34+субсидії!AP34+'держ.бюджет'!AP34+'місц.-районн.бюджет'!AP34+областной!AP34+інші!AP34</f>
        <v>0</v>
      </c>
      <c r="AQ34" s="16">
        <f>'насел.'!AQ34+пільги!AQ34+субсидії!AQ34+'держ.бюджет'!AQ34+'місц.-районн.бюджет'!AQ34+областной!AQ34+інші!AQ34</f>
        <v>0</v>
      </c>
      <c r="AR34" s="16">
        <f>'насел.'!AR34+пільги!AR34+субсидії!AR34+'держ.бюджет'!AR34+'місц.-районн.бюджет'!AR34+областной!AR34+інші!AR34</f>
        <v>0</v>
      </c>
      <c r="AS34" s="16">
        <f>'насел.'!AS34+пільги!AS34+субсидії!AS34+'держ.бюджет'!AS34+'місц.-районн.бюджет'!AS34+областной!AS34+інші!AS34</f>
        <v>3456.5</v>
      </c>
      <c r="AT34" s="16">
        <f>'насел.'!AT34+пільги!AT34+субсидії!AT34+'держ.бюджет'!AT34+'місц.-районн.бюджет'!AT34+областной!AT34+інші!AT34</f>
        <v>1929.5000000000002</v>
      </c>
      <c r="AU34" s="10">
        <f t="shared" si="4"/>
        <v>55.82236366266456</v>
      </c>
      <c r="AV34" s="16">
        <f>'насел.'!AV34+пільги!AV34+субсидії!AV34+'держ.бюджет'!AV34+'місц.-районн.бюджет'!AV34+областной!AV34+інші!AV34</f>
        <v>1527</v>
      </c>
      <c r="AW34" s="16">
        <f>'насел.'!AW34+пільги!AW34+субсидії!AW34+'держ.бюджет'!AW34+'місц.-районн.бюджет'!AW34+областной!AW34+інші!AW34</f>
        <v>2650.7999999999997</v>
      </c>
      <c r="AX34" s="40">
        <f t="shared" si="12"/>
        <v>3456.5</v>
      </c>
      <c r="AY34" s="40">
        <f t="shared" si="13"/>
        <v>1929.5</v>
      </c>
      <c r="AZ34" s="40">
        <f t="shared" si="14"/>
        <v>1527</v>
      </c>
      <c r="BA34" s="40">
        <f t="shared" si="15"/>
        <v>2650.8</v>
      </c>
    </row>
    <row r="35" spans="1:53" ht="34.5" customHeight="1">
      <c r="A35" s="12" t="s">
        <v>30</v>
      </c>
      <c r="B35" s="62" t="s">
        <v>60</v>
      </c>
      <c r="C35" s="16">
        <f>'насел.'!C35+пільги!C35+субсидії!C35+'держ.бюджет'!C35+'місц.-районн.бюджет'!C35+областной!C35+інші!C35</f>
        <v>2714.2</v>
      </c>
      <c r="D35" s="16">
        <f>'насел.'!D35+пільги!D35+субсидії!D35+'держ.бюджет'!D35+'місц.-районн.бюджет'!D35+областной!D35+інші!D35</f>
        <v>1233.5</v>
      </c>
      <c r="E35" s="16">
        <f>'насел.'!E35+пільги!E35+субсидії!E35+'держ.бюджет'!E35+'місц.-районн.бюджет'!E35+областной!E35+інші!E35</f>
        <v>718.6</v>
      </c>
      <c r="F35" s="10">
        <f t="shared" si="0"/>
        <v>58.25699229833806</v>
      </c>
      <c r="G35" s="16">
        <f>'насел.'!G35+пільги!G35+субсидії!G35+'держ.бюджет'!G35+'місц.-районн.бюджет'!G35+областной!G35+інші!G35</f>
        <v>1041.6</v>
      </c>
      <c r="H35" s="16">
        <f>'насел.'!H35+пільги!H35+субсидії!H35+'держ.бюджет'!H35+'місц.-районн.бюджет'!H35+областной!H35+інші!H35</f>
        <v>962.4999999999999</v>
      </c>
      <c r="I35" s="10">
        <f t="shared" si="1"/>
        <v>92.40591397849462</v>
      </c>
      <c r="J35" s="16">
        <f>'насел.'!J35+пільги!J35+субсидії!J35+'держ.бюджет'!J35+'місц.-районн.бюджет'!J35+областной!J35+інші!J35</f>
        <v>1039.4</v>
      </c>
      <c r="K35" s="16">
        <f>'насел.'!K35+пільги!K35+субсидії!K35+'держ.бюджет'!K35+'місц.-районн.бюджет'!K35+областной!K35+інші!K35</f>
        <v>1141</v>
      </c>
      <c r="L35" s="10">
        <f t="shared" si="16"/>
        <v>109.77487011737539</v>
      </c>
      <c r="M35" s="10">
        <f>'насел.'!M35+пільги!M35+субсидії!M35+'держ.бюджет'!M35+'місц.-районн.бюджет'!M35+областной!M35+інші!M35</f>
        <v>3314.4999999999995</v>
      </c>
      <c r="N35" s="10">
        <f>'насел.'!N35+пільги!N35+субсидії!N35+'держ.бюджет'!N35+'місц.-районн.бюджет'!N35+областной!N35+інші!N35</f>
        <v>2822.1</v>
      </c>
      <c r="O35" s="10">
        <f t="shared" si="5"/>
        <v>85.14406396138182</v>
      </c>
      <c r="P35" s="16">
        <f>'насел.'!P35+пільги!P35+субсидії!P35+'держ.бюджет'!P35+'місц.-районн.бюджет'!P35+областной!P35+інші!P35</f>
        <v>0</v>
      </c>
      <c r="Q35" s="16">
        <f>'насел.'!Q35+пільги!Q35+субсидії!Q35+'держ.бюджет'!Q35+'місц.-районн.бюджет'!Q35+областной!Q35+інші!Q35</f>
        <v>0</v>
      </c>
      <c r="R35" s="10" t="e">
        <f t="shared" si="17"/>
        <v>#DIV/0!</v>
      </c>
      <c r="S35" s="16">
        <f>'насел.'!S35+пільги!S35+субсидії!S35+'держ.бюджет'!S35+'місц.-районн.бюджет'!S35+областной!S35+інші!S35</f>
        <v>0</v>
      </c>
      <c r="T35" s="16">
        <f>'насел.'!T35+пільги!T35+субсидії!T35+'держ.бюджет'!T35+'місц.-районн.бюджет'!T35+областной!T35+інші!T35</f>
        <v>0</v>
      </c>
      <c r="U35" s="10" t="e">
        <f t="shared" si="18"/>
        <v>#DIV/0!</v>
      </c>
      <c r="V35" s="16">
        <f>'насел.'!V35+пільги!V35+субсидії!V35+'держ.бюджет'!V35+'місц.-районн.бюджет'!V35+областной!V35+інші!V35</f>
        <v>0</v>
      </c>
      <c r="W35" s="16">
        <f>'насел.'!W35+пільги!W35+субсидії!W35+'держ.бюджет'!W35+'місц.-районн.бюджет'!W35+областной!W35+інші!W35</f>
        <v>0</v>
      </c>
      <c r="X35" s="10" t="e">
        <f t="shared" si="19"/>
        <v>#DIV/0!</v>
      </c>
      <c r="Y35" s="16">
        <f>'насел.'!Y35+пільги!Y35+субсидії!Y35+'держ.бюджет'!Y35+'місц.-районн.бюджет'!Y35+областной!Y35+інші!Y35</f>
        <v>0</v>
      </c>
      <c r="Z35" s="16">
        <f>'насел.'!Z35+пільги!Z35+субсидії!Z35+'держ.бюджет'!Z35+'місц.-районн.бюджет'!Z35+областной!Z35+інші!Z35</f>
        <v>0</v>
      </c>
      <c r="AA35" s="10" t="e">
        <f t="shared" si="20"/>
        <v>#DIV/0!</v>
      </c>
      <c r="AB35" s="16">
        <f>'насел.'!AB35+пільги!AB35+субсидії!AB35+'держ.бюджет'!AB35+'місц.-районн.бюджет'!AB35+областной!AB35+інші!AB35</f>
        <v>0</v>
      </c>
      <c r="AC35" s="16">
        <f>'насел.'!AC35+пільги!AC35+субсидії!AC35+'держ.бюджет'!AC35+'місц.-районн.бюджет'!AC35+областной!AC35+інші!AC35</f>
        <v>0</v>
      </c>
      <c r="AD35" s="10" t="e">
        <f t="shared" si="21"/>
        <v>#DIV/0!</v>
      </c>
      <c r="AE35" s="16">
        <f>'насел.'!AE35+пільги!AE35+субсидії!AE35+'держ.бюджет'!AE35+'місц.-районн.бюджет'!AE35+областной!AE35+інші!AE35</f>
        <v>0</v>
      </c>
      <c r="AF35" s="16">
        <f>'насел.'!AF35+пільги!AF35+субсидії!AF35+'держ.бюджет'!AF35+'місц.-районн.бюджет'!AF35+областной!AF35+інші!AF35</f>
        <v>0</v>
      </c>
      <c r="AG35" s="10" t="e">
        <f t="shared" si="22"/>
        <v>#DIV/0!</v>
      </c>
      <c r="AH35" s="16">
        <f>'насел.'!AH35+пільги!AH35+субсидії!AH35+'держ.бюджет'!AH35+'місц.-районн.бюджет'!AH35+областной!AH35+інші!AH35</f>
        <v>0</v>
      </c>
      <c r="AI35" s="16">
        <f>'насел.'!AI35+пільги!AI35+субсидії!AI35+'держ.бюджет'!AI35+'місц.-районн.бюджет'!AI35+областной!AI35+інші!AI35</f>
        <v>0</v>
      </c>
      <c r="AJ35" s="16">
        <f>'насел.'!AJ35+пільги!AJ35+субсидії!AJ35+'держ.бюджет'!AJ35+'місц.-районн.бюджет'!AJ35+областной!AJ35+інші!AJ35</f>
        <v>0</v>
      </c>
      <c r="AK35" s="16">
        <f>'насел.'!AK35+пільги!AK35+субсидії!AK35+'держ.бюджет'!AK35+'місц.-районн.бюджет'!AK35+областной!AK35+інші!AK35</f>
        <v>0</v>
      </c>
      <c r="AL35" s="16" t="e">
        <f t="shared" si="11"/>
        <v>#DIV/0!</v>
      </c>
      <c r="AM35" s="16">
        <f>'насел.'!AM35+пільги!AM35+субсидії!AM35+'держ.бюджет'!AM35+'місц.-районн.бюджет'!AM35+областной!AM35+інші!AM35</f>
        <v>0</v>
      </c>
      <c r="AN35" s="16">
        <f>'насел.'!AN35+пільги!AN35+субсидії!AN35+'держ.бюджет'!AN35+'місц.-районн.бюджет'!AN35+областной!AN35+інші!AN35</f>
        <v>0</v>
      </c>
      <c r="AO35" s="16">
        <f>'насел.'!AO35+пільги!AO35+субсидії!AO35+'держ.бюджет'!AO35+'місц.-районн.бюджет'!AO35+областной!AO35+інші!AO35</f>
        <v>0</v>
      </c>
      <c r="AP35" s="16">
        <f>'насел.'!AP35+пільги!AP35+субсидії!AP35+'держ.бюджет'!AP35+'місц.-районн.бюджет'!AP35+областной!AP35+інші!AP35</f>
        <v>0</v>
      </c>
      <c r="AQ35" s="16">
        <f>'насел.'!AQ35+пільги!AQ35+субсидії!AQ35+'держ.бюджет'!AQ35+'місц.-районн.бюджет'!AQ35+областной!AQ35+інші!AQ35</f>
        <v>0</v>
      </c>
      <c r="AR35" s="16">
        <f>'насел.'!AR35+пільги!AR35+субсидії!AR35+'держ.бюджет'!AR35+'місц.-районн.бюджет'!AR35+областной!AR35+інші!AR35</f>
        <v>0</v>
      </c>
      <c r="AS35" s="16">
        <f>'насел.'!AS35+пільги!AS35+субсидії!AS35+'держ.бюджет'!AS35+'місц.-районн.бюджет'!AS35+областной!AS35+інші!AS35</f>
        <v>3314.4999999999995</v>
      </c>
      <c r="AT35" s="16">
        <f>'насел.'!AT35+пільги!AT35+субсидії!AT35+'держ.бюджет'!AT35+'місц.-районн.бюджет'!AT35+областной!AT35+інші!AT35</f>
        <v>2822.1</v>
      </c>
      <c r="AU35" s="10">
        <f t="shared" si="4"/>
        <v>85.14406396138182</v>
      </c>
      <c r="AV35" s="16">
        <f>'насел.'!AV35+пільги!AV35+субсидії!AV35+'держ.бюджет'!AV35+'місц.-районн.бюджет'!AV35+областной!AV35+інші!AV35</f>
        <v>492.39999999999975</v>
      </c>
      <c r="AW35" s="16">
        <f>'насел.'!AW35+пільги!AW35+субсидії!AW35+'держ.бюджет'!AW35+'місц.-районн.бюджет'!AW35+областной!AW35+інші!AW35</f>
        <v>3206.6</v>
      </c>
      <c r="AX35" s="40">
        <f t="shared" si="12"/>
        <v>3314.5</v>
      </c>
      <c r="AY35" s="40">
        <f t="shared" si="13"/>
        <v>2822.1</v>
      </c>
      <c r="AZ35" s="40">
        <f t="shared" si="14"/>
        <v>492.4000000000001</v>
      </c>
      <c r="BA35" s="40">
        <f t="shared" si="15"/>
        <v>3206.6</v>
      </c>
    </row>
    <row r="36" spans="1:53" ht="34.5" customHeight="1">
      <c r="A36" s="12" t="s">
        <v>31</v>
      </c>
      <c r="B36" s="116" t="s">
        <v>61</v>
      </c>
      <c r="C36" s="16">
        <f>'насел.'!C36+пільги!C36+субсидії!C36+'держ.бюджет'!C36+'місц.-районн.бюджет'!C36+областной!C36+інші!C36</f>
        <v>-7.099999999999987</v>
      </c>
      <c r="D36" s="16">
        <f>'насел.'!D36+пільги!D36+субсидії!D36+'держ.бюджет'!D36+'місц.-районн.бюджет'!D36+областной!D36+інші!D36</f>
        <v>412.09999999999997</v>
      </c>
      <c r="E36" s="16">
        <f>'насел.'!E36+пільги!E36+субсидії!E36+'держ.бюджет'!E36+'місц.-районн.бюджет'!E36+областной!E36+інші!E36</f>
        <v>316.7</v>
      </c>
      <c r="F36" s="10">
        <f t="shared" si="0"/>
        <v>76.85027905848095</v>
      </c>
      <c r="G36" s="16">
        <f>'насел.'!G36+пільги!G36+субсидії!G36+'держ.бюджет'!G36+'місц.-районн.бюджет'!G36+областной!G36+інші!G36</f>
        <v>431.5</v>
      </c>
      <c r="H36" s="16">
        <f>'насел.'!H36+пільги!H36+субсидії!H36+'держ.бюджет'!H36+'місц.-районн.бюджет'!H36+областной!H36+інші!H36</f>
        <v>407.49999999999994</v>
      </c>
      <c r="I36" s="10">
        <f t="shared" si="1"/>
        <v>94.43800695249129</v>
      </c>
      <c r="J36" s="16">
        <f>'насел.'!J36+пільги!J36+субсидії!J36+'держ.бюджет'!J36+'місц.-районн.бюджет'!J36+областной!J36+інші!J36</f>
        <v>390.2999999999999</v>
      </c>
      <c r="K36" s="16">
        <f>'насел.'!K36+пільги!K36+субсидії!K36+'держ.бюджет'!K36+'місц.-районн.бюджет'!K36+областной!K36+інші!K36</f>
        <v>338.2</v>
      </c>
      <c r="L36" s="10">
        <f t="shared" si="16"/>
        <v>86.65129387650528</v>
      </c>
      <c r="M36" s="10">
        <f>'насел.'!M36+пільги!M36+субсидії!M36+'держ.бюджет'!M36+'місц.-районн.бюджет'!M36+областной!M36+інші!M36</f>
        <v>1233.8999999999999</v>
      </c>
      <c r="N36" s="10">
        <f>'насел.'!N36+пільги!N36+субсидії!N36+'держ.бюджет'!N36+'місц.-районн.бюджет'!N36+областной!N36+інші!N36</f>
        <v>1062.3999999999999</v>
      </c>
      <c r="O36" s="10">
        <f t="shared" si="5"/>
        <v>86.10098063052111</v>
      </c>
      <c r="P36" s="16">
        <f>'насел.'!P36+пільги!P36+субсидії!P36+'держ.бюджет'!P36+'місц.-районн.бюджет'!P36+областной!P36+інші!P36</f>
        <v>0</v>
      </c>
      <c r="Q36" s="16">
        <f>'насел.'!Q36+пільги!Q36+субсидії!Q36+'держ.бюджет'!Q36+'місц.-районн.бюджет'!Q36+областной!Q36+інші!Q36</f>
        <v>0</v>
      </c>
      <c r="R36" s="10" t="e">
        <f t="shared" si="17"/>
        <v>#DIV/0!</v>
      </c>
      <c r="S36" s="16">
        <f>'насел.'!S36+пільги!S36+субсидії!S36+'держ.бюджет'!S36+'місц.-районн.бюджет'!S36+областной!S36+інші!S36</f>
        <v>0</v>
      </c>
      <c r="T36" s="16">
        <f>'насел.'!T36+пільги!T36+субсидії!T36+'держ.бюджет'!T36+'місц.-районн.бюджет'!T36+областной!T36+інші!T36</f>
        <v>0</v>
      </c>
      <c r="U36" s="10" t="e">
        <f t="shared" si="18"/>
        <v>#DIV/0!</v>
      </c>
      <c r="V36" s="16">
        <f>'насел.'!V36+пільги!V36+субсидії!V36+'держ.бюджет'!V36+'місц.-районн.бюджет'!V36+областной!V36+інші!V36</f>
        <v>0</v>
      </c>
      <c r="W36" s="16">
        <f>'насел.'!W36+пільги!W36+субсидії!W36+'держ.бюджет'!W36+'місц.-районн.бюджет'!W36+областной!W36+інші!W36</f>
        <v>0</v>
      </c>
      <c r="X36" s="10" t="e">
        <f t="shared" si="19"/>
        <v>#DIV/0!</v>
      </c>
      <c r="Y36" s="16">
        <f>'насел.'!Y36+пільги!Y36+субсидії!Y36+'держ.бюджет'!Y36+'місц.-районн.бюджет'!Y36+областной!Y36+інші!Y36</f>
        <v>0</v>
      </c>
      <c r="Z36" s="16">
        <f>'насел.'!Z36+пільги!Z36+субсидії!Z36+'держ.бюджет'!Z36+'місц.-районн.бюджет'!Z36+областной!Z36+інші!Z36</f>
        <v>0</v>
      </c>
      <c r="AA36" s="10" t="e">
        <f t="shared" si="20"/>
        <v>#DIV/0!</v>
      </c>
      <c r="AB36" s="16">
        <f>'насел.'!AB36+пільги!AB36+субсидії!AB36+'держ.бюджет'!AB36+'місц.-районн.бюджет'!AB36+областной!AB36+інші!AB36</f>
        <v>0</v>
      </c>
      <c r="AC36" s="16">
        <f>'насел.'!AC36+пільги!AC36+субсидії!AC36+'держ.бюджет'!AC36+'місц.-районн.бюджет'!AC36+областной!AC36+інші!AC36</f>
        <v>0</v>
      </c>
      <c r="AD36" s="10" t="e">
        <f t="shared" si="21"/>
        <v>#DIV/0!</v>
      </c>
      <c r="AE36" s="16">
        <f>'насел.'!AE36+пільги!AE36+субсидії!AE36+'держ.бюджет'!AE36+'місц.-районн.бюджет'!AE36+областной!AE36+інші!AE36</f>
        <v>0</v>
      </c>
      <c r="AF36" s="16">
        <f>'насел.'!AF36+пільги!AF36+субсидії!AF36+'держ.бюджет'!AF36+'місц.-районн.бюджет'!AF36+областной!AF36+інші!AF36</f>
        <v>0</v>
      </c>
      <c r="AG36" s="10" t="e">
        <f t="shared" si="22"/>
        <v>#DIV/0!</v>
      </c>
      <c r="AH36" s="16">
        <f>'насел.'!AH36+пільги!AH36+субсидії!AH36+'держ.бюджет'!AH36+'місц.-районн.бюджет'!AH36+областной!AH36+інші!AH36</f>
        <v>0</v>
      </c>
      <c r="AI36" s="16">
        <f>'насел.'!AI36+пільги!AI36+субсидії!AI36+'держ.бюджет'!AI36+'місц.-районн.бюджет'!AI36+областной!AI36+інші!AI36</f>
        <v>0</v>
      </c>
      <c r="AJ36" s="16">
        <f>'насел.'!AJ36+пільги!AJ36+субсидії!AJ36+'держ.бюджет'!AJ36+'місц.-районн.бюджет'!AJ36+областной!AJ36+інші!AJ36</f>
        <v>0</v>
      </c>
      <c r="AK36" s="16">
        <f>'насел.'!AK36+пільги!AK36+субсидії!AK36+'держ.бюджет'!AK36+'місц.-районн.бюджет'!AK36+областной!AK36+інші!AK36</f>
        <v>0</v>
      </c>
      <c r="AL36" s="16" t="e">
        <f t="shared" si="11"/>
        <v>#DIV/0!</v>
      </c>
      <c r="AM36" s="16">
        <f>'насел.'!AM36+пільги!AM36+субсидії!AM36+'держ.бюджет'!AM36+'місц.-районн.бюджет'!AM36+областной!AM36+інші!AM36</f>
        <v>0</v>
      </c>
      <c r="AN36" s="16">
        <f>'насел.'!AN36+пільги!AN36+субсидії!AN36+'держ.бюджет'!AN36+'місц.-районн.бюджет'!AN36+областной!AN36+інші!AN36</f>
        <v>0</v>
      </c>
      <c r="AO36" s="16">
        <f>'насел.'!AO36+пільги!AO36+субсидії!AO36+'держ.бюджет'!AO36+'місц.-районн.бюджет'!AO36+областной!AO36+інші!AO36</f>
        <v>0</v>
      </c>
      <c r="AP36" s="16">
        <f>'насел.'!AP36+пільги!AP36+субсидії!AP36+'держ.бюджет'!AP36+'місц.-районн.бюджет'!AP36+областной!AP36+інші!AP36</f>
        <v>0</v>
      </c>
      <c r="AQ36" s="16">
        <f>'насел.'!AQ36+пільги!AQ36+субсидії!AQ36+'держ.бюджет'!AQ36+'місц.-районн.бюджет'!AQ36+областной!AQ36+інші!AQ36</f>
        <v>0</v>
      </c>
      <c r="AR36" s="16">
        <f>'насел.'!AR36+пільги!AR36+субсидії!AR36+'держ.бюджет'!AR36+'місц.-районн.бюджет'!AR36+областной!AR36+інші!AR36</f>
        <v>0</v>
      </c>
      <c r="AS36" s="16">
        <f>'насел.'!AS36+пільги!AS36+субсидії!AS36+'держ.бюджет'!AS36+'місц.-районн.бюджет'!AS36+областной!AS36+інші!AS36</f>
        <v>1233.8999999999999</v>
      </c>
      <c r="AT36" s="16">
        <f>'насел.'!AT36+пільги!AT36+субсидії!AT36+'держ.бюджет'!AT36+'місц.-районн.бюджет'!AT36+областной!AT36+інші!AT36</f>
        <v>1062.3999999999999</v>
      </c>
      <c r="AU36" s="10">
        <f t="shared" si="4"/>
        <v>86.10098063052111</v>
      </c>
      <c r="AV36" s="16">
        <f>'насел.'!AV36+пільги!AV36+субсидії!AV36+'держ.бюджет'!AV36+'місц.-районн.бюджет'!AV36+областной!AV36+інші!AV36</f>
        <v>171.50000000000006</v>
      </c>
      <c r="AW36" s="16">
        <f>'насел.'!AW36+пільги!AW36+субсидії!AW36+'держ.бюджет'!AW36+'місц.-районн.бюджет'!AW36+областной!AW36+інші!AW36</f>
        <v>164.4</v>
      </c>
      <c r="AX36" s="40">
        <f t="shared" si="12"/>
        <v>1233.8999999999999</v>
      </c>
      <c r="AY36" s="40">
        <f t="shared" si="13"/>
        <v>1062.3999999999999</v>
      </c>
      <c r="AZ36" s="40">
        <f t="shared" si="14"/>
        <v>171.5</v>
      </c>
      <c r="BA36" s="40">
        <f t="shared" si="15"/>
        <v>164.4000000000001</v>
      </c>
    </row>
    <row r="37" spans="1:53" ht="34.5" customHeight="1">
      <c r="A37" s="12" t="s">
        <v>32</v>
      </c>
      <c r="B37" s="117" t="s">
        <v>62</v>
      </c>
      <c r="C37" s="16">
        <f>'насел.'!C37+пільги!C37+субсидії!C37+'держ.бюджет'!C37+'місц.-районн.бюджет'!C37+областной!C37+інші!C37</f>
        <v>3541.7</v>
      </c>
      <c r="D37" s="16">
        <f>'насел.'!D37+пільги!D37+субсидії!D37+'держ.бюджет'!D37+'місц.-районн.бюджет'!D37+областной!D37+інші!D37</f>
        <v>1622.1</v>
      </c>
      <c r="E37" s="16">
        <f>'насел.'!E37+пільги!E37+субсидії!E37+'держ.бюджет'!E37+'місц.-районн.бюджет'!E37+областной!E37+інші!E37</f>
        <v>2788.7999999999997</v>
      </c>
      <c r="F37" s="10">
        <f t="shared" si="0"/>
        <v>171.92528204179766</v>
      </c>
      <c r="G37" s="16">
        <f>'насел.'!G37+пільги!G37+субсидії!G37+'держ.бюджет'!G37+'місц.-районн.бюджет'!G37+областной!G37+інші!G37</f>
        <v>2714.6</v>
      </c>
      <c r="H37" s="16">
        <f>'насел.'!H37+пільги!H37+субсидії!H37+'держ.бюджет'!H37+'місц.-районн.бюджет'!H37+областной!H37+інші!H37</f>
        <v>3114.7999999999997</v>
      </c>
      <c r="I37" s="10">
        <f t="shared" si="1"/>
        <v>114.74250349959479</v>
      </c>
      <c r="J37" s="16">
        <f>'насел.'!J37+пільги!J37+субсидії!J37+'держ.бюджет'!J37+'місц.-районн.бюджет'!J37+областной!J37+інші!J37</f>
        <v>2655.6</v>
      </c>
      <c r="K37" s="16">
        <f>'насел.'!K37+пільги!K37+субсидії!K37+'держ.бюджет'!K37+'місц.-районн.бюджет'!K37+областной!K37+інші!K37</f>
        <v>2643.3999999999996</v>
      </c>
      <c r="L37" s="10">
        <f t="shared" si="16"/>
        <v>99.5405934628709</v>
      </c>
      <c r="M37" s="10">
        <f>'насел.'!M37+пільги!M37+субсидії!M37+'держ.бюджет'!M37+'місц.-районн.бюджет'!M37+областной!M37+інші!M37</f>
        <v>6992.300000000001</v>
      </c>
      <c r="N37" s="10">
        <f>'насел.'!N37+пільги!N37+субсидії!N37+'держ.бюджет'!N37+'місц.-районн.бюджет'!N37+областной!N37+інші!N37</f>
        <v>8547</v>
      </c>
      <c r="O37" s="10">
        <f t="shared" si="5"/>
        <v>122.23445790369405</v>
      </c>
      <c r="P37" s="16">
        <f>'насел.'!P37+пільги!P37+субсидії!P37+'держ.бюджет'!P37+'місц.-районн.бюджет'!P37+областной!P37+інші!P37</f>
        <v>0</v>
      </c>
      <c r="Q37" s="16">
        <f>'насел.'!Q37+пільги!Q37+субсидії!Q37+'держ.бюджет'!Q37+'місц.-районн.бюджет'!Q37+областной!Q37+інші!Q37</f>
        <v>0</v>
      </c>
      <c r="R37" s="10" t="e">
        <f t="shared" si="17"/>
        <v>#DIV/0!</v>
      </c>
      <c r="S37" s="16">
        <f>'насел.'!S37+пільги!S37+субсидії!S37+'держ.бюджет'!S37+'місц.-районн.бюджет'!S37+областной!S37+інші!S37</f>
        <v>0</v>
      </c>
      <c r="T37" s="16">
        <f>'насел.'!T37+пільги!T37+субсидії!T37+'держ.бюджет'!T37+'місц.-районн.бюджет'!T37+областной!T37+інші!T37</f>
        <v>0</v>
      </c>
      <c r="U37" s="10" t="e">
        <f t="shared" si="18"/>
        <v>#DIV/0!</v>
      </c>
      <c r="V37" s="16">
        <f>'насел.'!V37+пільги!V37+субсидії!V37+'держ.бюджет'!V37+'місц.-районн.бюджет'!V37+областной!V37+інші!V37</f>
        <v>0</v>
      </c>
      <c r="W37" s="16">
        <f>'насел.'!W37+пільги!W37+субсидії!W37+'держ.бюджет'!W37+'місц.-районн.бюджет'!W37+областной!W37+інші!W37</f>
        <v>0</v>
      </c>
      <c r="X37" s="10" t="e">
        <f t="shared" si="19"/>
        <v>#DIV/0!</v>
      </c>
      <c r="Y37" s="16">
        <f>'насел.'!Y37+пільги!Y37+субсидії!Y37+'держ.бюджет'!Y37+'місц.-районн.бюджет'!Y37+областной!Y37+інші!Y37</f>
        <v>0</v>
      </c>
      <c r="Z37" s="16">
        <f>'насел.'!Z37+пільги!Z37+субсидії!Z37+'держ.бюджет'!Z37+'місц.-районн.бюджет'!Z37+областной!Z37+інші!Z37</f>
        <v>0</v>
      </c>
      <c r="AA37" s="10" t="e">
        <f t="shared" si="20"/>
        <v>#DIV/0!</v>
      </c>
      <c r="AB37" s="16">
        <f>'насел.'!AB37+пільги!AB37+субсидії!AB37+'держ.бюджет'!AB37+'місц.-районн.бюджет'!AB37+областной!AB37+інші!AB37</f>
        <v>0</v>
      </c>
      <c r="AC37" s="16">
        <f>'насел.'!AC37+пільги!AC37+субсидії!AC37+'держ.бюджет'!AC37+'місц.-районн.бюджет'!AC37+областной!AC37+інші!AC37</f>
        <v>0</v>
      </c>
      <c r="AD37" s="10" t="e">
        <f t="shared" si="21"/>
        <v>#DIV/0!</v>
      </c>
      <c r="AE37" s="16">
        <f>'насел.'!AE37+пільги!AE37+субсидії!AE37+'держ.бюджет'!AE37+'місц.-районн.бюджет'!AE37+областной!AE37+інші!AE37</f>
        <v>0</v>
      </c>
      <c r="AF37" s="16">
        <f>'насел.'!AF37+пільги!AF37+субсидії!AF37+'держ.бюджет'!AF37+'місц.-районн.бюджет'!AF37+областной!AF37+інші!AF37</f>
        <v>0</v>
      </c>
      <c r="AG37" s="10" t="e">
        <f t="shared" si="22"/>
        <v>#DIV/0!</v>
      </c>
      <c r="AH37" s="16">
        <f>'насел.'!AH37+пільги!AH37+субсидії!AH37+'держ.бюджет'!AH37+'місц.-районн.бюджет'!AH37+областной!AH37+інші!AH37</f>
        <v>0</v>
      </c>
      <c r="AI37" s="16">
        <f>'насел.'!AI37+пільги!AI37+субсидії!AI37+'держ.бюджет'!AI37+'місц.-районн.бюджет'!AI37+областной!AI37+інші!AI37</f>
        <v>0</v>
      </c>
      <c r="AJ37" s="16">
        <f>'насел.'!AJ37+пільги!AJ37+субсидії!AJ37+'держ.бюджет'!AJ37+'місц.-районн.бюджет'!AJ37+областной!AJ37+інші!AJ37</f>
        <v>0</v>
      </c>
      <c r="AK37" s="16">
        <f>'насел.'!AK37+пільги!AK37+субсидії!AK37+'держ.бюджет'!AK37+'місц.-районн.бюджет'!AK37+областной!AK37+інші!AK37</f>
        <v>0</v>
      </c>
      <c r="AL37" s="16" t="e">
        <f t="shared" si="11"/>
        <v>#DIV/0!</v>
      </c>
      <c r="AM37" s="16">
        <f>'насел.'!AM37+пільги!AM37+субсидії!AM37+'держ.бюджет'!AM37+'місц.-районн.бюджет'!AM37+областной!AM37+інші!AM37</f>
        <v>0</v>
      </c>
      <c r="AN37" s="16">
        <f>'насел.'!AN37+пільги!AN37+субсидії!AN37+'держ.бюджет'!AN37+'місц.-районн.бюджет'!AN37+областной!AN37+інші!AN37</f>
        <v>0</v>
      </c>
      <c r="AO37" s="16">
        <f>'насел.'!AO37+пільги!AO37+субсидії!AO37+'держ.бюджет'!AO37+'місц.-районн.бюджет'!AO37+областной!AO37+інші!AO37</f>
        <v>0</v>
      </c>
      <c r="AP37" s="16">
        <f>'насел.'!AP37+пільги!AP37+субсидії!AP37+'держ.бюджет'!AP37+'місц.-районн.бюджет'!AP37+областной!AP37+інші!AP37</f>
        <v>0</v>
      </c>
      <c r="AQ37" s="16">
        <f>'насел.'!AQ37+пільги!AQ37+субсидії!AQ37+'держ.бюджет'!AQ37+'місц.-районн.бюджет'!AQ37+областной!AQ37+інші!AQ37</f>
        <v>0</v>
      </c>
      <c r="AR37" s="16">
        <f>'насел.'!AR37+пільги!AR37+субсидії!AR37+'держ.бюджет'!AR37+'місц.-районн.бюджет'!AR37+областной!AR37+інші!AR37</f>
        <v>0</v>
      </c>
      <c r="AS37" s="16">
        <f>'насел.'!AS37+пільги!AS37+субсидії!AS37+'держ.бюджет'!AS37+'місц.-районн.бюджет'!AS37+областной!AS37+інші!AS37</f>
        <v>6992.300000000001</v>
      </c>
      <c r="AT37" s="16">
        <f>'насел.'!AT37+пільги!AT37+субсидії!AT37+'держ.бюджет'!AT37+'місц.-районн.бюджет'!AT37+областной!AT37+інші!AT37</f>
        <v>8547</v>
      </c>
      <c r="AU37" s="10">
        <f t="shared" si="4"/>
        <v>122.23445790369405</v>
      </c>
      <c r="AV37" s="16">
        <f>'насел.'!AV37+пільги!AV37+субсидії!AV37+'держ.бюджет'!AV37+'місц.-районн.бюджет'!AV37+областной!AV37+інші!AV37</f>
        <v>-1554.7</v>
      </c>
      <c r="AW37" s="16">
        <f>'насел.'!AW37+пільги!AW37+субсидії!AW37+'держ.бюджет'!AW37+'місц.-районн.бюджет'!AW37+областной!AW37+інші!AW37</f>
        <v>1987.0000000000005</v>
      </c>
      <c r="AX37" s="40">
        <f t="shared" si="12"/>
        <v>6992.299999999999</v>
      </c>
      <c r="AY37" s="40">
        <f t="shared" si="13"/>
        <v>8547</v>
      </c>
      <c r="AZ37" s="40">
        <f t="shared" si="14"/>
        <v>-1554.7000000000007</v>
      </c>
      <c r="BA37" s="40">
        <f t="shared" si="15"/>
        <v>1987</v>
      </c>
    </row>
    <row r="38" spans="1:53" ht="34.5" customHeight="1">
      <c r="A38" s="12" t="s">
        <v>33</v>
      </c>
      <c r="B38" s="117" t="s">
        <v>104</v>
      </c>
      <c r="C38" s="16">
        <f>'насел.'!C38+пільги!C38+субсидії!C38+'держ.бюджет'!C38+'місц.-районн.бюджет'!C38+областной!C38+інші!C38</f>
        <v>-8.900000000000091</v>
      </c>
      <c r="D38" s="16">
        <f>'насел.'!D38+пільги!D38+субсидії!D38+'держ.бюджет'!D38+'місц.-районн.бюджет'!D38+областной!D38+інші!D38</f>
        <v>3602.8</v>
      </c>
      <c r="E38" s="16">
        <f>'насел.'!E38+пільги!E38+субсидії!E38+'держ.бюджет'!E38+'місц.-районн.бюджет'!E38+областной!E38+інші!E38</f>
        <v>2457</v>
      </c>
      <c r="F38" s="10">
        <f t="shared" si="0"/>
        <v>68.19695792161652</v>
      </c>
      <c r="G38" s="16">
        <f>'насел.'!G38+пільги!G38+субсидії!G38+'держ.бюджет'!G38+'місц.-районн.бюджет'!G38+областной!G38+інші!G38</f>
        <v>3581.0999999999995</v>
      </c>
      <c r="H38" s="16">
        <f>'насел.'!H38+пільги!H38+субсидії!H38+'держ.бюджет'!H38+'місц.-районн.бюджет'!H38+областной!H38+інші!H38</f>
        <v>2689.5999999999995</v>
      </c>
      <c r="I38" s="10">
        <f t="shared" si="1"/>
        <v>75.10541453743262</v>
      </c>
      <c r="J38" s="16">
        <f>'насел.'!J38+пільги!J38+субсидії!J38+'держ.бюджет'!J38+'місц.-районн.бюджет'!J38+областной!J38+інші!J38</f>
        <v>3607.7000000000007</v>
      </c>
      <c r="K38" s="16">
        <f>'насел.'!K38+пільги!K38+субсидії!K38+'держ.бюджет'!K38+'місц.-районн.бюджет'!K38+областной!K38+інші!K38</f>
        <v>3034.2000000000003</v>
      </c>
      <c r="L38" s="10">
        <f t="shared" si="16"/>
        <v>84.10344540843195</v>
      </c>
      <c r="M38" s="10">
        <f>'насел.'!M38+пільги!M38+субсидії!M38+'держ.бюджет'!M38+'місц.-районн.бюджет'!M38+областной!M38+інші!M38</f>
        <v>10791.599999999999</v>
      </c>
      <c r="N38" s="10">
        <f>'насел.'!N38+пільги!N38+субсидії!N38+'держ.бюджет'!N38+'місц.-районн.бюджет'!N38+областной!N38+інші!N38</f>
        <v>8180.799999999999</v>
      </c>
      <c r="O38" s="10">
        <f t="shared" si="5"/>
        <v>75.80710923310724</v>
      </c>
      <c r="P38" s="16">
        <f>'насел.'!P38+пільги!P38+субсидії!P38+'держ.бюджет'!P38+'місц.-районн.бюджет'!P38+областной!P38+інші!P38</f>
        <v>0</v>
      </c>
      <c r="Q38" s="16">
        <f>'насел.'!Q38+пільги!Q38+субсидії!Q38+'держ.бюджет'!Q38+'місц.-районн.бюджет'!Q38+областной!Q38+інші!Q38</f>
        <v>0</v>
      </c>
      <c r="R38" s="10" t="e">
        <f t="shared" si="17"/>
        <v>#DIV/0!</v>
      </c>
      <c r="S38" s="16">
        <f>'насел.'!S38+пільги!S38+субсидії!S38+'держ.бюджет'!S38+'місц.-районн.бюджет'!S38+областной!S38+інші!S38</f>
        <v>0</v>
      </c>
      <c r="T38" s="16">
        <f>'насел.'!T38+пільги!T38+субсидії!T38+'держ.бюджет'!T38+'місц.-районн.бюджет'!T38+областной!T38+інші!T38</f>
        <v>0</v>
      </c>
      <c r="U38" s="10" t="e">
        <f t="shared" si="18"/>
        <v>#DIV/0!</v>
      </c>
      <c r="V38" s="16">
        <f>'насел.'!V38+пільги!V38+субсидії!V38+'держ.бюджет'!V38+'місц.-районн.бюджет'!V38+областной!V38+інші!V38</f>
        <v>0</v>
      </c>
      <c r="W38" s="16">
        <f>'насел.'!W38+пільги!W38+субсидії!W38+'держ.бюджет'!W38+'місц.-районн.бюджет'!W38+областной!W38+інші!W38</f>
        <v>0</v>
      </c>
      <c r="X38" s="10" t="e">
        <f t="shared" si="19"/>
        <v>#DIV/0!</v>
      </c>
      <c r="Y38" s="16">
        <f>'насел.'!Y38+пільги!Y38+субсидії!Y38+'держ.бюджет'!Y38+'місц.-районн.бюджет'!Y38+областной!Y38+інші!Y38</f>
        <v>0</v>
      </c>
      <c r="Z38" s="16">
        <f>'насел.'!Z38+пільги!Z38+субсидії!Z38+'держ.бюджет'!Z38+'місц.-районн.бюджет'!Z38+областной!Z38+інші!Z38</f>
        <v>0</v>
      </c>
      <c r="AA38" s="10" t="e">
        <f t="shared" si="20"/>
        <v>#DIV/0!</v>
      </c>
      <c r="AB38" s="16">
        <f>'насел.'!AB38+пільги!AB38+субсидії!AB38+'держ.бюджет'!AB38+'місц.-районн.бюджет'!AB38+областной!AB38+інші!AB38</f>
        <v>0</v>
      </c>
      <c r="AC38" s="16">
        <f>'насел.'!AC38+пільги!AC38+субсидії!AC38+'держ.бюджет'!AC38+'місц.-районн.бюджет'!AC38+областной!AC38+інші!AC38</f>
        <v>0</v>
      </c>
      <c r="AD38" s="10" t="e">
        <f t="shared" si="21"/>
        <v>#DIV/0!</v>
      </c>
      <c r="AE38" s="16">
        <f>'насел.'!AE38+пільги!AE38+субсидії!AE38+'держ.бюджет'!AE38+'місц.-районн.бюджет'!AE38+областной!AE38+інші!AE38</f>
        <v>0</v>
      </c>
      <c r="AF38" s="16">
        <f>'насел.'!AF38+пільги!AF38+субсидії!AF38+'держ.бюджет'!AF38+'місц.-районн.бюджет'!AF38+областной!AF38+інші!AF38</f>
        <v>0</v>
      </c>
      <c r="AG38" s="10" t="e">
        <f t="shared" si="22"/>
        <v>#DIV/0!</v>
      </c>
      <c r="AH38" s="16">
        <f>'насел.'!AH38+пільги!AH38+субсидії!AH38+'держ.бюджет'!AH38+'місц.-районн.бюджет'!AH38+областной!AH38+інші!AH38</f>
        <v>0</v>
      </c>
      <c r="AI38" s="16">
        <f>'насел.'!AI38+пільги!AI38+субсидії!AI38+'держ.бюджет'!AI38+'місц.-районн.бюджет'!AI38+областной!AI38+інші!AI38</f>
        <v>0</v>
      </c>
      <c r="AJ38" s="16">
        <f>'насел.'!AJ38+пільги!AJ38+субсидії!AJ38+'держ.бюджет'!AJ38+'місц.-районн.бюджет'!AJ38+областной!AJ38+інші!AJ38</f>
        <v>0</v>
      </c>
      <c r="AK38" s="16">
        <f>'насел.'!AK38+пільги!AK38+субсидії!AK38+'держ.бюджет'!AK38+'місц.-районн.бюджет'!AK38+областной!AK38+інші!AK38</f>
        <v>0</v>
      </c>
      <c r="AL38" s="16" t="e">
        <f t="shared" si="11"/>
        <v>#DIV/0!</v>
      </c>
      <c r="AM38" s="16">
        <f>'насел.'!AM38+пільги!AM38+субсидії!AM38+'держ.бюджет'!AM38+'місц.-районн.бюджет'!AM38+областной!AM38+інші!AM38</f>
        <v>0</v>
      </c>
      <c r="AN38" s="16">
        <f>'насел.'!AN38+пільги!AN38+субсидії!AN38+'держ.бюджет'!AN38+'місц.-районн.бюджет'!AN38+областной!AN38+інші!AN38</f>
        <v>0</v>
      </c>
      <c r="AO38" s="16">
        <f>'насел.'!AO38+пільги!AO38+субсидії!AO38+'держ.бюджет'!AO38+'місц.-районн.бюджет'!AO38+областной!AO38+інші!AO38</f>
        <v>0</v>
      </c>
      <c r="AP38" s="16">
        <f>'насел.'!AP38+пільги!AP38+субсидії!AP38+'держ.бюджет'!AP38+'місц.-районн.бюджет'!AP38+областной!AP38+інші!AP38</f>
        <v>0</v>
      </c>
      <c r="AQ38" s="16">
        <f>'насел.'!AQ38+пільги!AQ38+субсидії!AQ38+'держ.бюджет'!AQ38+'місц.-районн.бюджет'!AQ38+областной!AQ38+інші!AQ38</f>
        <v>0</v>
      </c>
      <c r="AR38" s="16">
        <f>'насел.'!AR38+пільги!AR38+субсидії!AR38+'держ.бюджет'!AR38+'місц.-районн.бюджет'!AR38+областной!AR38+інші!AR38</f>
        <v>0</v>
      </c>
      <c r="AS38" s="16">
        <f>'насел.'!AS38+пільги!AS38+субсидії!AS38+'держ.бюджет'!AS38+'місц.-районн.бюджет'!AS38+областной!AS38+інші!AS38</f>
        <v>10791.599999999999</v>
      </c>
      <c r="AT38" s="16">
        <f>'насел.'!AT38+пільги!AT38+субсидії!AT38+'держ.бюджет'!AT38+'місц.-районн.бюджет'!AT38+областной!AT38+інші!AT38</f>
        <v>8180.799999999999</v>
      </c>
      <c r="AU38" s="10">
        <f t="shared" si="4"/>
        <v>75.80710923310724</v>
      </c>
      <c r="AV38" s="16">
        <f>'насел.'!AV38+пільги!AV38+субсидії!AV38+'держ.бюджет'!AV38+'місц.-районн.бюджет'!AV38+областной!AV38+інші!AV38</f>
        <v>2610.8</v>
      </c>
      <c r="AW38" s="16">
        <f>'насел.'!AW38+пільги!AW38+субсидії!AW38+'держ.бюджет'!AW38+'місц.-районн.бюджет'!AW38+областной!AW38+інші!AW38</f>
        <v>2601.899999999999</v>
      </c>
      <c r="AX38" s="40">
        <f t="shared" si="12"/>
        <v>10791.6</v>
      </c>
      <c r="AY38" s="40">
        <f t="shared" si="13"/>
        <v>8180.799999999999</v>
      </c>
      <c r="AZ38" s="40">
        <f t="shared" si="14"/>
        <v>2610.800000000001</v>
      </c>
      <c r="BA38" s="40">
        <f t="shared" si="15"/>
        <v>2601.9000000000015</v>
      </c>
    </row>
    <row r="39" spans="1:53" ht="34.5" customHeight="1">
      <c r="A39" s="12" t="s">
        <v>34</v>
      </c>
      <c r="B39" s="117" t="s">
        <v>4</v>
      </c>
      <c r="C39" s="16">
        <f>'насел.'!C39+пільги!C39+субсидії!C39+'держ.бюджет'!C39+'місц.-районн.бюджет'!C39+областной!C39+інші!C39</f>
        <v>17426.7</v>
      </c>
      <c r="D39" s="16">
        <f>'насел.'!D39+пільги!D39+субсидії!D39+'держ.бюджет'!D39+'місц.-районн.бюджет'!D39+областной!D39+інші!D39</f>
        <v>5685.799999999999</v>
      </c>
      <c r="E39" s="16">
        <f>'насел.'!E39+пільги!E39+субсидії!E39+'держ.бюджет'!E39+'місц.-районн.бюджет'!E39+областной!E39+інші!E39</f>
        <v>2181.7</v>
      </c>
      <c r="F39" s="10">
        <f t="shared" si="0"/>
        <v>38.37102958246861</v>
      </c>
      <c r="G39" s="16">
        <f>'насел.'!G39+пільги!G39+субсидії!G39+'держ.бюджет'!G39+'місц.-районн.бюджет'!G39+областной!G39+інші!G39</f>
        <v>514.3000000000001</v>
      </c>
      <c r="H39" s="16">
        <f>'насел.'!H39+пільги!H39+субсидії!H39+'держ.бюджет'!H39+'місц.-районн.бюджет'!H39+областной!H39+інші!H39</f>
        <v>3747.6</v>
      </c>
      <c r="I39" s="10">
        <f t="shared" si="1"/>
        <v>728.6797588955861</v>
      </c>
      <c r="J39" s="16">
        <f>'насел.'!J39+пільги!J39+субсидії!J39+'держ.бюджет'!J39+'місц.-районн.бюджет'!J39+областной!J39+інші!J39</f>
        <v>5414.600000000001</v>
      </c>
      <c r="K39" s="16">
        <f>'насел.'!K39+пільги!K39+субсидії!K39+'держ.бюджет'!K39+'місц.-районн.бюджет'!K39+областной!K39+інші!K39</f>
        <v>4836.000000000001</v>
      </c>
      <c r="L39" s="10">
        <f t="shared" si="16"/>
        <v>89.314076755439</v>
      </c>
      <c r="M39" s="10">
        <f>'насел.'!M39+пільги!M39+субсидії!M39+'держ.бюджет'!M39+'місц.-районн.бюджет'!M39+областной!M39+інші!M39</f>
        <v>11614.7</v>
      </c>
      <c r="N39" s="10">
        <f>'насел.'!N39+пільги!N39+субсидії!N39+'держ.бюджет'!N39+'місц.-районн.бюджет'!N39+областной!N39+інші!N39</f>
        <v>10765.300000000001</v>
      </c>
      <c r="O39" s="10">
        <f t="shared" si="5"/>
        <v>92.6868537284648</v>
      </c>
      <c r="P39" s="16">
        <f>'насел.'!P39+пільги!P39+субсидії!P39+'держ.бюджет'!P39+'місц.-районн.бюджет'!P39+областной!P39+інші!P39</f>
        <v>0</v>
      </c>
      <c r="Q39" s="16">
        <f>'насел.'!Q39+пільги!Q39+субсидії!Q39+'держ.бюджет'!Q39+'місц.-районн.бюджет'!Q39+областной!Q39+інші!Q39</f>
        <v>0</v>
      </c>
      <c r="R39" s="10" t="e">
        <f t="shared" si="17"/>
        <v>#DIV/0!</v>
      </c>
      <c r="S39" s="16">
        <f>'насел.'!S39+пільги!S39+субсидії!S39+'держ.бюджет'!S39+'місц.-районн.бюджет'!S39+областной!S39+інші!S39</f>
        <v>0</v>
      </c>
      <c r="T39" s="16">
        <f>'насел.'!T39+пільги!T39+субсидії!T39+'держ.бюджет'!T39+'місц.-районн.бюджет'!T39+областной!T39+інші!T39</f>
        <v>0</v>
      </c>
      <c r="U39" s="10" t="e">
        <f t="shared" si="18"/>
        <v>#DIV/0!</v>
      </c>
      <c r="V39" s="16">
        <f>'насел.'!V39+пільги!V39+субсидії!V39+'держ.бюджет'!V39+'місц.-районн.бюджет'!V39+областной!V39+інші!V39</f>
        <v>0</v>
      </c>
      <c r="W39" s="16">
        <f>'насел.'!W39+пільги!W39+субсидії!W39+'держ.бюджет'!W39+'місц.-районн.бюджет'!W39+областной!W39+інші!W39</f>
        <v>0</v>
      </c>
      <c r="X39" s="10" t="e">
        <f t="shared" si="19"/>
        <v>#DIV/0!</v>
      </c>
      <c r="Y39" s="16">
        <f>'насел.'!Y39+пільги!Y39+субсидії!Y39+'держ.бюджет'!Y39+'місц.-районн.бюджет'!Y39+областной!Y39+інші!Y39</f>
        <v>0</v>
      </c>
      <c r="Z39" s="16">
        <f>'насел.'!Z39+пільги!Z39+субсидії!Z39+'держ.бюджет'!Z39+'місц.-районн.бюджет'!Z39+областной!Z39+інші!Z39</f>
        <v>0</v>
      </c>
      <c r="AA39" s="10" t="e">
        <f t="shared" si="20"/>
        <v>#DIV/0!</v>
      </c>
      <c r="AB39" s="16">
        <f>'насел.'!AB39+пільги!AB39+субсидії!AB39+'держ.бюджет'!AB39+'місц.-районн.бюджет'!AB39+областной!AB39+інші!AB39</f>
        <v>0</v>
      </c>
      <c r="AC39" s="16">
        <f>'насел.'!AC39+пільги!AC39+субсидії!AC39+'держ.бюджет'!AC39+'місц.-районн.бюджет'!AC39+областной!AC39+інші!AC39</f>
        <v>0</v>
      </c>
      <c r="AD39" s="10" t="e">
        <f t="shared" si="21"/>
        <v>#DIV/0!</v>
      </c>
      <c r="AE39" s="16">
        <f>'насел.'!AE39+пільги!AE39+субсидії!AE39+'держ.бюджет'!AE39+'місц.-районн.бюджет'!AE39+областной!AE39+інші!AE39</f>
        <v>0</v>
      </c>
      <c r="AF39" s="16">
        <f>'насел.'!AF39+пільги!AF39+субсидії!AF39+'держ.бюджет'!AF39+'місц.-районн.бюджет'!AF39+областной!AF39+інші!AF39</f>
        <v>0</v>
      </c>
      <c r="AG39" s="10" t="e">
        <f t="shared" si="22"/>
        <v>#DIV/0!</v>
      </c>
      <c r="AH39" s="16">
        <f>'насел.'!AH39+пільги!AH39+субсидії!AH39+'держ.бюджет'!AH39+'місц.-районн.бюджет'!AH39+областной!AH39+інші!AH39</f>
        <v>0</v>
      </c>
      <c r="AI39" s="16">
        <f>'насел.'!AI39+пільги!AI39+субсидії!AI39+'держ.бюджет'!AI39+'місц.-районн.бюджет'!AI39+областной!AI39+інші!AI39</f>
        <v>0</v>
      </c>
      <c r="AJ39" s="16">
        <f>'насел.'!AJ39+пільги!AJ39+субсидії!AJ39+'держ.бюджет'!AJ39+'місц.-районн.бюджет'!AJ39+областной!AJ39+інші!AJ39</f>
        <v>0</v>
      </c>
      <c r="AK39" s="16">
        <f>'насел.'!AK39+пільги!AK39+субсидії!AK39+'держ.бюджет'!AK39+'місц.-районн.бюджет'!AK39+областной!AK39+інші!AK39</f>
        <v>0</v>
      </c>
      <c r="AL39" s="16" t="e">
        <f t="shared" si="11"/>
        <v>#DIV/0!</v>
      </c>
      <c r="AM39" s="16">
        <f>'насел.'!AM39+пільги!AM39+субсидії!AM39+'держ.бюджет'!AM39+'місц.-районн.бюджет'!AM39+областной!AM39+інші!AM39</f>
        <v>0</v>
      </c>
      <c r="AN39" s="16">
        <f>'насел.'!AN39+пільги!AN39+субсидії!AN39+'держ.бюджет'!AN39+'місц.-районн.бюджет'!AN39+областной!AN39+інші!AN39</f>
        <v>0</v>
      </c>
      <c r="AO39" s="16">
        <f>'насел.'!AO39+пільги!AO39+субсидії!AO39+'держ.бюджет'!AO39+'місц.-районн.бюджет'!AO39+областной!AO39+інші!AO39</f>
        <v>0</v>
      </c>
      <c r="AP39" s="16">
        <f>'насел.'!AP39+пільги!AP39+субсидії!AP39+'держ.бюджет'!AP39+'місц.-районн.бюджет'!AP39+областной!AP39+інші!AP39</f>
        <v>0</v>
      </c>
      <c r="AQ39" s="16">
        <f>'насел.'!AQ39+пільги!AQ39+субсидії!AQ39+'держ.бюджет'!AQ39+'місц.-районн.бюджет'!AQ39+областной!AQ39+інші!AQ39</f>
        <v>0</v>
      </c>
      <c r="AR39" s="16">
        <f>'насел.'!AR39+пільги!AR39+субсидії!AR39+'держ.бюджет'!AR39+'місц.-районн.бюджет'!AR39+областной!AR39+інші!AR39</f>
        <v>0</v>
      </c>
      <c r="AS39" s="16">
        <f>'насел.'!AS39+пільги!AS39+субсидії!AS39+'держ.бюджет'!AS39+'місц.-районн.бюджет'!AS39+областной!AS39+інші!AS39</f>
        <v>11614.7</v>
      </c>
      <c r="AT39" s="16">
        <f>'насел.'!AT39+пільги!AT39+субсидії!AT39+'держ.бюджет'!AT39+'місц.-районн.бюджет'!AT39+областной!AT39+інші!AT39</f>
        <v>10765.300000000001</v>
      </c>
      <c r="AU39" s="10">
        <f t="shared" si="4"/>
        <v>92.6868537284648</v>
      </c>
      <c r="AV39" s="16">
        <f>'насел.'!AV39+пільги!AV39+субсидії!AV39+'держ.бюджет'!AV39+'місц.-районн.бюджет'!AV39+областной!AV39+інші!AV39</f>
        <v>849.4000000000009</v>
      </c>
      <c r="AW39" s="16">
        <f>'насел.'!AW39+пільги!AW39+субсидії!AW39+'держ.бюджет'!AW39+'місц.-районн.бюджет'!AW39+областной!AW39+інші!AW39</f>
        <v>18276.100000000002</v>
      </c>
      <c r="AX39" s="40">
        <f t="shared" si="12"/>
        <v>11614.7</v>
      </c>
      <c r="AY39" s="40">
        <f t="shared" si="13"/>
        <v>10765.3</v>
      </c>
      <c r="AZ39" s="40">
        <f t="shared" si="14"/>
        <v>849.4000000000015</v>
      </c>
      <c r="BA39" s="40">
        <f t="shared" si="15"/>
        <v>18276.100000000002</v>
      </c>
    </row>
    <row r="40" spans="1:53" ht="34.5" customHeight="1">
      <c r="A40" s="12" t="s">
        <v>35</v>
      </c>
      <c r="B40" s="117" t="s">
        <v>63</v>
      </c>
      <c r="C40" s="16">
        <f>'насел.'!C40+пільги!C40+субсидії!C40+'держ.бюджет'!C40+'місц.-районн.бюджет'!C40+областной!C40+інші!C40</f>
        <v>2099</v>
      </c>
      <c r="D40" s="16">
        <f>'насел.'!D40+пільги!D40+субсидії!D40+'держ.бюджет'!D40+'місц.-районн.бюджет'!D40+областной!D40+інші!D40</f>
        <v>884.8</v>
      </c>
      <c r="E40" s="16">
        <f>'насел.'!E40+пільги!E40+субсидії!E40+'держ.бюджет'!E40+'місц.-районн.бюджет'!E40+областной!E40+інші!E40</f>
        <v>705.1</v>
      </c>
      <c r="F40" s="10">
        <f t="shared" si="0"/>
        <v>79.69032549728753</v>
      </c>
      <c r="G40" s="16">
        <f>'насел.'!G40+пільги!G40+субсидії!G40+'держ.бюджет'!G40+'місц.-районн.бюджет'!G40+областной!G40+інші!G40</f>
        <v>854.4</v>
      </c>
      <c r="H40" s="16">
        <f>'насел.'!H40+пільги!H40+субсидії!H40+'держ.бюджет'!H40+'місц.-районн.бюджет'!H40+областной!H40+інші!H40</f>
        <v>809.9</v>
      </c>
      <c r="I40" s="10">
        <f t="shared" si="1"/>
        <v>94.79166666666666</v>
      </c>
      <c r="J40" s="16">
        <f>'насел.'!J40+пільги!J40+субсидії!J40+'держ.бюджет'!J40+'місц.-районн.бюджет'!J40+областной!J40+інші!J40</f>
        <v>816.2</v>
      </c>
      <c r="K40" s="16">
        <f>'насел.'!K40+пільги!K40+субсидії!K40+'держ.бюджет'!K40+'місц.-районн.бюджет'!K40+областной!K40+інші!K40</f>
        <v>787.5999999999999</v>
      </c>
      <c r="L40" s="10">
        <f t="shared" si="16"/>
        <v>96.49595687331535</v>
      </c>
      <c r="M40" s="10">
        <f>'насел.'!M40+пільги!M40+субсидії!M40+'держ.бюджет'!M40+'місц.-районн.бюджет'!M40+областной!M40+інші!M40</f>
        <v>2555.3999999999996</v>
      </c>
      <c r="N40" s="10">
        <f>'насел.'!N40+пільги!N40+субсидії!N40+'держ.бюджет'!N40+'місц.-районн.бюджет'!N40+областной!N40+інші!N40</f>
        <v>2302.6</v>
      </c>
      <c r="O40" s="10">
        <f t="shared" si="5"/>
        <v>90.10722391797763</v>
      </c>
      <c r="P40" s="16">
        <f>'насел.'!P40+пільги!P40+субсидії!P40+'держ.бюджет'!P40+'місц.-районн.бюджет'!P40+областной!P40+інші!P40</f>
        <v>0</v>
      </c>
      <c r="Q40" s="16">
        <f>'насел.'!Q40+пільги!Q40+субсидії!Q40+'держ.бюджет'!Q40+'місц.-районн.бюджет'!Q40+областной!Q40+інші!Q40</f>
        <v>0</v>
      </c>
      <c r="R40" s="10" t="e">
        <f t="shared" si="17"/>
        <v>#DIV/0!</v>
      </c>
      <c r="S40" s="16">
        <f>'насел.'!S40+пільги!S40+субсидії!S40+'держ.бюджет'!S40+'місц.-районн.бюджет'!S40+областной!S40+інші!S40</f>
        <v>0</v>
      </c>
      <c r="T40" s="16">
        <f>'насел.'!T40+пільги!T40+субсидії!T40+'держ.бюджет'!T40+'місц.-районн.бюджет'!T40+областной!T40+інші!T40</f>
        <v>0</v>
      </c>
      <c r="U40" s="10" t="e">
        <f t="shared" si="18"/>
        <v>#DIV/0!</v>
      </c>
      <c r="V40" s="16">
        <f>'насел.'!V40+пільги!V40+субсидії!V40+'держ.бюджет'!V40+'місц.-районн.бюджет'!V40+областной!V40+інші!V40</f>
        <v>0</v>
      </c>
      <c r="W40" s="16">
        <f>'насел.'!W40+пільги!W40+субсидії!W40+'держ.бюджет'!W40+'місц.-районн.бюджет'!W40+областной!W40+інші!W40</f>
        <v>0</v>
      </c>
      <c r="X40" s="10" t="e">
        <f t="shared" si="19"/>
        <v>#DIV/0!</v>
      </c>
      <c r="Y40" s="16">
        <f>'насел.'!Y40+пільги!Y40+субсидії!Y40+'держ.бюджет'!Y40+'місц.-районн.бюджет'!Y40+областной!Y40+інші!Y40</f>
        <v>0</v>
      </c>
      <c r="Z40" s="16">
        <f>'насел.'!Z40+пільги!Z40+субсидії!Z40+'держ.бюджет'!Z40+'місц.-районн.бюджет'!Z40+областной!Z40+інші!Z40</f>
        <v>0</v>
      </c>
      <c r="AA40" s="10" t="e">
        <f t="shared" si="20"/>
        <v>#DIV/0!</v>
      </c>
      <c r="AB40" s="16">
        <f>'насел.'!AB40+пільги!AB40+субсидії!AB40+'держ.бюджет'!AB40+'місц.-районн.бюджет'!AB40+областной!AB40+інші!AB40</f>
        <v>0</v>
      </c>
      <c r="AC40" s="16">
        <f>'насел.'!AC40+пільги!AC40+субсидії!AC40+'держ.бюджет'!AC40+'місц.-районн.бюджет'!AC40+областной!AC40+інші!AC40</f>
        <v>0</v>
      </c>
      <c r="AD40" s="10" t="e">
        <f t="shared" si="21"/>
        <v>#DIV/0!</v>
      </c>
      <c r="AE40" s="16">
        <f>'насел.'!AE40+пільги!AE40+субсидії!AE40+'держ.бюджет'!AE40+'місц.-районн.бюджет'!AE40+областной!AE40+інші!AE40</f>
        <v>0</v>
      </c>
      <c r="AF40" s="16">
        <f>'насел.'!AF40+пільги!AF40+субсидії!AF40+'держ.бюджет'!AF40+'місц.-районн.бюджет'!AF40+областной!AF40+інші!AF40</f>
        <v>0</v>
      </c>
      <c r="AG40" s="10" t="e">
        <f t="shared" si="22"/>
        <v>#DIV/0!</v>
      </c>
      <c r="AH40" s="16">
        <f>'насел.'!AH40+пільги!AH40+субсидії!AH40+'держ.бюджет'!AH40+'місц.-районн.бюджет'!AH40+областной!AH40+інші!AH40</f>
        <v>0</v>
      </c>
      <c r="AI40" s="16">
        <f>'насел.'!AI40+пільги!AI40+субсидії!AI40+'держ.бюджет'!AI40+'місц.-районн.бюджет'!AI40+областной!AI40+інші!AI40</f>
        <v>0</v>
      </c>
      <c r="AJ40" s="16">
        <f>'насел.'!AJ40+пільги!AJ40+субсидії!AJ40+'держ.бюджет'!AJ40+'місц.-районн.бюджет'!AJ40+областной!AJ40+інші!AJ40</f>
        <v>0</v>
      </c>
      <c r="AK40" s="16">
        <f>'насел.'!AK40+пільги!AK40+субсидії!AK40+'держ.бюджет'!AK40+'місц.-районн.бюджет'!AK40+областной!AK40+інші!AK40</f>
        <v>0</v>
      </c>
      <c r="AL40" s="16" t="e">
        <f t="shared" si="11"/>
        <v>#DIV/0!</v>
      </c>
      <c r="AM40" s="16">
        <f>'насел.'!AM40+пільги!AM40+субсидії!AM40+'держ.бюджет'!AM40+'місц.-районн.бюджет'!AM40+областной!AM40+інші!AM40</f>
        <v>0</v>
      </c>
      <c r="AN40" s="16">
        <f>'насел.'!AN40+пільги!AN40+субсидії!AN40+'держ.бюджет'!AN40+'місц.-районн.бюджет'!AN40+областной!AN40+інші!AN40</f>
        <v>0</v>
      </c>
      <c r="AO40" s="16">
        <f>'насел.'!AO40+пільги!AO40+субсидії!AO40+'держ.бюджет'!AO40+'місц.-районн.бюджет'!AO40+областной!AO40+інші!AO40</f>
        <v>0</v>
      </c>
      <c r="AP40" s="16">
        <f>'насел.'!AP40+пільги!AP40+субсидії!AP40+'держ.бюджет'!AP40+'місц.-районн.бюджет'!AP40+областной!AP40+інші!AP40</f>
        <v>0</v>
      </c>
      <c r="AQ40" s="16">
        <f>'насел.'!AQ40+пільги!AQ40+субсидії!AQ40+'держ.бюджет'!AQ40+'місц.-районн.бюджет'!AQ40+областной!AQ40+інші!AQ40</f>
        <v>0</v>
      </c>
      <c r="AR40" s="16">
        <f>'насел.'!AR40+пільги!AR40+субсидії!AR40+'держ.бюджет'!AR40+'місц.-районн.бюджет'!AR40+областной!AR40+інші!AR40</f>
        <v>0</v>
      </c>
      <c r="AS40" s="16">
        <f>'насел.'!AS40+пільги!AS40+субсидії!AS40+'держ.бюджет'!AS40+'місц.-районн.бюджет'!AS40+областной!AS40+інші!AS40</f>
        <v>2555.3999999999996</v>
      </c>
      <c r="AT40" s="16">
        <f>'насел.'!AT40+пільги!AT40+субсидії!AT40+'держ.бюджет'!AT40+'місц.-районн.бюджет'!AT40+областной!AT40+інші!AT40</f>
        <v>2302.6</v>
      </c>
      <c r="AU40" s="10">
        <f t="shared" si="4"/>
        <v>90.10722391797763</v>
      </c>
      <c r="AV40" s="16">
        <f>'насел.'!AV40+пільги!AV40+субсидії!AV40+'держ.бюджет'!AV40+'місц.-районн.бюджет'!AV40+областной!AV40+інші!AV40</f>
        <v>252.79999999999995</v>
      </c>
      <c r="AW40" s="16">
        <f>'насел.'!AW40+пільги!AW40+субсидії!AW40+'держ.бюджет'!AW40+'місц.-районн.бюджет'!AW40+областной!AW40+інші!AW40</f>
        <v>2351.8</v>
      </c>
      <c r="AX40" s="40">
        <f t="shared" si="12"/>
        <v>2555.3999999999996</v>
      </c>
      <c r="AY40" s="40">
        <f t="shared" si="13"/>
        <v>2302.6</v>
      </c>
      <c r="AZ40" s="40">
        <f t="shared" si="14"/>
        <v>252.79999999999973</v>
      </c>
      <c r="BA40" s="40">
        <f t="shared" si="15"/>
        <v>2351.7999999999997</v>
      </c>
    </row>
    <row r="41" spans="1:53" ht="34.5" customHeight="1">
      <c r="A41" s="12" t="s">
        <v>36</v>
      </c>
      <c r="B41" s="60" t="s">
        <v>64</v>
      </c>
      <c r="C41" s="16">
        <f>'насел.'!C41+пільги!C41+субсидії!C41+'держ.бюджет'!C41+'місц.-районн.бюджет'!C41+областной!C41+інші!C41</f>
        <v>1967.1</v>
      </c>
      <c r="D41" s="16">
        <f>'насел.'!D41+пільги!D41+субсидії!D41+'держ.бюджет'!D41+'місц.-районн.бюджет'!D41+областной!D41+інші!D41</f>
        <v>2227.9</v>
      </c>
      <c r="E41" s="16">
        <f>'насел.'!E41+пільги!E41+субсидії!E41+'держ.бюджет'!E41+'місц.-районн.бюджет'!E41+областной!E41+інші!E41</f>
        <v>1986</v>
      </c>
      <c r="F41" s="10">
        <f t="shared" si="0"/>
        <v>89.14224157278154</v>
      </c>
      <c r="G41" s="16">
        <f>'насел.'!G41+пільги!G41+субсидії!G41+'держ.бюджет'!G41+'місц.-районн.бюджет'!G41+областной!G41+інші!G41</f>
        <v>2367.3999999999996</v>
      </c>
      <c r="H41" s="16">
        <f>'насел.'!H41+пільги!H41+субсидії!H41+'держ.бюджет'!H41+'місц.-районн.бюджет'!H41+областной!H41+інші!H41</f>
        <v>2518.3</v>
      </c>
      <c r="I41" s="10">
        <f t="shared" si="1"/>
        <v>106.37408127059223</v>
      </c>
      <c r="J41" s="16">
        <f>'насел.'!J41+пільги!J41+субсидії!J41+'держ.бюджет'!J41+'місц.-районн.бюджет'!J41+областной!J41+інші!J41</f>
        <v>2425.1</v>
      </c>
      <c r="K41" s="16">
        <f>'насел.'!K41+пільги!K41+субсидії!K41+'держ.бюджет'!K41+'місц.-районн.бюджет'!K41+областной!K41+інші!K41</f>
        <v>1631.6999999999998</v>
      </c>
      <c r="L41" s="10">
        <f t="shared" si="16"/>
        <v>67.28382334749082</v>
      </c>
      <c r="M41" s="10">
        <f>'насел.'!M41+пільги!M41+субсидії!M41+'держ.бюджет'!M41+'місц.-районн.бюджет'!M41+областной!M41+інші!M41</f>
        <v>7020.4</v>
      </c>
      <c r="N41" s="10">
        <f>'насел.'!N41+пільги!N41+субсидії!N41+'держ.бюджет'!N41+'місц.-районн.бюджет'!N41+областной!N41+інші!N41</f>
        <v>6136</v>
      </c>
      <c r="O41" s="10">
        <f t="shared" si="5"/>
        <v>87.40242721212466</v>
      </c>
      <c r="P41" s="16">
        <f>'насел.'!P41+пільги!P41+субсидії!P41+'держ.бюджет'!P41+'місц.-районн.бюджет'!P41+областной!P41+інші!P41</f>
        <v>0</v>
      </c>
      <c r="Q41" s="16">
        <f>'насел.'!Q41+пільги!Q41+субсидії!Q41+'держ.бюджет'!Q41+'місц.-районн.бюджет'!Q41+областной!Q41+інші!Q41</f>
        <v>0</v>
      </c>
      <c r="R41" s="10" t="e">
        <f t="shared" si="17"/>
        <v>#DIV/0!</v>
      </c>
      <c r="S41" s="16">
        <f>'насел.'!S41+пільги!S41+субсидії!S41+'держ.бюджет'!S41+'місц.-районн.бюджет'!S41+областной!S41+інші!S41</f>
        <v>0</v>
      </c>
      <c r="T41" s="16">
        <f>'насел.'!T41+пільги!T41+субсидії!T41+'держ.бюджет'!T41+'місц.-районн.бюджет'!T41+областной!T41+інші!T41</f>
        <v>0</v>
      </c>
      <c r="U41" s="10" t="e">
        <f t="shared" si="18"/>
        <v>#DIV/0!</v>
      </c>
      <c r="V41" s="16">
        <f>'насел.'!V41+пільги!V41+субсидії!V41+'держ.бюджет'!V41+'місц.-районн.бюджет'!V41+областной!V41+інші!V41</f>
        <v>0</v>
      </c>
      <c r="W41" s="16">
        <f>'насел.'!W41+пільги!W41+субсидії!W41+'держ.бюджет'!W41+'місц.-районн.бюджет'!W41+областной!W41+інші!W41</f>
        <v>0</v>
      </c>
      <c r="X41" s="10" t="e">
        <f t="shared" si="19"/>
        <v>#DIV/0!</v>
      </c>
      <c r="Y41" s="16">
        <f>'насел.'!Y41+пільги!Y41+субсидії!Y41+'держ.бюджет'!Y41+'місц.-районн.бюджет'!Y41+областной!Y41+інші!Y41</f>
        <v>0</v>
      </c>
      <c r="Z41" s="16">
        <f>'насел.'!Z41+пільги!Z41+субсидії!Z41+'держ.бюджет'!Z41+'місц.-районн.бюджет'!Z41+областной!Z41+інші!Z41</f>
        <v>0</v>
      </c>
      <c r="AA41" s="10" t="e">
        <f t="shared" si="20"/>
        <v>#DIV/0!</v>
      </c>
      <c r="AB41" s="16">
        <f>'насел.'!AB41+пільги!AB41+субсидії!AB41+'держ.бюджет'!AB41+'місц.-районн.бюджет'!AB41+областной!AB41+інші!AB41</f>
        <v>0</v>
      </c>
      <c r="AC41" s="16">
        <f>'насел.'!AC41+пільги!AC41+субсидії!AC41+'держ.бюджет'!AC41+'місц.-районн.бюджет'!AC41+областной!AC41+інші!AC41</f>
        <v>0</v>
      </c>
      <c r="AD41" s="10" t="e">
        <f t="shared" si="21"/>
        <v>#DIV/0!</v>
      </c>
      <c r="AE41" s="16">
        <f>'насел.'!AE41+пільги!AE41+субсидії!AE41+'держ.бюджет'!AE41+'місц.-районн.бюджет'!AE41+областной!AE41+інші!AE41</f>
        <v>0</v>
      </c>
      <c r="AF41" s="16">
        <f>'насел.'!AF41+пільги!AF41+субсидії!AF41+'держ.бюджет'!AF41+'місц.-районн.бюджет'!AF41+областной!AF41+інші!AF41</f>
        <v>0</v>
      </c>
      <c r="AG41" s="10" t="e">
        <f t="shared" si="22"/>
        <v>#DIV/0!</v>
      </c>
      <c r="AH41" s="16">
        <f>'насел.'!AH41+пільги!AH41+субсидії!AH41+'держ.бюджет'!AH41+'місц.-районн.бюджет'!AH41+областной!AH41+інші!AH41</f>
        <v>0</v>
      </c>
      <c r="AI41" s="16">
        <f>'насел.'!AI41+пільги!AI41+субсидії!AI41+'держ.бюджет'!AI41+'місц.-районн.бюджет'!AI41+областной!AI41+інші!AI41</f>
        <v>0</v>
      </c>
      <c r="AJ41" s="16">
        <f>'насел.'!AJ41+пільги!AJ41+субсидії!AJ41+'держ.бюджет'!AJ41+'місц.-районн.бюджет'!AJ41+областной!AJ41+інші!AJ41</f>
        <v>0</v>
      </c>
      <c r="AK41" s="16">
        <f>'насел.'!AK41+пільги!AK41+субсидії!AK41+'держ.бюджет'!AK41+'місц.-районн.бюджет'!AK41+областной!AK41+інші!AK41</f>
        <v>0</v>
      </c>
      <c r="AL41" s="16" t="e">
        <f t="shared" si="11"/>
        <v>#DIV/0!</v>
      </c>
      <c r="AM41" s="16">
        <f>'насел.'!AM41+пільги!AM41+субсидії!AM41+'держ.бюджет'!AM41+'місц.-районн.бюджет'!AM41+областной!AM41+інші!AM41</f>
        <v>0</v>
      </c>
      <c r="AN41" s="16">
        <f>'насел.'!AN41+пільги!AN41+субсидії!AN41+'держ.бюджет'!AN41+'місц.-районн.бюджет'!AN41+областной!AN41+інші!AN41</f>
        <v>0</v>
      </c>
      <c r="AO41" s="16">
        <f>'насел.'!AO41+пільги!AO41+субсидії!AO41+'держ.бюджет'!AO41+'місц.-районн.бюджет'!AO41+областной!AO41+інші!AO41</f>
        <v>0</v>
      </c>
      <c r="AP41" s="16">
        <f>'насел.'!AP41+пільги!AP41+субсидії!AP41+'держ.бюджет'!AP41+'місц.-районн.бюджет'!AP41+областной!AP41+інші!AP41</f>
        <v>0</v>
      </c>
      <c r="AQ41" s="16">
        <f>'насел.'!AQ41+пільги!AQ41+субсидії!AQ41+'держ.бюджет'!AQ41+'місц.-районн.бюджет'!AQ41+областной!AQ41+інші!AQ41</f>
        <v>0</v>
      </c>
      <c r="AR41" s="16">
        <f>'насел.'!AR41+пільги!AR41+субсидії!AR41+'держ.бюджет'!AR41+'місц.-районн.бюджет'!AR41+областной!AR41+інші!AR41</f>
        <v>0</v>
      </c>
      <c r="AS41" s="16">
        <f>'насел.'!AS41+пільги!AS41+субсидії!AS41+'держ.бюджет'!AS41+'місц.-районн.бюджет'!AS41+областной!AS41+інші!AS41</f>
        <v>7020.4</v>
      </c>
      <c r="AT41" s="16">
        <f>'насел.'!AT41+пільги!AT41+субсидії!AT41+'держ.бюджет'!AT41+'місц.-районн.бюджет'!AT41+областной!AT41+інші!AT41</f>
        <v>6136</v>
      </c>
      <c r="AU41" s="10">
        <f t="shared" si="4"/>
        <v>87.40242721212466</v>
      </c>
      <c r="AV41" s="16">
        <f>'насел.'!AV41+пільги!AV41+субсидії!AV41+'держ.бюджет'!AV41+'місц.-районн.бюджет'!AV41+областной!AV41+інші!AV41</f>
        <v>884.3999999999992</v>
      </c>
      <c r="AW41" s="16">
        <f>'насел.'!AW41+пільги!AW41+субсидії!AW41+'держ.бюджет'!AW41+'місц.-районн.бюджет'!AW41+областной!AW41+інші!AW41</f>
        <v>2851.499999999999</v>
      </c>
      <c r="AX41" s="40">
        <f t="shared" si="12"/>
        <v>7020.4</v>
      </c>
      <c r="AY41" s="40">
        <f t="shared" si="13"/>
        <v>6136</v>
      </c>
      <c r="AZ41" s="40">
        <f t="shared" si="14"/>
        <v>884.3999999999996</v>
      </c>
      <c r="BA41" s="40">
        <f t="shared" si="15"/>
        <v>2851.5</v>
      </c>
    </row>
    <row r="42" spans="1:53" ht="34.5" customHeight="1">
      <c r="A42" s="12" t="s">
        <v>37</v>
      </c>
      <c r="B42" s="117" t="s">
        <v>48</v>
      </c>
      <c r="C42" s="16">
        <f>'насел.'!C42+пільги!C42+субсидії!C42+'держ.бюджет'!C42+'місц.-районн.бюджет'!C42+областной!C42+інші!C42</f>
        <v>3762.8</v>
      </c>
      <c r="D42" s="16">
        <f>'насел.'!D42+пільги!D42+субсидії!D42+'держ.бюджет'!D42+'місц.-районн.бюджет'!D42+областной!D42+інші!D42</f>
        <v>2078.5</v>
      </c>
      <c r="E42" s="16">
        <f>'насел.'!E42+пільги!E42+субсидії!E42+'держ.бюджет'!E42+'місц.-районн.бюджет'!E42+областной!E42+інші!E42</f>
        <v>1787.1</v>
      </c>
      <c r="F42" s="10">
        <f t="shared" si="0"/>
        <v>85.98027423622806</v>
      </c>
      <c r="G42" s="16">
        <f>'насел.'!G42+пільги!G42+субсидії!G42+'держ.бюджет'!G42+'місц.-районн.бюджет'!G42+областной!G42+інші!G42</f>
        <v>1941.8999999999999</v>
      </c>
      <c r="H42" s="16">
        <f>'насел.'!H42+пільги!H42+субсидії!H42+'держ.бюджет'!H42+'місц.-районн.бюджет'!H42+областной!H42+інші!H42</f>
        <v>1802.3999999999999</v>
      </c>
      <c r="I42" s="10">
        <f t="shared" si="1"/>
        <v>92.81631391935733</v>
      </c>
      <c r="J42" s="16">
        <f>'насел.'!J42+пільги!J42+субсидії!J42+'держ.бюджет'!J42+'місц.-районн.бюджет'!J42+областной!J42+інші!J42</f>
        <v>1924.8999999999999</v>
      </c>
      <c r="K42" s="16">
        <f>'насел.'!K42+пільги!K42+субсидії!K42+'держ.бюджет'!K42+'місц.-районн.бюджет'!K42+областной!K42+інші!K42</f>
        <v>1718.8000000000002</v>
      </c>
      <c r="L42" s="10">
        <f t="shared" si="16"/>
        <v>89.29295028313162</v>
      </c>
      <c r="M42" s="10">
        <f>'насел.'!M42+пільги!M42+субсидії!M42+'держ.бюджет'!M42+'місц.-районн.бюджет'!M42+областной!M42+інші!M42</f>
        <v>5945.300000000001</v>
      </c>
      <c r="N42" s="10">
        <f>'насел.'!N42+пільги!N42+субсидії!N42+'держ.бюджет'!N42+'місц.-районн.бюджет'!N42+областной!N42+інші!N42</f>
        <v>5308.299999999999</v>
      </c>
      <c r="O42" s="10">
        <f t="shared" si="5"/>
        <v>89.28565421425326</v>
      </c>
      <c r="P42" s="16">
        <f>'насел.'!P42+пільги!P42+субсидії!P42+'держ.бюджет'!P42+'місц.-районн.бюджет'!P42+областной!P42+інші!P42</f>
        <v>0</v>
      </c>
      <c r="Q42" s="16">
        <f>'насел.'!Q42+пільги!Q42+субсидії!Q42+'держ.бюджет'!Q42+'місц.-районн.бюджет'!Q42+областной!Q42+інші!Q42</f>
        <v>0</v>
      </c>
      <c r="R42" s="10" t="e">
        <f>Q42/P42*100</f>
        <v>#DIV/0!</v>
      </c>
      <c r="S42" s="16">
        <f>'насел.'!S42+пільги!S42+субсидії!S42+'держ.бюджет'!S42+'місц.-районн.бюджет'!S42+областной!S42+інші!S42</f>
        <v>0</v>
      </c>
      <c r="T42" s="16">
        <f>'насел.'!T42+пільги!T42+субсидії!T42+'держ.бюджет'!T42+'місц.-районн.бюджет'!T42+областной!T42+інші!T42</f>
        <v>0</v>
      </c>
      <c r="U42" s="10" t="e">
        <f>T42/S42*100</f>
        <v>#DIV/0!</v>
      </c>
      <c r="V42" s="16">
        <f>'насел.'!V42+пільги!V42+субсидії!V42+'держ.бюджет'!V42+'місц.-районн.бюджет'!V42+областной!V42+інші!V42</f>
        <v>0</v>
      </c>
      <c r="W42" s="16">
        <f>'насел.'!W42+пільги!W42+субсидії!W42+'держ.бюджет'!W42+'місц.-районн.бюджет'!W42+областной!W42+інші!W42</f>
        <v>0</v>
      </c>
      <c r="X42" s="10" t="e">
        <f>W42/V42*100</f>
        <v>#DIV/0!</v>
      </c>
      <c r="Y42" s="16">
        <f>'насел.'!Y42+пільги!Y42+субсидії!Y42+'держ.бюджет'!Y42+'місц.-районн.бюджет'!Y42+областной!Y42+інші!Y42</f>
        <v>0</v>
      </c>
      <c r="Z42" s="16">
        <f>'насел.'!Z42+пільги!Z42+субсидії!Z42+'держ.бюджет'!Z42+'місц.-районн.бюджет'!Z42+областной!Z42+інші!Z42</f>
        <v>0</v>
      </c>
      <c r="AA42" s="10" t="e">
        <f t="shared" si="20"/>
        <v>#DIV/0!</v>
      </c>
      <c r="AB42" s="16">
        <f>'насел.'!AB42+пільги!AB42+субсидії!AB42+'держ.бюджет'!AB42+'місц.-районн.бюджет'!AB42+областной!AB42+інші!AB42</f>
        <v>0</v>
      </c>
      <c r="AC42" s="16">
        <f>'насел.'!AC42+пільги!AC42+субсидії!AC42+'держ.бюджет'!AC42+'місц.-районн.бюджет'!AC42+областной!AC42+інші!AC42</f>
        <v>0</v>
      </c>
      <c r="AD42" s="10" t="e">
        <f>AC42/AB42*100</f>
        <v>#DIV/0!</v>
      </c>
      <c r="AE42" s="16">
        <f>'насел.'!AE42+пільги!AE42+субсидії!AE42+'держ.бюджет'!AE42+'місц.-районн.бюджет'!AE42+областной!AE42+інші!AE42</f>
        <v>0</v>
      </c>
      <c r="AF42" s="16">
        <f>'насел.'!AF42+пільги!AF42+субсидії!AF42+'держ.бюджет'!AF42+'місц.-районн.бюджет'!AF42+областной!AF42+інші!AF42</f>
        <v>0</v>
      </c>
      <c r="AG42" s="10" t="e">
        <f>AF42/AE42*100</f>
        <v>#DIV/0!</v>
      </c>
      <c r="AH42" s="16">
        <f>'насел.'!AH42+пільги!AH42+субсидії!AH42+'держ.бюджет'!AH42+'місц.-районн.бюджет'!AH42+областной!AH42+інші!AH42</f>
        <v>0</v>
      </c>
      <c r="AI42" s="16">
        <f>'насел.'!AI42+пільги!AI42+субсидії!AI42+'держ.бюджет'!AI42+'місц.-районн.бюджет'!AI42+областной!AI42+інші!AI42</f>
        <v>0</v>
      </c>
      <c r="AJ42" s="16">
        <f>'насел.'!AJ42+пільги!AJ42+субсидії!AJ42+'держ.бюджет'!AJ42+'місц.-районн.бюджет'!AJ42+областной!AJ42+інші!AJ42</f>
        <v>0</v>
      </c>
      <c r="AK42" s="16">
        <f>'насел.'!AK42+пільги!AK42+субсидії!AK42+'держ.бюджет'!AK42+'місц.-районн.бюджет'!AK42+областной!AK42+інші!AK42</f>
        <v>0</v>
      </c>
      <c r="AL42" s="16" t="e">
        <f t="shared" si="11"/>
        <v>#DIV/0!</v>
      </c>
      <c r="AM42" s="16">
        <f>'насел.'!AM42+пільги!AM42+субсидії!AM42+'держ.бюджет'!AM42+'місц.-районн.бюджет'!AM42+областной!AM42+інші!AM42</f>
        <v>0</v>
      </c>
      <c r="AN42" s="16">
        <f>'насел.'!AN42+пільги!AN42+субсидії!AN42+'держ.бюджет'!AN42+'місц.-районн.бюджет'!AN42+областной!AN42+інші!AN42</f>
        <v>0</v>
      </c>
      <c r="AO42" s="16">
        <f>'насел.'!AO42+пільги!AO42+субсидії!AO42+'держ.бюджет'!AO42+'місц.-районн.бюджет'!AO42+областной!AO42+інші!AO42</f>
        <v>0</v>
      </c>
      <c r="AP42" s="16">
        <f>'насел.'!AP42+пільги!AP42+субсидії!AP42+'держ.бюджет'!AP42+'місц.-районн.бюджет'!AP42+областной!AP42+інші!AP42</f>
        <v>0</v>
      </c>
      <c r="AQ42" s="16">
        <f>'насел.'!AQ42+пільги!AQ42+субсидії!AQ42+'держ.бюджет'!AQ42+'місц.-районн.бюджет'!AQ42+областной!AQ42+інші!AQ42</f>
        <v>0</v>
      </c>
      <c r="AR42" s="16">
        <f>'насел.'!AR42+пільги!AR42+субсидії!AR42+'держ.бюджет'!AR42+'місц.-районн.бюджет'!AR42+областной!AR42+інші!AR42</f>
        <v>0</v>
      </c>
      <c r="AS42" s="16">
        <f>'насел.'!AS42+пільги!AS42+субсидії!AS42+'держ.бюджет'!AS42+'місц.-районн.бюджет'!AS42+областной!AS42+інші!AS42</f>
        <v>5945.300000000001</v>
      </c>
      <c r="AT42" s="16">
        <f>'насел.'!AT42+пільги!AT42+субсидії!AT42+'держ.бюджет'!AT42+'місц.-районн.бюджет'!AT42+областной!AT42+інші!AT42</f>
        <v>5308.299999999999</v>
      </c>
      <c r="AU42" s="10">
        <f t="shared" si="4"/>
        <v>89.28565421425326</v>
      </c>
      <c r="AV42" s="16">
        <f>'насел.'!AV42+пільги!AV42+субсидії!AV42+'держ.бюджет'!AV42+'місц.-районн.бюджет'!AV42+областной!AV42+інші!AV42</f>
        <v>637.0000000000003</v>
      </c>
      <c r="AW42" s="16">
        <f>'насел.'!AW42+пільги!AW42+субсидії!AW42+'держ.бюджет'!AW42+'місц.-районн.бюджет'!AW42+областной!AW42+інші!AW42</f>
        <v>4399.8</v>
      </c>
      <c r="AX42" s="40">
        <f t="shared" si="12"/>
        <v>5945.299999999999</v>
      </c>
      <c r="AY42" s="40">
        <f t="shared" si="13"/>
        <v>5308.3</v>
      </c>
      <c r="AZ42" s="40">
        <f t="shared" si="14"/>
        <v>636.9999999999991</v>
      </c>
      <c r="BA42" s="40">
        <f t="shared" si="15"/>
        <v>4399.799999999998</v>
      </c>
    </row>
    <row r="43" spans="1:53" s="11" customFormat="1" ht="34.5" customHeight="1">
      <c r="A43" s="12" t="s">
        <v>38</v>
      </c>
      <c r="B43" s="14" t="s">
        <v>66</v>
      </c>
      <c r="C43" s="16">
        <f>'насел.'!C43+пільги!C43+субсидії!C43+'держ.бюджет'!C43+'місц.-районн.бюджет'!C43+областной!C43+інші!C43</f>
        <v>1055489.6</v>
      </c>
      <c r="D43" s="16">
        <f>'насел.'!D43+пільги!D43+субсидії!D43+'держ.бюджет'!D43+'місц.-районн.бюджет'!D43+областной!D43+інші!D43</f>
        <v>153846.2</v>
      </c>
      <c r="E43" s="16">
        <f>'насел.'!E43+пільги!E43+субсидії!E43+'держ.бюджет'!E43+'місц.-районн.бюджет'!E43+областной!E43+інші!E43</f>
        <v>138347.1</v>
      </c>
      <c r="F43" s="10">
        <f t="shared" si="0"/>
        <v>89.9255880223236</v>
      </c>
      <c r="G43" s="16">
        <f>'насел.'!G43+пільги!G43+субсидії!G43+'держ.бюджет'!G43+'місц.-районн.бюджет'!G43+областной!G43+інші!G43</f>
        <v>146869.7</v>
      </c>
      <c r="H43" s="16">
        <f>'насел.'!H43+пільги!H43+субсидії!H43+'держ.бюджет'!H43+'місц.-районн.бюджет'!H43+областной!H43+інші!H43</f>
        <v>129849.5</v>
      </c>
      <c r="I43" s="10">
        <f t="shared" si="1"/>
        <v>88.41136054611673</v>
      </c>
      <c r="J43" s="16">
        <f>'насел.'!J43+пільги!J43+субсидії!J43+'держ.бюджет'!J43+'місц.-районн.бюджет'!J43+областной!J43+інші!J43</f>
        <v>146821</v>
      </c>
      <c r="K43" s="16">
        <f>'насел.'!K43+пільги!K43+субсидії!K43+'держ.бюджет'!K43+'місц.-районн.бюджет'!K43+областной!K43+інші!K43</f>
        <v>128759.60000000002</v>
      </c>
      <c r="L43" s="10">
        <f t="shared" si="16"/>
        <v>87.69835377772935</v>
      </c>
      <c r="M43" s="10">
        <f>'насел.'!M43+пільги!M43+субсидії!M43+'держ.бюджет'!M43+'місц.-районн.бюджет'!M43+областной!M43+інші!M43</f>
        <v>447536.9</v>
      </c>
      <c r="N43" s="10">
        <f>'насел.'!N43+пільги!N43+субсидії!N43+'держ.бюджет'!N43+'місц.-районн.бюджет'!N43+областной!N43+інші!N43</f>
        <v>396956.20000000007</v>
      </c>
      <c r="O43" s="10">
        <f t="shared" si="5"/>
        <v>88.69798222224804</v>
      </c>
      <c r="P43" s="16">
        <f>'насел.'!P43+пільги!P43+субсидії!P43+'держ.бюджет'!P43+'місц.-районн.бюджет'!P43+областной!P43+інші!P43</f>
        <v>0</v>
      </c>
      <c r="Q43" s="16">
        <f>'насел.'!Q43+пільги!Q43+субсидії!Q43+'держ.бюджет'!Q43+'місц.-районн.бюджет'!Q43+областной!Q43+інші!Q43</f>
        <v>0</v>
      </c>
      <c r="R43" s="16" t="e">
        <f>SUM(R44:R44)</f>
        <v>#DIV/0!</v>
      </c>
      <c r="S43" s="16">
        <f>'насел.'!S43+пільги!S43+субсидії!S43+'держ.бюджет'!S43+'місц.-районн.бюджет'!S43+областной!S43+інші!S43</f>
        <v>0</v>
      </c>
      <c r="T43" s="16">
        <f>'насел.'!T43+пільги!T43+субсидії!T43+'держ.бюджет'!T43+'місц.-районн.бюджет'!T43+областной!T43+інші!T43</f>
        <v>0</v>
      </c>
      <c r="U43" s="16" t="e">
        <f>SUM(U44:U44)</f>
        <v>#DIV/0!</v>
      </c>
      <c r="V43" s="16">
        <f>'насел.'!V43+пільги!V43+субсидії!V43+'держ.бюджет'!V43+'місц.-районн.бюджет'!V43+областной!V43+інші!V43</f>
        <v>0</v>
      </c>
      <c r="W43" s="16">
        <f>'насел.'!W43+пільги!W43+субсидії!W43+'держ.бюджет'!W43+'місц.-районн.бюджет'!W43+областной!W43+інші!W43</f>
        <v>0</v>
      </c>
      <c r="X43" s="16" t="e">
        <f>SUM(X44:X44)</f>
        <v>#DIV/0!</v>
      </c>
      <c r="Y43" s="16">
        <f>'насел.'!Y43+пільги!Y43+субсидії!Y43+'держ.бюджет'!Y43+'місц.-районн.бюджет'!Y43+областной!Y43+інші!Y43</f>
        <v>0</v>
      </c>
      <c r="Z43" s="16">
        <f>'насел.'!Z43+пільги!Z43+субсидії!Z43+'держ.бюджет'!Z43+'місц.-районн.бюджет'!Z43+областной!Z43+інші!Z43</f>
        <v>0</v>
      </c>
      <c r="AA43" s="10" t="e">
        <f t="shared" si="20"/>
        <v>#DIV/0!</v>
      </c>
      <c r="AB43" s="16">
        <f>'насел.'!AB43+пільги!AB43+субсидії!AB43+'держ.бюджет'!AB43+'місц.-районн.бюджет'!AB43+областной!AB43+інші!AB43</f>
        <v>0</v>
      </c>
      <c r="AC43" s="16">
        <f>'насел.'!AC43+пільги!AC43+субсидії!AC43+'держ.бюджет'!AC43+'місц.-районн.бюджет'!AC43+областной!AC43+інші!AC43</f>
        <v>0</v>
      </c>
      <c r="AD43" s="16" t="e">
        <f>SUM(AD44:AD44)</f>
        <v>#DIV/0!</v>
      </c>
      <c r="AE43" s="16">
        <f>'насел.'!AE43+пільги!AE43+субсидії!AE43+'держ.бюджет'!AE43+'місц.-районн.бюджет'!AE43+областной!AE43+інші!AE43</f>
        <v>0</v>
      </c>
      <c r="AF43" s="16">
        <f>'насел.'!AF43+пільги!AF43+субсидії!AF43+'держ.бюджет'!AF43+'місц.-районн.бюджет'!AF43+областной!AF43+інші!AF43</f>
        <v>0</v>
      </c>
      <c r="AG43" s="16" t="e">
        <f>SUM(AG44:AG44)</f>
        <v>#DIV/0!</v>
      </c>
      <c r="AH43" s="16">
        <f>'насел.'!AH43+пільги!AH43+субсидії!AH43+'держ.бюджет'!AH43+'місц.-районн.бюджет'!AH43+областной!AH43+інші!AH43</f>
        <v>0</v>
      </c>
      <c r="AI43" s="16">
        <f>'насел.'!AI43+пільги!AI43+субсидії!AI43+'держ.бюджет'!AI43+'місц.-районн.бюджет'!AI43+областной!AI43+інші!AI43</f>
        <v>0</v>
      </c>
      <c r="AJ43" s="16">
        <f>'насел.'!AJ43+пільги!AJ43+субсидії!AJ43+'держ.бюджет'!AJ43+'місц.-районн.бюджет'!AJ43+областной!AJ43+інші!AJ43</f>
        <v>0</v>
      </c>
      <c r="AK43" s="16">
        <f>'насел.'!AK43+пільги!AK43+субсидії!AK43+'держ.бюджет'!AK43+'місц.-районн.бюджет'!AK43+областной!AK43+інші!AK43</f>
        <v>0</v>
      </c>
      <c r="AL43" s="16" t="e">
        <f t="shared" si="11"/>
        <v>#DIV/0!</v>
      </c>
      <c r="AM43" s="16">
        <f>'насел.'!AM43+пільги!AM43+субсидії!AM43+'держ.бюджет'!AM43+'місц.-районн.бюджет'!AM43+областной!AM43+інші!AM43</f>
        <v>0</v>
      </c>
      <c r="AN43" s="16">
        <f>'насел.'!AN43+пільги!AN43+субсидії!AN43+'держ.бюджет'!AN43+'місц.-районн.бюджет'!AN43+областной!AN43+інші!AN43</f>
        <v>0</v>
      </c>
      <c r="AO43" s="16">
        <f>'насел.'!AO43+пільги!AO43+субсидії!AO43+'держ.бюджет'!AO43+'місц.-районн.бюджет'!AO43+областной!AO43+інші!AO43</f>
        <v>0</v>
      </c>
      <c r="AP43" s="16">
        <f>'насел.'!AP43+пільги!AP43+субсидії!AP43+'держ.бюджет'!AP43+'місц.-районн.бюджет'!AP43+областной!AP43+інші!AP43</f>
        <v>0</v>
      </c>
      <c r="AQ43" s="16">
        <f>'насел.'!AQ43+пільги!AQ43+субсидії!AQ43+'держ.бюджет'!AQ43+'місц.-районн.бюджет'!AQ43+областной!AQ43+інші!AQ43</f>
        <v>0</v>
      </c>
      <c r="AR43" s="16">
        <f>'насел.'!AR43+пільги!AR43+субсидії!AR43+'держ.бюджет'!AR43+'місц.-районн.бюджет'!AR43+областной!AR43+інші!AR43</f>
        <v>0</v>
      </c>
      <c r="AS43" s="16">
        <f>'насел.'!AS43+пільги!AS43+субсидії!AS43+'держ.бюджет'!AS43+'місц.-районн.бюджет'!AS43+областной!AS43+інші!AS43</f>
        <v>447536.9</v>
      </c>
      <c r="AT43" s="16">
        <f>'насел.'!AT43+пільги!AT43+субсидії!AT43+'держ.бюджет'!AT43+'місц.-районн.бюджет'!AT43+областной!AT43+інші!AT43</f>
        <v>396956.20000000007</v>
      </c>
      <c r="AU43" s="10">
        <f t="shared" si="4"/>
        <v>88.69798222224804</v>
      </c>
      <c r="AV43" s="16">
        <f>SUM(AV44:AV44)</f>
        <v>50580.69999999995</v>
      </c>
      <c r="AW43" s="16">
        <f>SUM(AW44:AW44)</f>
        <v>1106070.2999999998</v>
      </c>
      <c r="AX43" s="40">
        <f t="shared" si="12"/>
        <v>447536.9</v>
      </c>
      <c r="AY43" s="40">
        <f t="shared" si="13"/>
        <v>396956.2</v>
      </c>
      <c r="AZ43" s="40">
        <f t="shared" si="14"/>
        <v>50580.70000000001</v>
      </c>
      <c r="BA43" s="40">
        <f t="shared" si="15"/>
        <v>1106070.3</v>
      </c>
    </row>
    <row r="44" spans="1:53" s="11" customFormat="1" ht="34.5" customHeight="1">
      <c r="A44" s="8"/>
      <c r="B44" s="39" t="s">
        <v>67</v>
      </c>
      <c r="C44" s="16">
        <f>'насел.'!C44+пільги!C44+субсидії!C44+'держ.бюджет'!C44+'місц.-районн.бюджет'!C44+областной!C44+інші!C44</f>
        <v>1055489.6</v>
      </c>
      <c r="D44" s="16">
        <f>'насел.'!D44+пільги!D44+субсидії!D44+'держ.бюджет'!D44+'місц.-районн.бюджет'!D44+областной!D44+інші!D44</f>
        <v>153846.2</v>
      </c>
      <c r="E44" s="16">
        <f>'насел.'!E44+пільги!E44+субсидії!E44+'держ.бюджет'!E44+'місц.-районн.бюджет'!E44+областной!E44+інші!E44</f>
        <v>138347.1</v>
      </c>
      <c r="F44" s="10">
        <f t="shared" si="0"/>
        <v>89.9255880223236</v>
      </c>
      <c r="G44" s="16">
        <f>'насел.'!G44+пільги!G44+субсидії!G44+'держ.бюджет'!G44+'місц.-районн.бюджет'!G44+областной!G44+інші!G44</f>
        <v>146869.7</v>
      </c>
      <c r="H44" s="16">
        <f>'насел.'!H44+пільги!H44+субсидії!H44+'держ.бюджет'!H44+'місц.-районн.бюджет'!H44+областной!H44+інші!H44</f>
        <v>129849.5</v>
      </c>
      <c r="I44" s="10">
        <f t="shared" si="1"/>
        <v>88.41136054611673</v>
      </c>
      <c r="J44" s="16">
        <f>'насел.'!J44+пільги!J44+субсидії!J44+'держ.бюджет'!J44+'місц.-районн.бюджет'!J44+областной!J44+інші!J44</f>
        <v>146821</v>
      </c>
      <c r="K44" s="16">
        <f>'насел.'!K44+пільги!K44+субсидії!K44+'держ.бюджет'!K44+'місц.-районн.бюджет'!K44+областной!K44+інші!K44</f>
        <v>128759.60000000002</v>
      </c>
      <c r="L44" s="10">
        <f t="shared" si="16"/>
        <v>87.69835377772935</v>
      </c>
      <c r="M44" s="10">
        <f>'насел.'!M44+пільги!M44+субсидії!M44+'держ.бюджет'!M44+'місц.-районн.бюджет'!M44+областной!M44+інші!M44</f>
        <v>447536.9</v>
      </c>
      <c r="N44" s="10">
        <f>'насел.'!N44+пільги!N44+субсидії!N44+'держ.бюджет'!N44+'місц.-районн.бюджет'!N44+областной!N44+інші!N44</f>
        <v>396956.20000000007</v>
      </c>
      <c r="O44" s="10">
        <f t="shared" si="5"/>
        <v>88.69798222224804</v>
      </c>
      <c r="P44" s="16">
        <f>'насел.'!P44+пільги!P44+субсидії!P44+'держ.бюджет'!P44+'місц.-районн.бюджет'!P44+областной!P44+інші!P44</f>
        <v>0</v>
      </c>
      <c r="Q44" s="16">
        <f>'насел.'!Q44+пільги!Q44+субсидії!Q44+'держ.бюджет'!Q44+'місц.-районн.бюджет'!Q44+областной!Q44+інші!Q44</f>
        <v>0</v>
      </c>
      <c r="R44" s="10" t="e">
        <f>Q44/P44*100</f>
        <v>#DIV/0!</v>
      </c>
      <c r="S44" s="16">
        <f>'насел.'!S44+пільги!S44+субсидії!S44+'держ.бюджет'!S44+'місц.-районн.бюджет'!S44+областной!S44+інші!S44</f>
        <v>0</v>
      </c>
      <c r="T44" s="16">
        <f>'насел.'!T44+пільги!T44+субсидії!T44+'держ.бюджет'!T44+'місц.-районн.бюджет'!T44+областной!T44+інші!T44</f>
        <v>0</v>
      </c>
      <c r="U44" s="10" t="e">
        <f>T44/S44*100</f>
        <v>#DIV/0!</v>
      </c>
      <c r="V44" s="16">
        <f>'насел.'!V44+пільги!V44+субсидії!V44+'держ.бюджет'!V44+'місц.-районн.бюджет'!V44+областной!V44+інші!V44</f>
        <v>0</v>
      </c>
      <c r="W44" s="16">
        <f>'насел.'!W44+пільги!W44+субсидії!W44+'держ.бюджет'!W44+'місц.-районн.бюджет'!W44+областной!W44+інші!W44</f>
        <v>0</v>
      </c>
      <c r="X44" s="10" t="e">
        <f>W44/V44*100</f>
        <v>#DIV/0!</v>
      </c>
      <c r="Y44" s="16">
        <f>'насел.'!Y44+пільги!Y44+субсидії!Y44+'держ.бюджет'!Y44+'місц.-районн.бюджет'!Y44+областной!Y44+інші!Y44</f>
        <v>0</v>
      </c>
      <c r="Z44" s="16">
        <f>'насел.'!Z44+пільги!Z44+субсидії!Z44+'держ.бюджет'!Z44+'місц.-районн.бюджет'!Z44+областной!Z44+інші!Z44</f>
        <v>0</v>
      </c>
      <c r="AA44" s="10" t="e">
        <f t="shared" si="20"/>
        <v>#DIV/0!</v>
      </c>
      <c r="AB44" s="16">
        <f>'насел.'!AB44+пільги!AB44+субсидії!AB44+'держ.бюджет'!AB44+'місц.-районн.бюджет'!AB44+областной!AB44+інші!AB44</f>
        <v>0</v>
      </c>
      <c r="AC44" s="16">
        <f>'насел.'!AC44+пільги!AC44+субсидії!AC44+'держ.бюджет'!AC44+'місц.-районн.бюджет'!AC44+областной!AC44+інші!AC44</f>
        <v>0</v>
      </c>
      <c r="AD44" s="10" t="e">
        <f>AC44/AB44*100</f>
        <v>#DIV/0!</v>
      </c>
      <c r="AE44" s="16">
        <f>'насел.'!AE44+пільги!AE44+субсидії!AE44+'держ.бюджет'!AE44+'місц.-районн.бюджет'!AE44+областной!AE44+інші!AE44</f>
        <v>0</v>
      </c>
      <c r="AF44" s="16">
        <f>'насел.'!AF44+пільги!AF44+субсидії!AF44+'держ.бюджет'!AF44+'місц.-районн.бюджет'!AF44+областной!AF44+інші!AF44</f>
        <v>0</v>
      </c>
      <c r="AG44" s="10" t="e">
        <f>AF44/AE44*100</f>
        <v>#DIV/0!</v>
      </c>
      <c r="AH44" s="16">
        <f>'насел.'!AH44+пільги!AH44+субсидії!AH44+'держ.бюджет'!AH44+'місц.-районн.бюджет'!AH44+областной!AH44+інші!AH44</f>
        <v>0</v>
      </c>
      <c r="AI44" s="16">
        <f>'насел.'!AI44+пільги!AI44+субсидії!AI44+'держ.бюджет'!AI44+'місц.-районн.бюджет'!AI44+областной!AI44+інші!AI44</f>
        <v>0</v>
      </c>
      <c r="AJ44" s="16">
        <f>'насел.'!AJ44+пільги!AJ44+субсидії!AJ44+'держ.бюджет'!AJ44+'місц.-районн.бюджет'!AJ44+областной!AJ44+інші!AJ44</f>
        <v>0</v>
      </c>
      <c r="AK44" s="16">
        <f>'насел.'!AK44+пільги!AK44+субсидії!AK44+'держ.бюджет'!AK44+'місц.-районн.бюджет'!AK44+областной!AK44+інші!AK44</f>
        <v>0</v>
      </c>
      <c r="AL44" s="16" t="e">
        <f t="shared" si="11"/>
        <v>#DIV/0!</v>
      </c>
      <c r="AM44" s="16">
        <f>'насел.'!AM44+пільги!AM44+субсидії!AM44+'держ.бюджет'!AM44+'місц.-районн.бюджет'!AM44+областной!AM44+інші!AM44</f>
        <v>0</v>
      </c>
      <c r="AN44" s="16">
        <f>'насел.'!AN44+пільги!AN44+субсидії!AN44+'держ.бюджет'!AN44+'місц.-районн.бюджет'!AN44+областной!AN44+інші!AN44</f>
        <v>0</v>
      </c>
      <c r="AO44" s="16">
        <f>'насел.'!AO44+пільги!AO44+субсидії!AO44+'держ.бюджет'!AO44+'місц.-районн.бюджет'!AO44+областной!AO44+інші!AO44</f>
        <v>0</v>
      </c>
      <c r="AP44" s="16">
        <f>'насел.'!AP44+пільги!AP44+субсидії!AP44+'держ.бюджет'!AP44+'місц.-районн.бюджет'!AP44+областной!AP44+інші!AP44</f>
        <v>0</v>
      </c>
      <c r="AQ44" s="16">
        <f>'насел.'!AQ44+пільги!AQ44+субсидії!AQ44+'держ.бюджет'!AQ44+'місц.-районн.бюджет'!AQ44+областной!AQ44+інші!AQ44</f>
        <v>0</v>
      </c>
      <c r="AR44" s="16">
        <f>'насел.'!AR44+пільги!AR44+субсидії!AR44+'держ.бюджет'!AR44+'місц.-районн.бюджет'!AR44+областной!AR44+інші!AR44</f>
        <v>0</v>
      </c>
      <c r="AS44" s="16">
        <f>'насел.'!AS44+пільги!AS44+субсидії!AS44+'держ.бюджет'!AS44+'місц.-районн.бюджет'!AS44+областной!AS44+інші!AS44</f>
        <v>447536.9</v>
      </c>
      <c r="AT44" s="16">
        <f>'насел.'!AT44+пільги!AT44+субсидії!AT44+'держ.бюджет'!AT44+'місц.-районн.бюджет'!AT44+областной!AT44+інші!AT44</f>
        <v>396956.20000000007</v>
      </c>
      <c r="AU44" s="10">
        <f t="shared" si="4"/>
        <v>88.69798222224804</v>
      </c>
      <c r="AV44" s="10">
        <f>AS44-AT44</f>
        <v>50580.69999999995</v>
      </c>
      <c r="AW44" s="13">
        <f>'насел.'!AW44+пільги!AW44+субсидії!AW44+'держ.бюджет'!AW44+'місц.-районн.бюджет'!AW44+областной!AW44+інші!AW44</f>
        <v>1106070.2999999998</v>
      </c>
      <c r="AX44" s="40">
        <f t="shared" si="12"/>
        <v>447536.9</v>
      </c>
      <c r="AY44" s="40">
        <f t="shared" si="13"/>
        <v>396956.2</v>
      </c>
      <c r="AZ44" s="40">
        <f t="shared" si="14"/>
        <v>50580.70000000001</v>
      </c>
      <c r="BA44" s="40">
        <f t="shared" si="15"/>
        <v>1106070.3</v>
      </c>
    </row>
    <row r="45" spans="1:53" ht="34.5" customHeight="1">
      <c r="A45" s="12"/>
      <c r="B45" s="14" t="s">
        <v>105</v>
      </c>
      <c r="C45" s="16">
        <f>'насел.'!C45+пільги!C45+субсидії!C45+'держ.бюджет'!C45+'місц.-районн.бюджет'!C45+областной!C45+інші!C45</f>
        <v>1101277</v>
      </c>
      <c r="D45" s="16">
        <f>'насел.'!D45+пільги!D45+субсидії!D45+'держ.бюджет'!D45+'місц.-районн.бюджет'!D45+областной!D45+інші!D45</f>
        <v>187601.3</v>
      </c>
      <c r="E45" s="16">
        <f>'насел.'!E45+пільги!E45+субсидії!E45+'держ.бюджет'!E45+'місц.-районн.бюджет'!E45+областной!E45+інші!E45</f>
        <v>166518.9</v>
      </c>
      <c r="F45" s="10">
        <f t="shared" si="0"/>
        <v>88.7621247827174</v>
      </c>
      <c r="G45" s="16">
        <f>'насел.'!G45+пільги!G45+субсидії!G45+'держ.бюджет'!G45+'місц.-районн.бюджет'!G45+областной!G45+інші!G45</f>
        <v>175741.6</v>
      </c>
      <c r="H45" s="16">
        <f>'насел.'!H45+пільги!H45+субсидії!H45+'держ.бюджет'!H45+'місц.-районн.бюджет'!H45+областной!H45+інші!H45</f>
        <v>161503.2</v>
      </c>
      <c r="I45" s="10">
        <f t="shared" si="1"/>
        <v>91.89810494498741</v>
      </c>
      <c r="J45" s="16">
        <f>'насел.'!J45+пільги!J45+субсидії!J45+'держ.бюджет'!J45+'місц.-районн.бюджет'!J45+областной!J45+інші!J45</f>
        <v>181444.7</v>
      </c>
      <c r="K45" s="16">
        <f>'насел.'!K45+пільги!K45+субсидії!K45+'держ.бюджет'!K45+'місц.-районн.бюджет'!K45+областной!K45+інші!K45</f>
        <v>159241.90000000002</v>
      </c>
      <c r="L45" s="10">
        <f t="shared" si="16"/>
        <v>87.76332403206047</v>
      </c>
      <c r="M45" s="10">
        <f>'насел.'!M45+пільги!M45+субсидії!M45+'держ.бюджет'!M45+'місц.-районн.бюджет'!M45+областной!M45+інші!M45</f>
        <v>537619.2</v>
      </c>
      <c r="N45" s="10">
        <f>'насел.'!N45+пільги!N45+субсидії!N45+'держ.бюджет'!N45+'місц.-районн.бюджет'!N45+областной!N45+інші!N45</f>
        <v>482133.3</v>
      </c>
      <c r="O45" s="10">
        <f t="shared" si="5"/>
        <v>89.67933064890539</v>
      </c>
      <c r="P45" s="16">
        <f>'насел.'!P45+пільги!P45+субсидії!P45+'держ.бюджет'!P45+'місц.-районн.бюджет'!P45+областной!P45+інші!P45</f>
        <v>0</v>
      </c>
      <c r="Q45" s="16">
        <f>'насел.'!Q45+пільги!Q45+субсидії!Q45+'держ.бюджет'!Q45+'місц.-районн.бюджет'!Q45+областной!Q45+інші!Q45</f>
        <v>0</v>
      </c>
      <c r="R45" s="10" t="e">
        <f>Q45/P45*100</f>
        <v>#DIV/0!</v>
      </c>
      <c r="S45" s="16">
        <f>'насел.'!S45+пільги!S45+субсидії!S45+'держ.бюджет'!S45+'місц.-районн.бюджет'!S45+областной!S45+інші!S45</f>
        <v>0</v>
      </c>
      <c r="T45" s="16">
        <f>'насел.'!T45+пільги!T45+субсидії!T45+'держ.бюджет'!T45+'місц.-районн.бюджет'!T45+областной!T45+інші!T45</f>
        <v>0</v>
      </c>
      <c r="U45" s="10" t="e">
        <f>T45/S45*100</f>
        <v>#DIV/0!</v>
      </c>
      <c r="V45" s="16">
        <f>'насел.'!V45+пільги!V45+субсидії!V45+'держ.бюджет'!V45+'місц.-районн.бюджет'!V45+областной!V45+інші!V45</f>
        <v>0</v>
      </c>
      <c r="W45" s="16">
        <f>'насел.'!W45+пільги!W45+субсидії!W45+'держ.бюджет'!W45+'місц.-районн.бюджет'!W45+областной!W45+інші!W45</f>
        <v>0</v>
      </c>
      <c r="X45" s="10" t="e">
        <f>W45/V45*100</f>
        <v>#DIV/0!</v>
      </c>
      <c r="Y45" s="16">
        <f>'насел.'!Y45+пільги!Y45+субсидії!Y45+'держ.бюджет'!Y45+'місц.-районн.бюджет'!Y45+областной!Y45+інші!Y45</f>
        <v>0</v>
      </c>
      <c r="Z45" s="16">
        <f>'насел.'!Z45+пільги!Z45+субсидії!Z45+'держ.бюджет'!Z45+'місц.-районн.бюджет'!Z45+областной!Z45+інші!Z45</f>
        <v>0</v>
      </c>
      <c r="AA45" s="10" t="e">
        <f t="shared" si="20"/>
        <v>#DIV/0!</v>
      </c>
      <c r="AB45" s="16">
        <f>'насел.'!AB45+пільги!AB45+субсидії!AB45+'держ.бюджет'!AB45+'місц.-районн.бюджет'!AB45+областной!AB45+інші!AB45</f>
        <v>0</v>
      </c>
      <c r="AC45" s="16">
        <f>'насел.'!AC45+пільги!AC45+субсидії!AC45+'держ.бюджет'!AC45+'місц.-районн.бюджет'!AC45+областной!AC45+інші!AC45</f>
        <v>0</v>
      </c>
      <c r="AD45" s="10" t="e">
        <f>AC45/AB45*100</f>
        <v>#DIV/0!</v>
      </c>
      <c r="AE45" s="16">
        <f>'насел.'!AE45+пільги!AE45+субсидії!AE45+'держ.бюджет'!AE45+'місц.-районн.бюджет'!AE45+областной!AE45+інші!AE45</f>
        <v>0</v>
      </c>
      <c r="AF45" s="16">
        <f>'насел.'!AF45+пільги!AF45+субсидії!AF45+'держ.бюджет'!AF45+'місц.-районн.бюджет'!AF45+областной!AF45+інші!AF45</f>
        <v>0</v>
      </c>
      <c r="AG45" s="10" t="e">
        <f>AF45/AE45*100</f>
        <v>#DIV/0!</v>
      </c>
      <c r="AH45" s="16">
        <f>'насел.'!AH45+пільги!AH45+субсидії!AH45+'держ.бюджет'!AH45+'місц.-районн.бюджет'!AH45+областной!AH45+інші!AH45</f>
        <v>0</v>
      </c>
      <c r="AI45" s="16">
        <f>'насел.'!AI45+пільги!AI45+субсидії!AI45+'держ.бюджет'!AI45+'місц.-районн.бюджет'!AI45+областной!AI45+інші!AI45</f>
        <v>0</v>
      </c>
      <c r="AJ45" s="16">
        <f>'насел.'!AJ45+пільги!AJ45+субсидії!AJ45+'держ.бюджет'!AJ45+'місц.-районн.бюджет'!AJ45+областной!AJ45+інші!AJ45</f>
        <v>0</v>
      </c>
      <c r="AK45" s="16">
        <f>'насел.'!AK45+пільги!AK45+субсидії!AK45+'держ.бюджет'!AK45+'місц.-районн.бюджет'!AK45+областной!AK45+інші!AK45</f>
        <v>0</v>
      </c>
      <c r="AL45" s="16" t="e">
        <f t="shared" si="11"/>
        <v>#DIV/0!</v>
      </c>
      <c r="AM45" s="16">
        <f>'насел.'!AM45+пільги!AM45+субсидії!AM45+'держ.бюджет'!AM45+'місц.-районн.бюджет'!AM45+областной!AM45+інші!AM45</f>
        <v>0</v>
      </c>
      <c r="AN45" s="16">
        <f>'насел.'!AN45+пільги!AN45+субсидії!AN45+'держ.бюджет'!AN45+'місц.-районн.бюджет'!AN45+областной!AN45+інші!AN45</f>
        <v>0</v>
      </c>
      <c r="AO45" s="16">
        <f>'насел.'!AO45+пільги!AO45+субсидії!AO45+'держ.бюджет'!AO45+'місц.-районн.бюджет'!AO45+областной!AO45+інші!AO45</f>
        <v>0</v>
      </c>
      <c r="AP45" s="16">
        <f>'насел.'!AP45+пільги!AP45+субсидії!AP45+'держ.бюджет'!AP45+'місц.-районн.бюджет'!AP45+областной!AP45+інші!AP45</f>
        <v>0</v>
      </c>
      <c r="AQ45" s="16">
        <f>'насел.'!AQ45+пільги!AQ45+субсидії!AQ45+'держ.бюджет'!AQ45+'місц.-районн.бюджет'!AQ45+областной!AQ45+інші!AQ45</f>
        <v>0</v>
      </c>
      <c r="AR45" s="16">
        <f>'насел.'!AR45+пільги!AR45+субсидії!AR45+'держ.бюджет'!AR45+'місц.-районн.бюджет'!AR45+областной!AR45+інші!AR45</f>
        <v>0</v>
      </c>
      <c r="AS45" s="16">
        <f>'насел.'!AS45+пільги!AS45+субсидії!AS45+'держ.бюджет'!AS45+'місц.-районн.бюджет'!AS45+областной!AS45+інші!AS45</f>
        <v>544787.6</v>
      </c>
      <c r="AT45" s="16">
        <f>'насел.'!AT45+пільги!AT45+субсидії!AT45+'держ.бюджет'!AT45+'місц.-районн.бюджет'!AT45+областной!AT45+інші!AT45</f>
        <v>487264</v>
      </c>
      <c r="AU45" s="10">
        <f t="shared" si="4"/>
        <v>89.44109594271235</v>
      </c>
      <c r="AV45" s="16">
        <f>'насел.'!AV45+пільги!AV45+субсидії!AV45+'держ.бюджет'!AV45+'місц.-районн.бюджет'!AV45+областной!AV45+інші!AV45</f>
        <v>57523.59999999995</v>
      </c>
      <c r="AW45" s="16">
        <f>'насел.'!AW45+пільги!AW45+субсидії!AW45+'держ.бюджет'!AW45+'місц.-районн.бюджет'!AW45+областной!AW45+інші!AW45</f>
        <v>1158800.5999999999</v>
      </c>
      <c r="AX45" s="40">
        <f t="shared" si="12"/>
        <v>544787.6000000001</v>
      </c>
      <c r="AY45" s="40">
        <f t="shared" si="13"/>
        <v>487264</v>
      </c>
      <c r="AZ45" s="40">
        <f t="shared" si="14"/>
        <v>57523.60000000009</v>
      </c>
      <c r="BA45" s="40">
        <f t="shared" si="15"/>
        <v>1158800.6</v>
      </c>
    </row>
    <row r="46" spans="1:53" s="113" customFormat="1" ht="57.75" customHeight="1">
      <c r="A46" s="142"/>
      <c r="B46" s="163" t="s">
        <v>108</v>
      </c>
      <c r="C46" s="163"/>
      <c r="D46" s="16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30" t="s">
        <v>109</v>
      </c>
      <c r="AX46" s="144"/>
      <c r="AY46" s="144"/>
      <c r="AZ46" s="133"/>
      <c r="BA46" s="133"/>
    </row>
    <row r="47" spans="1:61" ht="3.7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7">
        <f>SUM(AX7:AX44)</f>
        <v>1099526.3</v>
      </c>
      <c r="AY47" s="146"/>
      <c r="BG47" s="11"/>
      <c r="BH47" s="11"/>
      <c r="BI47" s="18"/>
    </row>
    <row r="48" spans="2:49" ht="32.25" customHeight="1" hidden="1">
      <c r="B48" s="147"/>
      <c r="C48" s="148" t="e">
        <f>'насел.'!C45+пільги!C45+субсидії!C45+'держ.бюджет'!C45+областной!C45+'місц.-районн.бюджет'!C45+#REF!+інші!C45</f>
        <v>#REF!</v>
      </c>
      <c r="D48" s="149"/>
      <c r="E48" s="149"/>
      <c r="F48" s="149"/>
      <c r="G48" s="21"/>
      <c r="H48" s="21"/>
      <c r="I48" s="22"/>
      <c r="J48" s="21"/>
      <c r="K48" s="21"/>
      <c r="L48" s="22"/>
      <c r="M48" s="22"/>
      <c r="N48" s="22"/>
      <c r="O48" s="22"/>
      <c r="P48" s="148"/>
      <c r="Q48" s="148"/>
      <c r="R48" s="149"/>
      <c r="S48" s="148"/>
      <c r="T48" s="148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8"/>
      <c r="AT48" s="148"/>
      <c r="AU48" s="149"/>
      <c r="AV48" s="148"/>
      <c r="AW48" s="148" t="e">
        <f>#REF!-#REF!</f>
        <v>#REF!</v>
      </c>
    </row>
    <row r="49" spans="1:62" s="11" customFormat="1" ht="25.5" customHeight="1">
      <c r="A49" s="19"/>
      <c r="B49" s="19"/>
      <c r="C49" s="20"/>
      <c r="D49" s="22"/>
      <c r="E49" s="22"/>
      <c r="F49" s="22"/>
      <c r="G49" s="21"/>
      <c r="H49" s="21"/>
      <c r="I49" s="22"/>
      <c r="J49" s="21"/>
      <c r="K49" s="21"/>
      <c r="L49" s="22"/>
      <c r="M49" s="22"/>
      <c r="N49" s="22"/>
      <c r="O49" s="22"/>
      <c r="P49" s="21"/>
      <c r="Q49" s="21"/>
      <c r="R49" s="22"/>
      <c r="S49" s="21"/>
      <c r="T49" s="2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>
        <f>C45+AS45-AT45</f>
        <v>1158800.6</v>
      </c>
      <c r="AY49" s="22"/>
      <c r="AZ49" s="22"/>
      <c r="BA49" s="22"/>
      <c r="BB49" s="22"/>
      <c r="BC49" s="22"/>
      <c r="BD49" s="21"/>
      <c r="BE49" s="6"/>
      <c r="BF49" s="6"/>
      <c r="BG49" s="23"/>
      <c r="BH49" s="6"/>
      <c r="BJ49" s="6"/>
    </row>
    <row r="50" spans="1:62" s="11" customFormat="1" ht="19.5" customHeight="1" hidden="1">
      <c r="A50" s="24"/>
      <c r="B50" s="11" t="s">
        <v>70</v>
      </c>
      <c r="C50" s="20"/>
      <c r="D50" s="22"/>
      <c r="E50" s="22"/>
      <c r="F50" s="22"/>
      <c r="G50" s="18"/>
      <c r="H50" s="18"/>
      <c r="I50" s="49"/>
      <c r="J50" s="18"/>
      <c r="K50" s="18"/>
      <c r="L50" s="49"/>
      <c r="M50" s="49"/>
      <c r="N50" s="49"/>
      <c r="O50" s="49"/>
      <c r="P50" s="21"/>
      <c r="Q50" s="21"/>
      <c r="R50" s="22"/>
      <c r="S50" s="21"/>
      <c r="T50" s="21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1"/>
      <c r="BE50" s="6"/>
      <c r="BF50" s="6"/>
      <c r="BG50" s="23"/>
      <c r="BH50" s="6"/>
      <c r="BJ50" s="6"/>
    </row>
    <row r="51" spans="1:62" s="11" customFormat="1" ht="7.5" customHeight="1" hidden="1">
      <c r="A51" s="19"/>
      <c r="C51" s="20"/>
      <c r="D51" s="22"/>
      <c r="E51" s="22"/>
      <c r="F51" s="22"/>
      <c r="G51" s="28"/>
      <c r="H51" s="28"/>
      <c r="I51" s="50"/>
      <c r="J51" s="28"/>
      <c r="K51" s="28"/>
      <c r="L51" s="50"/>
      <c r="M51" s="50"/>
      <c r="N51" s="50"/>
      <c r="O51" s="50"/>
      <c r="P51" s="21"/>
      <c r="Q51" s="21"/>
      <c r="R51" s="22"/>
      <c r="S51" s="21"/>
      <c r="T51" s="21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1"/>
      <c r="BE51" s="6"/>
      <c r="BF51" s="6"/>
      <c r="BG51" s="23"/>
      <c r="BH51" s="6"/>
      <c r="BJ51" s="6"/>
    </row>
    <row r="52" spans="1:62" s="11" customFormat="1" ht="19.5" customHeight="1" hidden="1">
      <c r="A52" s="24"/>
      <c r="B52" s="11" t="s">
        <v>71</v>
      </c>
      <c r="C52" s="20"/>
      <c r="D52" s="22"/>
      <c r="E52" s="22"/>
      <c r="F52" s="22"/>
      <c r="G52" s="32"/>
      <c r="H52" s="32"/>
      <c r="I52" s="33"/>
      <c r="J52" s="32"/>
      <c r="K52" s="32"/>
      <c r="L52" s="33"/>
      <c r="M52" s="33"/>
      <c r="N52" s="33"/>
      <c r="O52" s="33"/>
      <c r="P52" s="21"/>
      <c r="Q52" s="21"/>
      <c r="R52" s="22"/>
      <c r="S52" s="21"/>
      <c r="T52" s="21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1"/>
      <c r="BE52" s="6"/>
      <c r="BF52" s="6"/>
      <c r="BG52" s="23"/>
      <c r="BH52" s="6"/>
      <c r="BJ52" s="6"/>
    </row>
    <row r="53" spans="1:62" ht="24.75" customHeight="1">
      <c r="A53" s="2"/>
      <c r="C53" s="25"/>
      <c r="D53" s="49"/>
      <c r="E53" s="49"/>
      <c r="F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18"/>
      <c r="AT53" s="18"/>
      <c r="AU53" s="49"/>
      <c r="AV53" s="18"/>
      <c r="AW53" s="18"/>
      <c r="AX53" s="18"/>
      <c r="AY53" s="18"/>
      <c r="AZ53" s="18"/>
      <c r="BA53" s="18"/>
      <c r="BB53" s="18"/>
      <c r="BC53" s="18"/>
      <c r="BD53" s="18"/>
      <c r="BE53" s="7"/>
      <c r="BF53" s="7"/>
      <c r="BG53" s="26"/>
      <c r="BH53" s="7"/>
      <c r="BJ53" s="7"/>
    </row>
    <row r="54" spans="1:50" s="30" customFormat="1" ht="42" customHeight="1">
      <c r="A54" s="27"/>
      <c r="B54" s="173" t="s">
        <v>76</v>
      </c>
      <c r="C54" s="173"/>
      <c r="D54" s="50"/>
      <c r="E54" s="50"/>
      <c r="F54" s="50"/>
      <c r="G54" s="2"/>
      <c r="H54" s="2"/>
      <c r="I54" s="11"/>
      <c r="J54" s="2"/>
      <c r="K54" s="2"/>
      <c r="L54" s="11"/>
      <c r="M54" s="11"/>
      <c r="N54" s="11"/>
      <c r="O54" s="11"/>
      <c r="P54" s="28"/>
      <c r="Q54" s="28"/>
      <c r="R54" s="50"/>
      <c r="S54" s="28"/>
      <c r="T54" s="28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28"/>
      <c r="AT54" s="28"/>
      <c r="AU54" s="50"/>
      <c r="AV54" s="150" t="s">
        <v>75</v>
      </c>
      <c r="AW54" s="151"/>
      <c r="AX54" s="29"/>
    </row>
    <row r="55" spans="1:49" ht="73.5" customHeight="1" hidden="1">
      <c r="A55" s="172" t="s">
        <v>72</v>
      </c>
      <c r="B55" s="172"/>
      <c r="C55" s="31"/>
      <c r="D55" s="33"/>
      <c r="E55" s="33"/>
      <c r="F55" s="33"/>
      <c r="P55" s="32"/>
      <c r="Q55" s="32"/>
      <c r="R55" s="33"/>
      <c r="S55" s="32"/>
      <c r="T55" s="32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2"/>
      <c r="AT55" s="32"/>
      <c r="AU55" s="33"/>
      <c r="AW55" s="4" t="s">
        <v>73</v>
      </c>
    </row>
  </sheetData>
  <sheetProtection/>
  <mergeCells count="24">
    <mergeCell ref="M5:O5"/>
    <mergeCell ref="D5:F5"/>
    <mergeCell ref="AH5:AI5"/>
    <mergeCell ref="V5:X5"/>
    <mergeCell ref="AQ5:AR5"/>
    <mergeCell ref="AE5:AG5"/>
    <mergeCell ref="AV5:AV6"/>
    <mergeCell ref="AS5:AU5"/>
    <mergeCell ref="A55:B55"/>
    <mergeCell ref="B54:C54"/>
    <mergeCell ref="AJ5:AL5"/>
    <mergeCell ref="G5:I5"/>
    <mergeCell ref="AM5:AN5"/>
    <mergeCell ref="J5:L5"/>
    <mergeCell ref="AB5:AD5"/>
    <mergeCell ref="AO5:AP5"/>
    <mergeCell ref="B2:AW3"/>
    <mergeCell ref="B46:D46"/>
    <mergeCell ref="D1:AW1"/>
    <mergeCell ref="B4:C4"/>
    <mergeCell ref="S5:U5"/>
    <mergeCell ref="Y5:AA5"/>
    <mergeCell ref="P5:R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35" r:id="rId1"/>
  <rowBreaks count="1" manualBreakCount="1">
    <brk id="30" min="1" max="48" man="1"/>
  </rowBreaks>
  <colBreaks count="1" manualBreakCount="1">
    <brk id="4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70" zoomScaleNormal="50" zoomScaleSheetLayoutView="70" zoomScalePageLayoutView="0" workbookViewId="0" topLeftCell="A3">
      <pane xSplit="6" ySplit="5" topLeftCell="G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3" sqref="A3:IV3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customWidth="1"/>
    <col min="6" max="6" width="13.75390625" style="118" customWidth="1"/>
    <col min="7" max="8" width="14.75390625" style="2" customWidth="1"/>
    <col min="9" max="9" width="11.00390625" style="11" customWidth="1"/>
    <col min="10" max="11" width="14.75390625" style="2" customWidth="1"/>
    <col min="12" max="12" width="11.00390625" style="11" customWidth="1"/>
    <col min="13" max="13" width="15.75390625" style="11" hidden="1" customWidth="1"/>
    <col min="14" max="14" width="14.125" style="11" hidden="1" customWidth="1"/>
    <col min="15" max="15" width="11.00390625" style="11" hidden="1" customWidth="1"/>
    <col min="16" max="17" width="14.75390625" style="2" hidden="1" customWidth="1"/>
    <col min="18" max="18" width="11.00390625" style="11" hidden="1" customWidth="1"/>
    <col min="19" max="20" width="14.75390625" style="2" hidden="1" customWidth="1"/>
    <col min="21" max="21" width="11.00390625" style="11" hidden="1" customWidth="1"/>
    <col min="22" max="22" width="14.75390625" style="11" hidden="1" customWidth="1"/>
    <col min="23" max="23" width="12.125" style="11" hidden="1" customWidth="1"/>
    <col min="24" max="24" width="11.00390625" style="11" hidden="1" customWidth="1"/>
    <col min="25" max="25" width="15.75390625" style="11" hidden="1" customWidth="1"/>
    <col min="26" max="26" width="12.25390625" style="11" hidden="1" customWidth="1"/>
    <col min="27" max="27" width="11.00390625" style="11" hidden="1" customWidth="1"/>
    <col min="28" max="28" width="14.75390625" style="11" hidden="1" customWidth="1"/>
    <col min="29" max="29" width="12.125" style="11" hidden="1" customWidth="1"/>
    <col min="30" max="30" width="11.003906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875" style="11" hidden="1" customWidth="1"/>
    <col min="35" max="35" width="11.75390625" style="11" hidden="1" customWidth="1"/>
    <col min="36" max="36" width="15.75390625" style="11" hidden="1" customWidth="1"/>
    <col min="37" max="37" width="12.25390625" style="11" hidden="1" customWidth="1"/>
    <col min="38" max="38" width="11.00390625" style="11" hidden="1" customWidth="1"/>
    <col min="39" max="39" width="13.875" style="11" hidden="1" customWidth="1"/>
    <col min="40" max="40" width="13.00390625" style="11" hidden="1" customWidth="1"/>
    <col min="41" max="41" width="13.875" style="11" hidden="1" customWidth="1"/>
    <col min="42" max="42" width="11.75390625" style="11" hidden="1" customWidth="1"/>
    <col min="43" max="43" width="13.875" style="11" hidden="1" customWidth="1"/>
    <col min="44" max="44" width="11.75390625" style="11" hidden="1" customWidth="1"/>
    <col min="45" max="46" width="14.75390625" style="2" customWidth="1"/>
    <col min="47" max="47" width="11.75390625" style="11" customWidth="1"/>
    <col min="48" max="48" width="19.625" style="2" customWidth="1"/>
    <col min="49" max="49" width="26.753906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74" t="s">
        <v>68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2" customFormat="1" ht="60" customHeight="1">
      <c r="A2" s="51"/>
      <c r="B2" s="162" t="s">
        <v>119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</row>
    <row r="3" spans="1:49" s="157" customFormat="1" ht="60" customHeight="1">
      <c r="A3" s="156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</row>
    <row r="4" spans="2:49" ht="49.5" customHeight="1">
      <c r="B4" s="166"/>
      <c r="C4" s="166"/>
      <c r="D4" s="166"/>
      <c r="E4" s="166"/>
      <c r="F4" s="16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94</v>
      </c>
    </row>
    <row r="5" spans="1:49" ht="58.5" customHeight="1">
      <c r="A5" s="42" t="s">
        <v>46</v>
      </c>
      <c r="B5" s="43"/>
      <c r="C5" s="44" t="s">
        <v>1</v>
      </c>
      <c r="D5" s="169" t="s">
        <v>111</v>
      </c>
      <c r="E5" s="170"/>
      <c r="F5" s="171"/>
      <c r="G5" s="159" t="s">
        <v>114</v>
      </c>
      <c r="H5" s="160"/>
      <c r="I5" s="161"/>
      <c r="J5" s="159" t="s">
        <v>118</v>
      </c>
      <c r="K5" s="160"/>
      <c r="L5" s="161"/>
      <c r="M5" s="159" t="s">
        <v>90</v>
      </c>
      <c r="N5" s="160"/>
      <c r="O5" s="161"/>
      <c r="P5" s="159" t="s">
        <v>79</v>
      </c>
      <c r="Q5" s="160"/>
      <c r="R5" s="161"/>
      <c r="S5" s="159" t="s">
        <v>80</v>
      </c>
      <c r="T5" s="160"/>
      <c r="U5" s="161"/>
      <c r="V5" s="159" t="s">
        <v>81</v>
      </c>
      <c r="W5" s="160"/>
      <c r="X5" s="161"/>
      <c r="Y5" s="159" t="s">
        <v>91</v>
      </c>
      <c r="Z5" s="160"/>
      <c r="AA5" s="161"/>
      <c r="AB5" s="159" t="s">
        <v>82</v>
      </c>
      <c r="AC5" s="160"/>
      <c r="AD5" s="161"/>
      <c r="AE5" s="159" t="s">
        <v>83</v>
      </c>
      <c r="AF5" s="160"/>
      <c r="AG5" s="161"/>
      <c r="AH5" s="159" t="s">
        <v>84</v>
      </c>
      <c r="AI5" s="161"/>
      <c r="AJ5" s="159" t="s">
        <v>92</v>
      </c>
      <c r="AK5" s="160"/>
      <c r="AL5" s="161"/>
      <c r="AM5" s="159" t="s">
        <v>85</v>
      </c>
      <c r="AN5" s="161"/>
      <c r="AO5" s="159" t="s">
        <v>86</v>
      </c>
      <c r="AP5" s="161"/>
      <c r="AQ5" s="159" t="s">
        <v>87</v>
      </c>
      <c r="AR5" s="161"/>
      <c r="AS5" s="169" t="s">
        <v>112</v>
      </c>
      <c r="AT5" s="170"/>
      <c r="AU5" s="171"/>
      <c r="AV5" s="167" t="s">
        <v>116</v>
      </c>
      <c r="AW5" s="167" t="s">
        <v>117</v>
      </c>
    </row>
    <row r="6" spans="1:49" ht="54.75" customHeight="1">
      <c r="A6" s="45" t="s">
        <v>47</v>
      </c>
      <c r="B6" s="46" t="s">
        <v>106</v>
      </c>
      <c r="C6" s="41" t="s">
        <v>113</v>
      </c>
      <c r="D6" s="46" t="s">
        <v>78</v>
      </c>
      <c r="E6" s="46" t="s">
        <v>69</v>
      </c>
      <c r="F6" s="119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93</v>
      </c>
      <c r="AT6" s="46" t="s">
        <v>69</v>
      </c>
      <c r="AU6" s="48" t="s">
        <v>0</v>
      </c>
      <c r="AV6" s="168"/>
      <c r="AW6" s="168"/>
    </row>
    <row r="7" spans="1:60" s="11" customFormat="1" ht="34.5" customHeight="1">
      <c r="A7" s="8"/>
      <c r="B7" s="114" t="s">
        <v>107</v>
      </c>
      <c r="C7" s="10">
        <f>SUM(C8:C42)-C33-C34</f>
        <v>30182.8</v>
      </c>
      <c r="D7" s="10">
        <f>SUM(D8:D42)-D33-D34</f>
        <v>13325</v>
      </c>
      <c r="E7" s="10">
        <f aca="true" t="shared" si="0" ref="E7:AT7">SUM(E8:E42)-E33-E34</f>
        <v>16502.3</v>
      </c>
      <c r="F7" s="53">
        <f aca="true" t="shared" si="1" ref="F7:F32">E7/D7*100</f>
        <v>123.84465290806754</v>
      </c>
      <c r="G7" s="10">
        <f t="shared" si="0"/>
        <v>22668.199999999997</v>
      </c>
      <c r="H7" s="10">
        <f t="shared" si="0"/>
        <v>14738.6</v>
      </c>
      <c r="I7" s="10">
        <f>H7/G7*100</f>
        <v>65.01883696102911</v>
      </c>
      <c r="J7" s="10">
        <f t="shared" si="0"/>
        <v>27641.899999999998</v>
      </c>
      <c r="K7" s="10">
        <f t="shared" si="0"/>
        <v>19484.6</v>
      </c>
      <c r="L7" s="10">
        <f t="shared" si="0"/>
        <v>2384.6856460400136</v>
      </c>
      <c r="M7" s="10">
        <f t="shared" si="0"/>
        <v>55897.7</v>
      </c>
      <c r="N7" s="10">
        <f t="shared" si="0"/>
        <v>45097.59999999999</v>
      </c>
      <c r="O7" s="10">
        <f t="shared" si="0"/>
        <v>2522.0731056679506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0</v>
      </c>
      <c r="X7" s="10" t="e">
        <f t="shared" si="0"/>
        <v>#DIV/0!</v>
      </c>
      <c r="Y7" s="10">
        <f t="shared" si="0"/>
        <v>0</v>
      </c>
      <c r="Z7" s="10">
        <f t="shared" si="0"/>
        <v>0</v>
      </c>
      <c r="AA7" s="10" t="e">
        <f t="shared" si="0"/>
        <v>#DIV/0!</v>
      </c>
      <c r="AB7" s="10">
        <f t="shared" si="0"/>
        <v>0</v>
      </c>
      <c r="AC7" s="10">
        <f t="shared" si="0"/>
        <v>0</v>
      </c>
      <c r="AD7" s="10">
        <f t="shared" si="0"/>
        <v>0</v>
      </c>
      <c r="AE7" s="10">
        <f t="shared" si="0"/>
        <v>0</v>
      </c>
      <c r="AF7" s="10">
        <f t="shared" si="0"/>
        <v>0</v>
      </c>
      <c r="AG7" s="10">
        <f t="shared" si="0"/>
        <v>0</v>
      </c>
      <c r="AH7" s="10">
        <f t="shared" si="0"/>
        <v>0</v>
      </c>
      <c r="AI7" s="10">
        <f t="shared" si="0"/>
        <v>0</v>
      </c>
      <c r="AJ7" s="10">
        <f t="shared" si="0"/>
        <v>0</v>
      </c>
      <c r="AK7" s="10">
        <f t="shared" si="0"/>
        <v>0</v>
      </c>
      <c r="AL7" s="10" t="e">
        <f t="shared" si="0"/>
        <v>#DIV/0!</v>
      </c>
      <c r="AM7" s="10">
        <f t="shared" si="0"/>
        <v>0</v>
      </c>
      <c r="AN7" s="10">
        <f t="shared" si="0"/>
        <v>0</v>
      </c>
      <c r="AO7" s="10">
        <f t="shared" si="0"/>
        <v>0</v>
      </c>
      <c r="AP7" s="10">
        <f t="shared" si="0"/>
        <v>0</v>
      </c>
      <c r="AQ7" s="10">
        <f t="shared" si="0"/>
        <v>0</v>
      </c>
      <c r="AR7" s="10">
        <f t="shared" si="0"/>
        <v>0</v>
      </c>
      <c r="AS7" s="10">
        <f>SUM(AS8:AS42)-AS33-AS34</f>
        <v>63635.1</v>
      </c>
      <c r="AT7" s="10">
        <f t="shared" si="0"/>
        <v>50725.49999999999</v>
      </c>
      <c r="AU7" s="10">
        <f aca="true" t="shared" si="2" ref="AU7:AU44">AT7/AS7*100</f>
        <v>79.7130828740742</v>
      </c>
      <c r="AV7" s="10">
        <f>SUM(AV8:AV42)-AV33-AV34</f>
        <v>12909.6</v>
      </c>
      <c r="AW7" s="10">
        <f>SUM(AW8:AW42)-AW33-AW34</f>
        <v>43092.40000000001</v>
      </c>
      <c r="AX7" s="21">
        <f>D7+G7+J7</f>
        <v>63635.09999999999</v>
      </c>
      <c r="AY7" s="21">
        <f>E7+H7+K7</f>
        <v>50725.5</v>
      </c>
      <c r="AZ7" s="70">
        <f>C7+AX7-AY7</f>
        <v>43092.399999999994</v>
      </c>
      <c r="BA7" s="21"/>
      <c r="BB7" s="21"/>
      <c r="BC7" s="21"/>
      <c r="BD7" s="21"/>
      <c r="BE7" s="19"/>
      <c r="BF7" s="19"/>
      <c r="BG7" s="19"/>
      <c r="BH7" s="19"/>
    </row>
    <row r="8" spans="1:60" ht="34.5" customHeight="1">
      <c r="A8" s="12" t="s">
        <v>5</v>
      </c>
      <c r="B8" s="58" t="s">
        <v>49</v>
      </c>
      <c r="C8" s="71">
        <v>-1131.5</v>
      </c>
      <c r="D8" s="36">
        <v>852.6</v>
      </c>
      <c r="E8" s="36">
        <v>1204.8</v>
      </c>
      <c r="F8" s="53">
        <f t="shared" si="1"/>
        <v>141.30893736805066</v>
      </c>
      <c r="G8" s="36">
        <v>1704.3</v>
      </c>
      <c r="H8" s="36">
        <v>1093.8</v>
      </c>
      <c r="I8" s="10">
        <f aca="true" t="shared" si="3" ref="I8:I45">H8/G8*100</f>
        <v>64.17884175321245</v>
      </c>
      <c r="J8" s="36">
        <v>1670</v>
      </c>
      <c r="K8" s="36">
        <v>1324.9</v>
      </c>
      <c r="L8" s="10">
        <f aca="true" t="shared" si="4" ref="L8:L25">K8/J8*100</f>
        <v>79.33532934131738</v>
      </c>
      <c r="M8" s="72">
        <f>D8+G8+J8</f>
        <v>4226.9</v>
      </c>
      <c r="N8" s="72">
        <f>E8+H8+K8</f>
        <v>3623.5</v>
      </c>
      <c r="O8" s="10">
        <f aca="true" t="shared" si="5" ref="O8:O45">N8/M8*100</f>
        <v>85.72476282855048</v>
      </c>
      <c r="P8" s="36"/>
      <c r="Q8" s="36"/>
      <c r="R8" s="10"/>
      <c r="S8" s="36"/>
      <c r="T8" s="36"/>
      <c r="U8" s="10"/>
      <c r="V8" s="36"/>
      <c r="W8" s="36"/>
      <c r="X8" s="10" t="e">
        <f aca="true" t="shared" si="6" ref="X8:X24">W8/V8*100</f>
        <v>#DIV/0!</v>
      </c>
      <c r="Y8" s="72">
        <f>P8+S8+V8</f>
        <v>0</v>
      </c>
      <c r="Z8" s="72">
        <f>Q8+T8+W8</f>
        <v>0</v>
      </c>
      <c r="AA8" s="10" t="e">
        <f aca="true" t="shared" si="7" ref="AA8:AA34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aca="true" t="shared" si="8" ref="AL8:AL28"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4226.9</v>
      </c>
      <c r="AT8" s="59">
        <f>N8+Z8+AK8+AN8+AP8+AR8</f>
        <v>3623.5</v>
      </c>
      <c r="AU8" s="10">
        <f t="shared" si="2"/>
        <v>85.72476282855048</v>
      </c>
      <c r="AV8" s="72">
        <f>AS8-AT8</f>
        <v>603.3999999999996</v>
      </c>
      <c r="AW8" s="73">
        <f>C8+AS8-AT8</f>
        <v>-528.1000000000004</v>
      </c>
      <c r="AX8" s="21">
        <f aca="true" t="shared" si="9" ref="AX8:AX45">D8+G8+J8</f>
        <v>4226.9</v>
      </c>
      <c r="AY8" s="21">
        <f aca="true" t="shared" si="10" ref="AY8:AY45">E8+H8+K8</f>
        <v>3623.5</v>
      </c>
      <c r="AZ8" s="70">
        <f aca="true" t="shared" si="11" ref="AZ8:AZ45">C8+AX8-AY8</f>
        <v>-528.1000000000004</v>
      </c>
      <c r="BA8" s="37"/>
      <c r="BB8" s="38"/>
      <c r="BC8" s="38"/>
      <c r="BD8" s="37"/>
      <c r="BE8" s="38"/>
      <c r="BF8" s="38"/>
      <c r="BG8" s="38"/>
      <c r="BH8" s="38"/>
    </row>
    <row r="9" spans="1:60" ht="34.5" customHeight="1">
      <c r="A9" s="12" t="s">
        <v>6</v>
      </c>
      <c r="B9" s="60" t="s">
        <v>65</v>
      </c>
      <c r="C9" s="71">
        <v>-234.6</v>
      </c>
      <c r="D9" s="36">
        <v>82.1</v>
      </c>
      <c r="E9" s="36">
        <v>136.8</v>
      </c>
      <c r="F9" s="53">
        <f t="shared" si="1"/>
        <v>166.62606577344704</v>
      </c>
      <c r="G9" s="36">
        <v>343.8</v>
      </c>
      <c r="H9" s="36">
        <v>146.6</v>
      </c>
      <c r="I9" s="10">
        <f t="shared" si="3"/>
        <v>42.64107038976149</v>
      </c>
      <c r="J9" s="36">
        <v>328.8</v>
      </c>
      <c r="K9" s="36">
        <v>230.5</v>
      </c>
      <c r="L9" s="10">
        <f t="shared" si="4"/>
        <v>70.10340632603406</v>
      </c>
      <c r="M9" s="72">
        <f aca="true" t="shared" si="12" ref="M9:M44">D9+G9+J9</f>
        <v>754.7</v>
      </c>
      <c r="N9" s="72">
        <f aca="true" t="shared" si="13" ref="N9:N44">E9+H9+K9</f>
        <v>513.9</v>
      </c>
      <c r="O9" s="10">
        <f t="shared" si="5"/>
        <v>68.09328209884723</v>
      </c>
      <c r="P9" s="36"/>
      <c r="Q9" s="36"/>
      <c r="R9" s="10"/>
      <c r="S9" s="36"/>
      <c r="T9" s="36"/>
      <c r="U9" s="10"/>
      <c r="V9" s="36"/>
      <c r="W9" s="36"/>
      <c r="X9" s="10" t="e">
        <f t="shared" si="6"/>
        <v>#DIV/0!</v>
      </c>
      <c r="Y9" s="72">
        <f aca="true" t="shared" si="14" ref="Y9:Y28">P9+S9+V9</f>
        <v>0</v>
      </c>
      <c r="Z9" s="72">
        <f aca="true" t="shared" si="15" ref="Z9:Z28">Q9+T9+W9</f>
        <v>0</v>
      </c>
      <c r="AA9" s="10" t="e">
        <f t="shared" si="7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6" ref="AJ9:AJ42">AB9+AE9+AH9</f>
        <v>0</v>
      </c>
      <c r="AK9" s="72">
        <f aca="true" t="shared" si="17" ref="AK9:AK42">AC9+AF9+AI9</f>
        <v>0</v>
      </c>
      <c r="AL9" s="10" t="e">
        <f t="shared" si="8"/>
        <v>#DIV/0!</v>
      </c>
      <c r="AM9" s="36"/>
      <c r="AN9" s="36"/>
      <c r="AO9" s="36"/>
      <c r="AP9" s="36"/>
      <c r="AQ9" s="36"/>
      <c r="AR9" s="36"/>
      <c r="AS9" s="59">
        <f aca="true" t="shared" si="18" ref="AS9:AS42">M9+Y9+AJ9+AM9+AO9+AQ9</f>
        <v>754.7</v>
      </c>
      <c r="AT9" s="59">
        <f aca="true" t="shared" si="19" ref="AT9:AT42">N9+Z9+AK9+AN9+AP9+AR9</f>
        <v>513.9</v>
      </c>
      <c r="AU9" s="10">
        <f t="shared" si="2"/>
        <v>68.09328209884723</v>
      </c>
      <c r="AV9" s="72">
        <f aca="true" t="shared" si="20" ref="AV9:AV44">AS9-AT9</f>
        <v>240.80000000000007</v>
      </c>
      <c r="AW9" s="73">
        <f aca="true" t="shared" si="21" ref="AW9:AW44">C9+AS9-AT9</f>
        <v>6.2000000000000455</v>
      </c>
      <c r="AX9" s="21">
        <f t="shared" si="9"/>
        <v>754.7</v>
      </c>
      <c r="AY9" s="21">
        <f t="shared" si="10"/>
        <v>513.9</v>
      </c>
      <c r="AZ9" s="70">
        <f t="shared" si="11"/>
        <v>6.2000000000000455</v>
      </c>
      <c r="BA9" s="37"/>
      <c r="BB9" s="38"/>
      <c r="BC9" s="38"/>
      <c r="BD9" s="37"/>
      <c r="BE9" s="38"/>
      <c r="BF9" s="38"/>
      <c r="BG9" s="38"/>
      <c r="BH9" s="38"/>
    </row>
    <row r="10" spans="1:60" ht="34.5" customHeight="1">
      <c r="A10" s="12" t="s">
        <v>7</v>
      </c>
      <c r="B10" s="62" t="s">
        <v>95</v>
      </c>
      <c r="C10" s="74">
        <v>0</v>
      </c>
      <c r="D10" s="36">
        <v>0</v>
      </c>
      <c r="E10" s="36">
        <v>0</v>
      </c>
      <c r="F10" s="86" t="e">
        <f t="shared" si="1"/>
        <v>#DIV/0!</v>
      </c>
      <c r="G10" s="36">
        <v>4.8</v>
      </c>
      <c r="H10" s="36">
        <v>4.8</v>
      </c>
      <c r="I10" s="10">
        <f t="shared" si="3"/>
        <v>100</v>
      </c>
      <c r="J10" s="36">
        <v>0</v>
      </c>
      <c r="K10" s="36">
        <v>0</v>
      </c>
      <c r="L10" s="108">
        <v>0</v>
      </c>
      <c r="M10" s="72">
        <f t="shared" si="12"/>
        <v>4.8</v>
      </c>
      <c r="N10" s="72">
        <f t="shared" si="13"/>
        <v>4.8</v>
      </c>
      <c r="O10" s="10">
        <f t="shared" si="5"/>
        <v>100</v>
      </c>
      <c r="P10" s="36"/>
      <c r="Q10" s="36"/>
      <c r="R10" s="108"/>
      <c r="S10" s="36"/>
      <c r="T10" s="36"/>
      <c r="U10" s="86"/>
      <c r="V10" s="36"/>
      <c r="W10" s="36"/>
      <c r="X10" s="86" t="e">
        <f t="shared" si="6"/>
        <v>#DIV/0!</v>
      </c>
      <c r="Y10" s="72">
        <f t="shared" si="14"/>
        <v>0</v>
      </c>
      <c r="Z10" s="72">
        <f t="shared" si="15"/>
        <v>0</v>
      </c>
      <c r="AA10" s="86" t="e">
        <f t="shared" si="7"/>
        <v>#DIV/0!</v>
      </c>
      <c r="AB10" s="36"/>
      <c r="AC10" s="36"/>
      <c r="AD10" s="86"/>
      <c r="AE10" s="36"/>
      <c r="AF10" s="36"/>
      <c r="AG10" s="86"/>
      <c r="AH10" s="36"/>
      <c r="AI10" s="36"/>
      <c r="AJ10" s="72">
        <f t="shared" si="16"/>
        <v>0</v>
      </c>
      <c r="AK10" s="72">
        <f t="shared" si="17"/>
        <v>0</v>
      </c>
      <c r="AL10" s="86" t="e">
        <f t="shared" si="8"/>
        <v>#DIV/0!</v>
      </c>
      <c r="AM10" s="36"/>
      <c r="AN10" s="36"/>
      <c r="AO10" s="36"/>
      <c r="AP10" s="36"/>
      <c r="AQ10" s="36"/>
      <c r="AR10" s="36"/>
      <c r="AS10" s="59">
        <f t="shared" si="18"/>
        <v>4.8</v>
      </c>
      <c r="AT10" s="59">
        <f t="shared" si="19"/>
        <v>4.8</v>
      </c>
      <c r="AU10" s="10">
        <f t="shared" si="2"/>
        <v>100</v>
      </c>
      <c r="AV10" s="72">
        <f t="shared" si="20"/>
        <v>0</v>
      </c>
      <c r="AW10" s="73">
        <f t="shared" si="21"/>
        <v>0</v>
      </c>
      <c r="AX10" s="21">
        <f t="shared" si="9"/>
        <v>4.8</v>
      </c>
      <c r="AY10" s="21">
        <f t="shared" si="10"/>
        <v>4.8</v>
      </c>
      <c r="AZ10" s="70">
        <f t="shared" si="11"/>
        <v>0</v>
      </c>
      <c r="BA10" s="37"/>
      <c r="BB10" s="38"/>
      <c r="BC10" s="38"/>
      <c r="BD10" s="37"/>
      <c r="BE10" s="38"/>
      <c r="BF10" s="38"/>
      <c r="BG10" s="38"/>
      <c r="BH10" s="38"/>
    </row>
    <row r="11" spans="1:60" ht="34.5" customHeight="1">
      <c r="A11" s="12" t="s">
        <v>8</v>
      </c>
      <c r="B11" s="58" t="s">
        <v>50</v>
      </c>
      <c r="C11" s="71">
        <v>-412.9</v>
      </c>
      <c r="D11" s="36">
        <v>395.8</v>
      </c>
      <c r="E11" s="36">
        <v>527.2</v>
      </c>
      <c r="F11" s="53">
        <f t="shared" si="1"/>
        <v>133.19858514401213</v>
      </c>
      <c r="G11" s="36">
        <v>393.6</v>
      </c>
      <c r="H11" s="36">
        <v>217.1</v>
      </c>
      <c r="I11" s="10">
        <f t="shared" si="3"/>
        <v>55.157520325203244</v>
      </c>
      <c r="J11" s="36">
        <v>374.5</v>
      </c>
      <c r="K11" s="36">
        <v>267.2</v>
      </c>
      <c r="L11" s="10">
        <f t="shared" si="4"/>
        <v>71.34846461949266</v>
      </c>
      <c r="M11" s="72">
        <f t="shared" si="12"/>
        <v>1163.9</v>
      </c>
      <c r="N11" s="72">
        <f t="shared" si="13"/>
        <v>1011.5</v>
      </c>
      <c r="O11" s="10">
        <f t="shared" si="5"/>
        <v>86.90609158862445</v>
      </c>
      <c r="P11" s="36"/>
      <c r="Q11" s="36"/>
      <c r="R11" s="10"/>
      <c r="S11" s="36"/>
      <c r="T11" s="36"/>
      <c r="U11" s="10"/>
      <c r="V11" s="36"/>
      <c r="W11" s="36"/>
      <c r="X11" s="10" t="e">
        <f t="shared" si="6"/>
        <v>#DIV/0!</v>
      </c>
      <c r="Y11" s="72">
        <f t="shared" si="14"/>
        <v>0</v>
      </c>
      <c r="Z11" s="72">
        <f t="shared" si="15"/>
        <v>0</v>
      </c>
      <c r="AA11" s="10" t="e">
        <f t="shared" si="7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6"/>
        <v>0</v>
      </c>
      <c r="AK11" s="72">
        <f t="shared" si="17"/>
        <v>0</v>
      </c>
      <c r="AL11" s="10" t="e">
        <f t="shared" si="8"/>
        <v>#DIV/0!</v>
      </c>
      <c r="AM11" s="36"/>
      <c r="AN11" s="36"/>
      <c r="AO11" s="36"/>
      <c r="AP11" s="36"/>
      <c r="AQ11" s="36"/>
      <c r="AR11" s="36"/>
      <c r="AS11" s="59">
        <f t="shared" si="18"/>
        <v>1163.9</v>
      </c>
      <c r="AT11" s="59">
        <f t="shared" si="19"/>
        <v>1011.5</v>
      </c>
      <c r="AU11" s="10">
        <f t="shared" si="2"/>
        <v>86.90609158862445</v>
      </c>
      <c r="AV11" s="72">
        <f t="shared" si="20"/>
        <v>152.4000000000001</v>
      </c>
      <c r="AW11" s="73">
        <f t="shared" si="21"/>
        <v>-260.4999999999999</v>
      </c>
      <c r="AX11" s="21">
        <f t="shared" si="9"/>
        <v>1163.9</v>
      </c>
      <c r="AY11" s="21">
        <f t="shared" si="10"/>
        <v>1011.5</v>
      </c>
      <c r="AZ11" s="70">
        <f t="shared" si="11"/>
        <v>-260.4999999999999</v>
      </c>
      <c r="BA11" s="37"/>
      <c r="BB11" s="38"/>
      <c r="BC11" s="38"/>
      <c r="BD11" s="37"/>
      <c r="BE11" s="38"/>
      <c r="BF11" s="38"/>
      <c r="BG11" s="38"/>
      <c r="BH11" s="38"/>
    </row>
    <row r="12" spans="1:60" ht="34.5" customHeight="1">
      <c r="A12" s="12" t="s">
        <v>9</v>
      </c>
      <c r="B12" s="58" t="s">
        <v>51</v>
      </c>
      <c r="C12" s="71">
        <v>-103</v>
      </c>
      <c r="D12" s="36">
        <v>77.5</v>
      </c>
      <c r="E12" s="36">
        <v>114</v>
      </c>
      <c r="F12" s="53">
        <f t="shared" si="1"/>
        <v>147.09677419354838</v>
      </c>
      <c r="G12" s="36">
        <v>277.4</v>
      </c>
      <c r="H12" s="36">
        <v>108.4</v>
      </c>
      <c r="I12" s="10">
        <f t="shared" si="3"/>
        <v>39.07714491708724</v>
      </c>
      <c r="J12" s="36">
        <v>247.4</v>
      </c>
      <c r="K12" s="36">
        <v>177.5</v>
      </c>
      <c r="L12" s="10">
        <f t="shared" si="4"/>
        <v>71.7461600646726</v>
      </c>
      <c r="M12" s="72">
        <f t="shared" si="12"/>
        <v>602.3</v>
      </c>
      <c r="N12" s="72">
        <f t="shared" si="13"/>
        <v>399.9</v>
      </c>
      <c r="O12" s="10">
        <f t="shared" si="5"/>
        <v>66.39548397808402</v>
      </c>
      <c r="P12" s="36"/>
      <c r="Q12" s="36"/>
      <c r="R12" s="104"/>
      <c r="S12" s="36"/>
      <c r="T12" s="36"/>
      <c r="U12" s="104"/>
      <c r="V12" s="36"/>
      <c r="W12" s="36"/>
      <c r="X12" s="104" t="e">
        <f t="shared" si="6"/>
        <v>#DIV/0!</v>
      </c>
      <c r="Y12" s="72">
        <f>P12+S12+V12</f>
        <v>0</v>
      </c>
      <c r="Z12" s="72">
        <f t="shared" si="15"/>
        <v>0</v>
      </c>
      <c r="AA12" s="10" t="e">
        <f t="shared" si="7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6"/>
        <v>0</v>
      </c>
      <c r="AK12" s="72">
        <f t="shared" si="17"/>
        <v>0</v>
      </c>
      <c r="AL12" s="10" t="e">
        <f t="shared" si="8"/>
        <v>#DIV/0!</v>
      </c>
      <c r="AM12" s="36"/>
      <c r="AN12" s="36"/>
      <c r="AO12" s="36"/>
      <c r="AP12" s="36"/>
      <c r="AQ12" s="36"/>
      <c r="AR12" s="36"/>
      <c r="AS12" s="59">
        <f t="shared" si="18"/>
        <v>602.3</v>
      </c>
      <c r="AT12" s="59">
        <f t="shared" si="19"/>
        <v>399.9</v>
      </c>
      <c r="AU12" s="10">
        <f t="shared" si="2"/>
        <v>66.39548397808402</v>
      </c>
      <c r="AV12" s="72">
        <f t="shared" si="20"/>
        <v>202.39999999999998</v>
      </c>
      <c r="AW12" s="73">
        <f t="shared" si="21"/>
        <v>99.39999999999998</v>
      </c>
      <c r="AX12" s="21">
        <f t="shared" si="9"/>
        <v>602.3</v>
      </c>
      <c r="AY12" s="21">
        <f t="shared" si="10"/>
        <v>399.9</v>
      </c>
      <c r="AZ12" s="70">
        <f t="shared" si="11"/>
        <v>99.39999999999998</v>
      </c>
      <c r="BA12" s="37"/>
      <c r="BB12" s="38"/>
      <c r="BC12" s="38"/>
      <c r="BD12" s="37"/>
      <c r="BE12" s="38"/>
      <c r="BF12" s="38"/>
      <c r="BG12" s="38"/>
      <c r="BH12" s="38"/>
    </row>
    <row r="13" spans="1:60" ht="34.5" customHeight="1">
      <c r="A13" s="12" t="s">
        <v>10</v>
      </c>
      <c r="B13" s="58" t="s">
        <v>52</v>
      </c>
      <c r="C13" s="71">
        <v>-748.2</v>
      </c>
      <c r="D13" s="36">
        <v>160.1</v>
      </c>
      <c r="E13" s="36">
        <v>261.8</v>
      </c>
      <c r="F13" s="53">
        <f t="shared" si="1"/>
        <v>163.5227982510931</v>
      </c>
      <c r="G13" s="36">
        <v>384.8</v>
      </c>
      <c r="H13" s="36">
        <v>224.9</v>
      </c>
      <c r="I13" s="10">
        <f t="shared" si="3"/>
        <v>58.445945945945944</v>
      </c>
      <c r="J13" s="36">
        <v>394.1</v>
      </c>
      <c r="K13" s="36">
        <v>277.5</v>
      </c>
      <c r="L13" s="10">
        <f t="shared" si="4"/>
        <v>70.41360060898249</v>
      </c>
      <c r="M13" s="72">
        <f t="shared" si="12"/>
        <v>939</v>
      </c>
      <c r="N13" s="72">
        <f t="shared" si="13"/>
        <v>764.2</v>
      </c>
      <c r="O13" s="10">
        <f t="shared" si="5"/>
        <v>81.38445154419595</v>
      </c>
      <c r="P13" s="36"/>
      <c r="Q13" s="36"/>
      <c r="R13" s="10"/>
      <c r="S13" s="36"/>
      <c r="T13" s="36"/>
      <c r="U13" s="10"/>
      <c r="V13" s="36"/>
      <c r="W13" s="36"/>
      <c r="X13" s="10" t="e">
        <f t="shared" si="6"/>
        <v>#DIV/0!</v>
      </c>
      <c r="Y13" s="72">
        <f t="shared" si="14"/>
        <v>0</v>
      </c>
      <c r="Z13" s="72">
        <f t="shared" si="15"/>
        <v>0</v>
      </c>
      <c r="AA13" s="10" t="e">
        <f t="shared" si="7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16"/>
        <v>0</v>
      </c>
      <c r="AK13" s="72">
        <f t="shared" si="17"/>
        <v>0</v>
      </c>
      <c r="AL13" s="10" t="e">
        <f t="shared" si="8"/>
        <v>#DIV/0!</v>
      </c>
      <c r="AM13" s="36"/>
      <c r="AN13" s="36"/>
      <c r="AO13" s="36"/>
      <c r="AP13" s="36"/>
      <c r="AQ13" s="36"/>
      <c r="AR13" s="36"/>
      <c r="AS13" s="59">
        <f t="shared" si="18"/>
        <v>939</v>
      </c>
      <c r="AT13" s="59">
        <f t="shared" si="19"/>
        <v>764.2</v>
      </c>
      <c r="AU13" s="10">
        <f t="shared" si="2"/>
        <v>81.38445154419595</v>
      </c>
      <c r="AV13" s="72">
        <f t="shared" si="20"/>
        <v>174.79999999999995</v>
      </c>
      <c r="AW13" s="73">
        <f t="shared" si="21"/>
        <v>-573.4000000000001</v>
      </c>
      <c r="AX13" s="21">
        <f t="shared" si="9"/>
        <v>939</v>
      </c>
      <c r="AY13" s="21">
        <f t="shared" si="10"/>
        <v>764.2</v>
      </c>
      <c r="AZ13" s="70">
        <f t="shared" si="11"/>
        <v>-573.4000000000001</v>
      </c>
      <c r="BA13" s="37"/>
      <c r="BB13" s="38"/>
      <c r="BC13" s="38"/>
      <c r="BD13" s="37"/>
      <c r="BE13" s="38"/>
      <c r="BF13" s="38"/>
      <c r="BG13" s="38"/>
      <c r="BH13" s="38"/>
    </row>
    <row r="14" spans="1:60" ht="34.5" customHeight="1">
      <c r="A14" s="12" t="s">
        <v>11</v>
      </c>
      <c r="B14" s="58" t="s">
        <v>96</v>
      </c>
      <c r="C14" s="71">
        <v>-327.6</v>
      </c>
      <c r="D14" s="36">
        <v>42.8</v>
      </c>
      <c r="E14" s="36">
        <v>45.3</v>
      </c>
      <c r="F14" s="53">
        <f t="shared" si="1"/>
        <v>105.8411214953271</v>
      </c>
      <c r="G14" s="36">
        <v>107</v>
      </c>
      <c r="H14" s="36">
        <v>46.3</v>
      </c>
      <c r="I14" s="10">
        <f t="shared" si="3"/>
        <v>43.271028037383175</v>
      </c>
      <c r="J14" s="36">
        <v>122</v>
      </c>
      <c r="K14" s="36">
        <v>66.7</v>
      </c>
      <c r="L14" s="10">
        <f t="shared" si="4"/>
        <v>54.67213114754098</v>
      </c>
      <c r="M14" s="72">
        <f t="shared" si="12"/>
        <v>271.8</v>
      </c>
      <c r="N14" s="72">
        <f t="shared" si="13"/>
        <v>158.3</v>
      </c>
      <c r="O14" s="10">
        <f t="shared" si="5"/>
        <v>58.24135393671818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6"/>
        <v>#DIV/0!</v>
      </c>
      <c r="Y14" s="72">
        <f t="shared" si="14"/>
        <v>0</v>
      </c>
      <c r="Z14" s="72">
        <f t="shared" si="15"/>
        <v>0</v>
      </c>
      <c r="AA14" s="10" t="e">
        <f t="shared" si="7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6"/>
        <v>0</v>
      </c>
      <c r="AK14" s="72">
        <f t="shared" si="17"/>
        <v>0</v>
      </c>
      <c r="AL14" s="10" t="e">
        <f t="shared" si="8"/>
        <v>#DIV/0!</v>
      </c>
      <c r="AM14" s="36"/>
      <c r="AN14" s="36"/>
      <c r="AO14" s="36"/>
      <c r="AP14" s="36"/>
      <c r="AQ14" s="36"/>
      <c r="AR14" s="36"/>
      <c r="AS14" s="59">
        <f t="shared" si="18"/>
        <v>271.8</v>
      </c>
      <c r="AT14" s="59">
        <f t="shared" si="19"/>
        <v>158.3</v>
      </c>
      <c r="AU14" s="10">
        <f t="shared" si="2"/>
        <v>58.24135393671818</v>
      </c>
      <c r="AV14" s="72">
        <f t="shared" si="20"/>
        <v>113.5</v>
      </c>
      <c r="AW14" s="73">
        <f t="shared" si="21"/>
        <v>-214.10000000000002</v>
      </c>
      <c r="AX14" s="21">
        <f t="shared" si="9"/>
        <v>271.8</v>
      </c>
      <c r="AY14" s="21">
        <f t="shared" si="10"/>
        <v>158.3</v>
      </c>
      <c r="AZ14" s="70">
        <f t="shared" si="11"/>
        <v>-214.10000000000002</v>
      </c>
      <c r="BA14" s="37"/>
      <c r="BB14" s="38"/>
      <c r="BC14" s="38"/>
      <c r="BD14" s="37"/>
      <c r="BE14" s="38"/>
      <c r="BF14" s="38"/>
      <c r="BG14" s="38"/>
      <c r="BH14" s="38"/>
    </row>
    <row r="15" spans="1:60" ht="34.5" customHeight="1">
      <c r="A15" s="12" t="s">
        <v>12</v>
      </c>
      <c r="B15" s="58" t="s">
        <v>53</v>
      </c>
      <c r="C15" s="71">
        <v>337</v>
      </c>
      <c r="D15" s="36">
        <v>564.9</v>
      </c>
      <c r="E15" s="36">
        <v>547.5</v>
      </c>
      <c r="F15" s="53">
        <f t="shared" si="1"/>
        <v>96.9198088157196</v>
      </c>
      <c r="G15" s="36">
        <v>828</v>
      </c>
      <c r="H15" s="36">
        <v>565.3</v>
      </c>
      <c r="I15" s="10">
        <f t="shared" si="3"/>
        <v>68.27294685990337</v>
      </c>
      <c r="J15" s="36">
        <v>1083.3</v>
      </c>
      <c r="K15" s="36">
        <v>839.6</v>
      </c>
      <c r="L15" s="10">
        <f t="shared" si="4"/>
        <v>77.50392319763687</v>
      </c>
      <c r="M15" s="72">
        <f t="shared" si="12"/>
        <v>2476.2</v>
      </c>
      <c r="N15" s="72">
        <f t="shared" si="13"/>
        <v>1952.4</v>
      </c>
      <c r="O15" s="10">
        <f t="shared" si="5"/>
        <v>78.84661982069301</v>
      </c>
      <c r="P15" s="36"/>
      <c r="Q15" s="36"/>
      <c r="R15" s="10"/>
      <c r="S15" s="36"/>
      <c r="T15" s="36"/>
      <c r="U15" s="10"/>
      <c r="V15" s="36"/>
      <c r="W15" s="36"/>
      <c r="X15" s="10" t="e">
        <f t="shared" si="6"/>
        <v>#DIV/0!</v>
      </c>
      <c r="Y15" s="72">
        <f t="shared" si="14"/>
        <v>0</v>
      </c>
      <c r="Z15" s="72">
        <f t="shared" si="15"/>
        <v>0</v>
      </c>
      <c r="AA15" s="10" t="e">
        <f t="shared" si="7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16"/>
        <v>0</v>
      </c>
      <c r="AK15" s="72">
        <f t="shared" si="17"/>
        <v>0</v>
      </c>
      <c r="AL15" s="10" t="e">
        <f t="shared" si="8"/>
        <v>#DIV/0!</v>
      </c>
      <c r="AM15" s="36"/>
      <c r="AN15" s="36"/>
      <c r="AO15" s="36"/>
      <c r="AP15" s="36"/>
      <c r="AQ15" s="36"/>
      <c r="AR15" s="36"/>
      <c r="AS15" s="59">
        <f t="shared" si="18"/>
        <v>2476.2</v>
      </c>
      <c r="AT15" s="59">
        <f t="shared" si="19"/>
        <v>1952.4</v>
      </c>
      <c r="AU15" s="10">
        <f t="shared" si="2"/>
        <v>78.84661982069301</v>
      </c>
      <c r="AV15" s="72">
        <f t="shared" si="20"/>
        <v>523.7999999999997</v>
      </c>
      <c r="AW15" s="73">
        <f t="shared" si="21"/>
        <v>860.7999999999997</v>
      </c>
      <c r="AX15" s="21">
        <f t="shared" si="9"/>
        <v>2476.2</v>
      </c>
      <c r="AY15" s="21">
        <f t="shared" si="10"/>
        <v>1952.4</v>
      </c>
      <c r="AZ15" s="70">
        <f t="shared" si="11"/>
        <v>860.7999999999997</v>
      </c>
      <c r="BA15" s="37"/>
      <c r="BB15" s="38"/>
      <c r="BC15" s="38"/>
      <c r="BD15" s="37"/>
      <c r="BE15" s="38"/>
      <c r="BF15" s="38"/>
      <c r="BG15" s="38"/>
      <c r="BH15" s="38"/>
    </row>
    <row r="16" spans="1:60" ht="34.5" customHeight="1">
      <c r="A16" s="12" t="s">
        <v>13</v>
      </c>
      <c r="B16" s="58" t="s">
        <v>54</v>
      </c>
      <c r="C16" s="74">
        <v>33.6</v>
      </c>
      <c r="D16" s="36">
        <v>17.9</v>
      </c>
      <c r="E16" s="36">
        <v>19</v>
      </c>
      <c r="F16" s="53">
        <f t="shared" si="1"/>
        <v>106.14525139664805</v>
      </c>
      <c r="G16" s="36">
        <v>31.9</v>
      </c>
      <c r="H16" s="36">
        <v>22.6</v>
      </c>
      <c r="I16" s="10">
        <f t="shared" si="3"/>
        <v>70.84639498432603</v>
      </c>
      <c r="J16" s="36">
        <v>27.2</v>
      </c>
      <c r="K16" s="36">
        <v>24.9</v>
      </c>
      <c r="L16" s="10">
        <f t="shared" si="4"/>
        <v>91.54411764705883</v>
      </c>
      <c r="M16" s="72">
        <f t="shared" si="12"/>
        <v>77</v>
      </c>
      <c r="N16" s="72">
        <f t="shared" si="13"/>
        <v>66.5</v>
      </c>
      <c r="O16" s="10">
        <f t="shared" si="5"/>
        <v>86.36363636363636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6"/>
        <v>#DIV/0!</v>
      </c>
      <c r="Y16" s="72">
        <f t="shared" si="14"/>
        <v>0</v>
      </c>
      <c r="Z16" s="72">
        <f t="shared" si="15"/>
        <v>0</v>
      </c>
      <c r="AA16" s="10" t="e">
        <f t="shared" si="7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6"/>
        <v>0</v>
      </c>
      <c r="AK16" s="72">
        <f t="shared" si="17"/>
        <v>0</v>
      </c>
      <c r="AL16" s="10" t="e">
        <f t="shared" si="8"/>
        <v>#DIV/0!</v>
      </c>
      <c r="AM16" s="36"/>
      <c r="AN16" s="36"/>
      <c r="AO16" s="36"/>
      <c r="AP16" s="36"/>
      <c r="AQ16" s="36"/>
      <c r="AR16" s="36"/>
      <c r="AS16" s="59">
        <f t="shared" si="18"/>
        <v>77</v>
      </c>
      <c r="AT16" s="59">
        <f t="shared" si="19"/>
        <v>66.5</v>
      </c>
      <c r="AU16" s="10">
        <f t="shared" si="2"/>
        <v>86.36363636363636</v>
      </c>
      <c r="AV16" s="72">
        <f t="shared" si="20"/>
        <v>10.5</v>
      </c>
      <c r="AW16" s="73">
        <f t="shared" si="21"/>
        <v>44.099999999999994</v>
      </c>
      <c r="AX16" s="21">
        <f t="shared" si="9"/>
        <v>77</v>
      </c>
      <c r="AY16" s="21">
        <f t="shared" si="10"/>
        <v>66.5</v>
      </c>
      <c r="AZ16" s="70">
        <f t="shared" si="11"/>
        <v>44.099999999999994</v>
      </c>
      <c r="BA16" s="37"/>
      <c r="BB16" s="38"/>
      <c r="BC16" s="38"/>
      <c r="BD16" s="37"/>
      <c r="BE16" s="38"/>
      <c r="BF16" s="38"/>
      <c r="BG16" s="38"/>
      <c r="BH16" s="38"/>
    </row>
    <row r="17" spans="1:60" ht="34.5" customHeight="1">
      <c r="A17" s="12" t="s">
        <v>14</v>
      </c>
      <c r="B17" s="62" t="s">
        <v>97</v>
      </c>
      <c r="C17" s="74">
        <f>700.1+3203.7</f>
        <v>3903.7999999999997</v>
      </c>
      <c r="D17" s="36">
        <f>245.4+402.9</f>
        <v>648.3</v>
      </c>
      <c r="E17" s="36">
        <f>255.5+417.9</f>
        <v>673.4</v>
      </c>
      <c r="F17" s="53">
        <f t="shared" si="1"/>
        <v>103.87166435292303</v>
      </c>
      <c r="G17" s="36">
        <f>275.8+398.9</f>
        <v>674.7</v>
      </c>
      <c r="H17" s="36">
        <f>215.5+372.1</f>
        <v>587.6</v>
      </c>
      <c r="I17" s="10">
        <f t="shared" si="3"/>
        <v>87.09055876685935</v>
      </c>
      <c r="J17" s="36">
        <f>263.7+403.7</f>
        <v>667.4</v>
      </c>
      <c r="K17" s="36">
        <f>244.5+388.4</f>
        <v>632.9</v>
      </c>
      <c r="L17" s="10">
        <f t="shared" si="4"/>
        <v>94.83068624513035</v>
      </c>
      <c r="M17" s="72">
        <f t="shared" si="12"/>
        <v>1990.4</v>
      </c>
      <c r="N17" s="72">
        <f t="shared" si="13"/>
        <v>1893.9</v>
      </c>
      <c r="O17" s="10">
        <f t="shared" si="5"/>
        <v>95.15172829581994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6"/>
        <v>#DIV/0!</v>
      </c>
      <c r="Y17" s="72">
        <f t="shared" si="14"/>
        <v>0</v>
      </c>
      <c r="Z17" s="72">
        <f t="shared" si="15"/>
        <v>0</v>
      </c>
      <c r="AA17" s="10" t="e">
        <f t="shared" si="7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6"/>
        <v>0</v>
      </c>
      <c r="AK17" s="72">
        <f t="shared" si="17"/>
        <v>0</v>
      </c>
      <c r="AL17" s="10" t="e">
        <f t="shared" si="8"/>
        <v>#DIV/0!</v>
      </c>
      <c r="AM17" s="36"/>
      <c r="AN17" s="36"/>
      <c r="AO17" s="36"/>
      <c r="AP17" s="36"/>
      <c r="AQ17" s="36"/>
      <c r="AR17" s="36"/>
      <c r="AS17" s="59">
        <f t="shared" si="18"/>
        <v>1990.4</v>
      </c>
      <c r="AT17" s="59">
        <f t="shared" si="19"/>
        <v>1893.9</v>
      </c>
      <c r="AU17" s="10">
        <f t="shared" si="2"/>
        <v>95.15172829581994</v>
      </c>
      <c r="AV17" s="72">
        <f t="shared" si="20"/>
        <v>96.5</v>
      </c>
      <c r="AW17" s="73">
        <f t="shared" si="21"/>
        <v>4000.2999999999997</v>
      </c>
      <c r="AX17" s="21">
        <f t="shared" si="9"/>
        <v>1990.4</v>
      </c>
      <c r="AY17" s="21">
        <f t="shared" si="10"/>
        <v>1893.9</v>
      </c>
      <c r="AZ17" s="70">
        <f t="shared" si="11"/>
        <v>4000.2999999999997</v>
      </c>
      <c r="BA17" s="37"/>
      <c r="BB17" s="38"/>
      <c r="BC17" s="38"/>
      <c r="BD17" s="37"/>
      <c r="BE17" s="38"/>
      <c r="BF17" s="38"/>
      <c r="BG17" s="38"/>
      <c r="BH17" s="38"/>
    </row>
    <row r="18" spans="1:60" ht="34.5" customHeight="1">
      <c r="A18" s="12" t="s">
        <v>15</v>
      </c>
      <c r="B18" s="62" t="s">
        <v>55</v>
      </c>
      <c r="C18" s="71">
        <v>233.9</v>
      </c>
      <c r="D18" s="36">
        <v>84</v>
      </c>
      <c r="E18" s="36">
        <v>92.3</v>
      </c>
      <c r="F18" s="53">
        <f t="shared" si="1"/>
        <v>109.88095238095237</v>
      </c>
      <c r="G18" s="36">
        <v>200.9</v>
      </c>
      <c r="H18" s="36">
        <v>87.4</v>
      </c>
      <c r="I18" s="10">
        <f t="shared" si="3"/>
        <v>43.504230960676956</v>
      </c>
      <c r="J18" s="36">
        <v>198.4</v>
      </c>
      <c r="K18" s="36">
        <v>127</v>
      </c>
      <c r="L18" s="10">
        <f t="shared" si="4"/>
        <v>64.01209677419355</v>
      </c>
      <c r="M18" s="72">
        <f t="shared" si="12"/>
        <v>483.29999999999995</v>
      </c>
      <c r="N18" s="72">
        <f t="shared" si="13"/>
        <v>306.7</v>
      </c>
      <c r="O18" s="10">
        <f t="shared" si="5"/>
        <v>63.45954893440927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6"/>
        <v>#DIV/0!</v>
      </c>
      <c r="Y18" s="72">
        <f t="shared" si="14"/>
        <v>0</v>
      </c>
      <c r="Z18" s="72">
        <f t="shared" si="15"/>
        <v>0</v>
      </c>
      <c r="AA18" s="10" t="e">
        <f t="shared" si="7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6"/>
        <v>0</v>
      </c>
      <c r="AK18" s="72">
        <f t="shared" si="17"/>
        <v>0</v>
      </c>
      <c r="AL18" s="10" t="e">
        <f t="shared" si="8"/>
        <v>#DIV/0!</v>
      </c>
      <c r="AM18" s="36"/>
      <c r="AN18" s="36"/>
      <c r="AO18" s="36"/>
      <c r="AP18" s="36"/>
      <c r="AQ18" s="36"/>
      <c r="AR18" s="36"/>
      <c r="AS18" s="59">
        <f t="shared" si="18"/>
        <v>483.29999999999995</v>
      </c>
      <c r="AT18" s="59">
        <f t="shared" si="19"/>
        <v>306.7</v>
      </c>
      <c r="AU18" s="10">
        <f t="shared" si="2"/>
        <v>63.45954893440927</v>
      </c>
      <c r="AV18" s="72">
        <f t="shared" si="20"/>
        <v>176.59999999999997</v>
      </c>
      <c r="AW18" s="73">
        <f t="shared" si="21"/>
        <v>410.49999999999994</v>
      </c>
      <c r="AX18" s="21">
        <f t="shared" si="9"/>
        <v>483.29999999999995</v>
      </c>
      <c r="AY18" s="21">
        <f t="shared" si="10"/>
        <v>306.7</v>
      </c>
      <c r="AZ18" s="70">
        <f t="shared" si="11"/>
        <v>410.49999999999994</v>
      </c>
      <c r="BA18" s="37"/>
      <c r="BB18" s="38"/>
      <c r="BC18" s="38"/>
      <c r="BD18" s="37"/>
      <c r="BE18" s="38"/>
      <c r="BF18" s="38"/>
      <c r="BG18" s="38"/>
      <c r="BH18" s="38"/>
    </row>
    <row r="19" spans="1:60" ht="34.5" customHeight="1">
      <c r="A19" s="12" t="s">
        <v>16</v>
      </c>
      <c r="B19" s="58" t="s">
        <v>56</v>
      </c>
      <c r="C19" s="71">
        <v>1181.2</v>
      </c>
      <c r="D19" s="36">
        <v>262.5</v>
      </c>
      <c r="E19" s="36">
        <v>487</v>
      </c>
      <c r="F19" s="53">
        <f t="shared" si="1"/>
        <v>185.52380952380952</v>
      </c>
      <c r="G19" s="36">
        <v>614.5</v>
      </c>
      <c r="H19" s="36">
        <v>371.8</v>
      </c>
      <c r="I19" s="10">
        <f t="shared" si="3"/>
        <v>60.50447518307567</v>
      </c>
      <c r="J19" s="36">
        <v>647.7</v>
      </c>
      <c r="K19" s="36">
        <v>505.4</v>
      </c>
      <c r="L19" s="61">
        <f t="shared" si="4"/>
        <v>78.02995213833564</v>
      </c>
      <c r="M19" s="72">
        <f t="shared" si="12"/>
        <v>1524.7</v>
      </c>
      <c r="N19" s="72">
        <f t="shared" si="13"/>
        <v>1364.1999999999998</v>
      </c>
      <c r="O19" s="10">
        <f t="shared" si="5"/>
        <v>89.47333901751162</v>
      </c>
      <c r="P19" s="36"/>
      <c r="Q19" s="36"/>
      <c r="R19" s="104"/>
      <c r="S19" s="36"/>
      <c r="T19" s="36"/>
      <c r="U19" s="104"/>
      <c r="V19" s="36"/>
      <c r="W19" s="36"/>
      <c r="X19" s="104" t="e">
        <f t="shared" si="6"/>
        <v>#DIV/0!</v>
      </c>
      <c r="Y19" s="72">
        <f t="shared" si="14"/>
        <v>0</v>
      </c>
      <c r="Z19" s="72">
        <f t="shared" si="15"/>
        <v>0</v>
      </c>
      <c r="AA19" s="10" t="e">
        <f t="shared" si="7"/>
        <v>#DIV/0!</v>
      </c>
      <c r="AB19" s="36"/>
      <c r="AC19" s="36"/>
      <c r="AD19" s="10"/>
      <c r="AE19" s="36"/>
      <c r="AF19" s="36"/>
      <c r="AG19" s="104"/>
      <c r="AH19" s="36"/>
      <c r="AI19" s="36"/>
      <c r="AJ19" s="72">
        <f t="shared" si="16"/>
        <v>0</v>
      </c>
      <c r="AK19" s="72">
        <f t="shared" si="17"/>
        <v>0</v>
      </c>
      <c r="AL19" s="10" t="e">
        <f t="shared" si="8"/>
        <v>#DIV/0!</v>
      </c>
      <c r="AM19" s="36"/>
      <c r="AN19" s="36"/>
      <c r="AO19" s="36"/>
      <c r="AP19" s="36"/>
      <c r="AQ19" s="36"/>
      <c r="AR19" s="36"/>
      <c r="AS19" s="59">
        <f t="shared" si="18"/>
        <v>1524.7</v>
      </c>
      <c r="AT19" s="59">
        <f t="shared" si="19"/>
        <v>1364.1999999999998</v>
      </c>
      <c r="AU19" s="10">
        <f t="shared" si="2"/>
        <v>89.47333901751162</v>
      </c>
      <c r="AV19" s="72">
        <f t="shared" si="20"/>
        <v>160.50000000000023</v>
      </c>
      <c r="AW19" s="73">
        <f t="shared" si="21"/>
        <v>1341.7000000000003</v>
      </c>
      <c r="AX19" s="21">
        <f t="shared" si="9"/>
        <v>1524.7</v>
      </c>
      <c r="AY19" s="21">
        <f t="shared" si="10"/>
        <v>1364.1999999999998</v>
      </c>
      <c r="AZ19" s="70">
        <f t="shared" si="11"/>
        <v>1341.7000000000003</v>
      </c>
      <c r="BA19" s="37"/>
      <c r="BB19" s="38"/>
      <c r="BC19" s="38"/>
      <c r="BD19" s="37"/>
      <c r="BE19" s="38"/>
      <c r="BF19" s="38"/>
      <c r="BG19" s="38"/>
      <c r="BH19" s="38"/>
    </row>
    <row r="20" spans="1:60" ht="34.5" customHeight="1">
      <c r="A20" s="12" t="s">
        <v>17</v>
      </c>
      <c r="B20" s="62" t="s">
        <v>57</v>
      </c>
      <c r="C20" s="75">
        <v>347.2</v>
      </c>
      <c r="D20" s="36">
        <v>118.4</v>
      </c>
      <c r="E20" s="36">
        <v>140.8</v>
      </c>
      <c r="F20" s="53">
        <f t="shared" si="1"/>
        <v>118.91891891891892</v>
      </c>
      <c r="G20" s="36">
        <v>190.1</v>
      </c>
      <c r="H20" s="36">
        <v>123.7</v>
      </c>
      <c r="I20" s="10">
        <f t="shared" si="3"/>
        <v>65.07101525512888</v>
      </c>
      <c r="J20" s="36">
        <v>191.6</v>
      </c>
      <c r="K20" s="36">
        <v>179.9</v>
      </c>
      <c r="L20" s="10">
        <f t="shared" si="4"/>
        <v>93.89352818371609</v>
      </c>
      <c r="M20" s="72">
        <f t="shared" si="12"/>
        <v>500.1</v>
      </c>
      <c r="N20" s="72">
        <f t="shared" si="13"/>
        <v>444.4</v>
      </c>
      <c r="O20" s="10">
        <f t="shared" si="5"/>
        <v>88.8622275544891</v>
      </c>
      <c r="P20" s="36"/>
      <c r="Q20" s="36"/>
      <c r="R20" s="10"/>
      <c r="S20" s="36"/>
      <c r="T20" s="36"/>
      <c r="U20" s="10"/>
      <c r="V20" s="36"/>
      <c r="W20" s="36"/>
      <c r="X20" s="10" t="e">
        <f t="shared" si="6"/>
        <v>#DIV/0!</v>
      </c>
      <c r="Y20" s="72">
        <f t="shared" si="14"/>
        <v>0</v>
      </c>
      <c r="Z20" s="72">
        <f t="shared" si="15"/>
        <v>0</v>
      </c>
      <c r="AA20" s="10" t="e">
        <f t="shared" si="7"/>
        <v>#DIV/0!</v>
      </c>
      <c r="AB20" s="36"/>
      <c r="AC20" s="36"/>
      <c r="AD20" s="10"/>
      <c r="AE20" s="36"/>
      <c r="AF20" s="36"/>
      <c r="AG20" s="10"/>
      <c r="AH20" s="36"/>
      <c r="AI20" s="36"/>
      <c r="AJ20" s="72">
        <f t="shared" si="16"/>
        <v>0</v>
      </c>
      <c r="AK20" s="72">
        <f t="shared" si="17"/>
        <v>0</v>
      </c>
      <c r="AL20" s="10" t="e">
        <f t="shared" si="8"/>
        <v>#DIV/0!</v>
      </c>
      <c r="AM20" s="36"/>
      <c r="AN20" s="36"/>
      <c r="AO20" s="36"/>
      <c r="AP20" s="36"/>
      <c r="AQ20" s="36"/>
      <c r="AR20" s="36"/>
      <c r="AS20" s="59">
        <f t="shared" si="18"/>
        <v>500.1</v>
      </c>
      <c r="AT20" s="59">
        <f t="shared" si="19"/>
        <v>444.4</v>
      </c>
      <c r="AU20" s="10">
        <f t="shared" si="2"/>
        <v>88.8622275544891</v>
      </c>
      <c r="AV20" s="72">
        <f t="shared" si="20"/>
        <v>55.700000000000045</v>
      </c>
      <c r="AW20" s="73">
        <f t="shared" si="21"/>
        <v>402.9</v>
      </c>
      <c r="AX20" s="21">
        <f t="shared" si="9"/>
        <v>500.1</v>
      </c>
      <c r="AY20" s="21">
        <f t="shared" si="10"/>
        <v>444.4</v>
      </c>
      <c r="AZ20" s="70">
        <f t="shared" si="11"/>
        <v>402.9</v>
      </c>
      <c r="BA20" s="37"/>
      <c r="BB20" s="38"/>
      <c r="BC20" s="38"/>
      <c r="BD20" s="37"/>
      <c r="BE20" s="38"/>
      <c r="BF20" s="38"/>
      <c r="BG20" s="38"/>
      <c r="BH20" s="38"/>
    </row>
    <row r="21" spans="1:60" ht="34.5" customHeight="1">
      <c r="A21" s="12" t="s">
        <v>18</v>
      </c>
      <c r="B21" s="62" t="s">
        <v>58</v>
      </c>
      <c r="C21" s="71">
        <v>0.3</v>
      </c>
      <c r="D21" s="36">
        <v>20.9</v>
      </c>
      <c r="E21" s="36">
        <v>20.4</v>
      </c>
      <c r="F21" s="53">
        <f t="shared" si="1"/>
        <v>97.60765550239235</v>
      </c>
      <c r="G21" s="36">
        <v>18.4</v>
      </c>
      <c r="H21" s="36">
        <v>17.8</v>
      </c>
      <c r="I21" s="10">
        <f t="shared" si="3"/>
        <v>96.73913043478262</v>
      </c>
      <c r="J21" s="36">
        <v>19.3</v>
      </c>
      <c r="K21" s="36">
        <v>21</v>
      </c>
      <c r="L21" s="10">
        <f t="shared" si="4"/>
        <v>108.8082901554404</v>
      </c>
      <c r="M21" s="72">
        <f t="shared" si="12"/>
        <v>58.599999999999994</v>
      </c>
      <c r="N21" s="72">
        <f t="shared" si="13"/>
        <v>59.2</v>
      </c>
      <c r="O21" s="10">
        <f t="shared" si="5"/>
        <v>101.02389078498295</v>
      </c>
      <c r="P21" s="36"/>
      <c r="Q21" s="36"/>
      <c r="R21" s="10"/>
      <c r="S21" s="36"/>
      <c r="T21" s="36"/>
      <c r="U21" s="10"/>
      <c r="V21" s="36"/>
      <c r="W21" s="36"/>
      <c r="X21" s="10" t="e">
        <f t="shared" si="6"/>
        <v>#DIV/0!</v>
      </c>
      <c r="Y21" s="72">
        <f t="shared" si="14"/>
        <v>0</v>
      </c>
      <c r="Z21" s="72">
        <f t="shared" si="15"/>
        <v>0</v>
      </c>
      <c r="AA21" s="10" t="e">
        <f t="shared" si="7"/>
        <v>#DIV/0!</v>
      </c>
      <c r="AB21" s="36"/>
      <c r="AC21" s="36"/>
      <c r="AD21" s="10"/>
      <c r="AE21" s="36"/>
      <c r="AF21" s="36"/>
      <c r="AG21" s="10"/>
      <c r="AH21" s="36"/>
      <c r="AI21" s="36"/>
      <c r="AJ21" s="72">
        <f t="shared" si="16"/>
        <v>0</v>
      </c>
      <c r="AK21" s="72">
        <f t="shared" si="17"/>
        <v>0</v>
      </c>
      <c r="AL21" s="10" t="e">
        <f t="shared" si="8"/>
        <v>#DIV/0!</v>
      </c>
      <c r="AM21" s="36"/>
      <c r="AN21" s="36"/>
      <c r="AO21" s="36"/>
      <c r="AP21" s="36"/>
      <c r="AQ21" s="36"/>
      <c r="AR21" s="36"/>
      <c r="AS21" s="59">
        <f t="shared" si="18"/>
        <v>58.599999999999994</v>
      </c>
      <c r="AT21" s="59">
        <f t="shared" si="19"/>
        <v>59.2</v>
      </c>
      <c r="AU21" s="10">
        <f t="shared" si="2"/>
        <v>101.02389078498295</v>
      </c>
      <c r="AV21" s="72">
        <f t="shared" si="20"/>
        <v>-0.6000000000000085</v>
      </c>
      <c r="AW21" s="73">
        <f t="shared" si="21"/>
        <v>-0.30000000000001137</v>
      </c>
      <c r="AX21" s="21">
        <f t="shared" si="9"/>
        <v>58.599999999999994</v>
      </c>
      <c r="AY21" s="21">
        <f t="shared" si="10"/>
        <v>59.2</v>
      </c>
      <c r="AZ21" s="70">
        <f t="shared" si="11"/>
        <v>-0.30000000000001137</v>
      </c>
      <c r="BA21" s="37"/>
      <c r="BB21" s="38"/>
      <c r="BC21" s="38"/>
      <c r="BD21" s="37"/>
      <c r="BE21" s="38"/>
      <c r="BF21" s="38"/>
      <c r="BG21" s="38"/>
      <c r="BH21" s="38"/>
    </row>
    <row r="22" spans="1:60" ht="34.5" customHeight="1">
      <c r="A22" s="12" t="s">
        <v>19</v>
      </c>
      <c r="B22" s="62" t="s">
        <v>41</v>
      </c>
      <c r="C22" s="77">
        <v>-348.9</v>
      </c>
      <c r="D22" s="65">
        <v>63.5</v>
      </c>
      <c r="E22" s="65">
        <v>124</v>
      </c>
      <c r="F22" s="53">
        <f t="shared" si="1"/>
        <v>195.2755905511811</v>
      </c>
      <c r="G22" s="36">
        <v>188.7</v>
      </c>
      <c r="H22" s="36">
        <v>103.5</v>
      </c>
      <c r="I22" s="10">
        <f t="shared" si="3"/>
        <v>54.8489666136725</v>
      </c>
      <c r="J22" s="36">
        <v>165.5</v>
      </c>
      <c r="K22" s="36">
        <v>142.3</v>
      </c>
      <c r="L22" s="79">
        <f t="shared" si="4"/>
        <v>85.98187311178248</v>
      </c>
      <c r="M22" s="72">
        <f t="shared" si="12"/>
        <v>417.7</v>
      </c>
      <c r="N22" s="72">
        <f t="shared" si="13"/>
        <v>369.8</v>
      </c>
      <c r="O22" s="10">
        <f t="shared" si="5"/>
        <v>88.5324395499162</v>
      </c>
      <c r="P22" s="36"/>
      <c r="Q22" s="36"/>
      <c r="R22" s="105"/>
      <c r="S22" s="36"/>
      <c r="T22" s="36"/>
      <c r="U22" s="105"/>
      <c r="V22" s="36"/>
      <c r="W22" s="36"/>
      <c r="X22" s="105" t="e">
        <f t="shared" si="6"/>
        <v>#DIV/0!</v>
      </c>
      <c r="Y22" s="72">
        <f t="shared" si="14"/>
        <v>0</v>
      </c>
      <c r="Z22" s="72">
        <f t="shared" si="15"/>
        <v>0</v>
      </c>
      <c r="AA22" s="10" t="e">
        <f t="shared" si="7"/>
        <v>#DIV/0!</v>
      </c>
      <c r="AB22" s="36"/>
      <c r="AC22" s="36"/>
      <c r="AD22" s="10"/>
      <c r="AE22" s="36"/>
      <c r="AF22" s="36"/>
      <c r="AG22" s="105"/>
      <c r="AH22" s="36"/>
      <c r="AI22" s="36"/>
      <c r="AJ22" s="72">
        <f t="shared" si="16"/>
        <v>0</v>
      </c>
      <c r="AK22" s="72">
        <f t="shared" si="17"/>
        <v>0</v>
      </c>
      <c r="AL22" s="10" t="e">
        <f t="shared" si="8"/>
        <v>#DIV/0!</v>
      </c>
      <c r="AM22" s="36"/>
      <c r="AN22" s="36"/>
      <c r="AO22" s="36"/>
      <c r="AP22" s="36"/>
      <c r="AQ22" s="36"/>
      <c r="AR22" s="36"/>
      <c r="AS22" s="59">
        <f t="shared" si="18"/>
        <v>417.7</v>
      </c>
      <c r="AT22" s="59">
        <f t="shared" si="19"/>
        <v>369.8</v>
      </c>
      <c r="AU22" s="10">
        <f t="shared" si="2"/>
        <v>88.5324395499162</v>
      </c>
      <c r="AV22" s="72">
        <f t="shared" si="20"/>
        <v>47.89999999999998</v>
      </c>
      <c r="AW22" s="73">
        <f t="shared" si="21"/>
        <v>-301</v>
      </c>
      <c r="AX22" s="21">
        <f t="shared" si="9"/>
        <v>417.7</v>
      </c>
      <c r="AY22" s="21">
        <f t="shared" si="10"/>
        <v>369.8</v>
      </c>
      <c r="AZ22" s="70">
        <f t="shared" si="11"/>
        <v>-301</v>
      </c>
      <c r="BA22" s="37"/>
      <c r="BB22" s="38"/>
      <c r="BC22" s="38"/>
      <c r="BD22" s="37"/>
      <c r="BE22" s="38"/>
      <c r="BF22" s="38"/>
      <c r="BG22" s="38"/>
      <c r="BH22" s="38"/>
    </row>
    <row r="23" spans="1:60" ht="34.5" customHeight="1">
      <c r="A23" s="12" t="s">
        <v>20</v>
      </c>
      <c r="B23" s="62" t="s">
        <v>98</v>
      </c>
      <c r="C23" s="71">
        <v>-22.6</v>
      </c>
      <c r="D23" s="36">
        <v>11.7</v>
      </c>
      <c r="E23" s="36">
        <v>15.7</v>
      </c>
      <c r="F23" s="53">
        <f t="shared" si="1"/>
        <v>134.1880341880342</v>
      </c>
      <c r="G23" s="36">
        <v>26.5</v>
      </c>
      <c r="H23" s="36">
        <v>14.8</v>
      </c>
      <c r="I23" s="10">
        <f t="shared" si="3"/>
        <v>55.84905660377358</v>
      </c>
      <c r="J23" s="36">
        <v>22.9</v>
      </c>
      <c r="K23" s="36">
        <v>16.5</v>
      </c>
      <c r="L23" s="79">
        <f t="shared" si="4"/>
        <v>72.0524017467249</v>
      </c>
      <c r="M23" s="72">
        <f t="shared" si="12"/>
        <v>61.1</v>
      </c>
      <c r="N23" s="72">
        <f t="shared" si="13"/>
        <v>47</v>
      </c>
      <c r="O23" s="10">
        <f t="shared" si="5"/>
        <v>76.92307692307692</v>
      </c>
      <c r="P23" s="36"/>
      <c r="Q23" s="36"/>
      <c r="R23" s="105"/>
      <c r="S23" s="36"/>
      <c r="T23" s="36"/>
      <c r="U23" s="105"/>
      <c r="V23" s="36"/>
      <c r="W23" s="36"/>
      <c r="X23" s="105" t="e">
        <f t="shared" si="6"/>
        <v>#DIV/0!</v>
      </c>
      <c r="Y23" s="72">
        <f t="shared" si="14"/>
        <v>0</v>
      </c>
      <c r="Z23" s="72">
        <f t="shared" si="15"/>
        <v>0</v>
      </c>
      <c r="AA23" s="10" t="e">
        <f t="shared" si="7"/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6"/>
        <v>0</v>
      </c>
      <c r="AK23" s="72">
        <f t="shared" si="17"/>
        <v>0</v>
      </c>
      <c r="AL23" s="10" t="e">
        <f t="shared" si="8"/>
        <v>#DIV/0!</v>
      </c>
      <c r="AM23" s="36"/>
      <c r="AN23" s="36"/>
      <c r="AO23" s="36"/>
      <c r="AP23" s="36"/>
      <c r="AQ23" s="36"/>
      <c r="AR23" s="36"/>
      <c r="AS23" s="59">
        <f t="shared" si="18"/>
        <v>61.1</v>
      </c>
      <c r="AT23" s="59">
        <f t="shared" si="19"/>
        <v>47</v>
      </c>
      <c r="AU23" s="10">
        <f t="shared" si="2"/>
        <v>76.92307692307692</v>
      </c>
      <c r="AV23" s="72">
        <f t="shared" si="20"/>
        <v>14.100000000000001</v>
      </c>
      <c r="AW23" s="73">
        <f t="shared" si="21"/>
        <v>-8.5</v>
      </c>
      <c r="AX23" s="21">
        <f t="shared" si="9"/>
        <v>61.1</v>
      </c>
      <c r="AY23" s="21">
        <f t="shared" si="10"/>
        <v>47</v>
      </c>
      <c r="AZ23" s="70">
        <f t="shared" si="11"/>
        <v>-8.5</v>
      </c>
      <c r="BA23" s="37"/>
      <c r="BB23" s="38"/>
      <c r="BC23" s="38"/>
      <c r="BD23" s="37"/>
      <c r="BE23" s="38"/>
      <c r="BF23" s="38"/>
      <c r="BG23" s="38"/>
      <c r="BH23" s="38"/>
    </row>
    <row r="24" spans="1:60" ht="34.5" customHeight="1">
      <c r="A24" s="12" t="s">
        <v>21</v>
      </c>
      <c r="B24" s="62" t="s">
        <v>40</v>
      </c>
      <c r="C24" s="71">
        <v>88.2</v>
      </c>
      <c r="D24" s="36">
        <v>783.6</v>
      </c>
      <c r="E24" s="36">
        <v>1064.5</v>
      </c>
      <c r="F24" s="53">
        <f t="shared" si="1"/>
        <v>135.84737110770803</v>
      </c>
      <c r="G24" s="36">
        <v>1341.5</v>
      </c>
      <c r="H24" s="36">
        <v>843.7</v>
      </c>
      <c r="I24" s="10">
        <f t="shared" si="3"/>
        <v>62.8922847558703</v>
      </c>
      <c r="J24" s="36">
        <v>1336.2</v>
      </c>
      <c r="K24" s="36">
        <v>1125.8</v>
      </c>
      <c r="L24" s="10">
        <f t="shared" si="4"/>
        <v>84.25385421344109</v>
      </c>
      <c r="M24" s="72">
        <f t="shared" si="12"/>
        <v>3461.3</v>
      </c>
      <c r="N24" s="72">
        <f t="shared" si="13"/>
        <v>3034</v>
      </c>
      <c r="O24" s="10">
        <f t="shared" si="5"/>
        <v>87.65492733943894</v>
      </c>
      <c r="P24" s="36"/>
      <c r="Q24" s="36"/>
      <c r="R24" s="10"/>
      <c r="S24" s="36"/>
      <c r="T24" s="36"/>
      <c r="U24" s="10"/>
      <c r="V24" s="36"/>
      <c r="W24" s="36"/>
      <c r="X24" s="105" t="e">
        <f t="shared" si="6"/>
        <v>#DIV/0!</v>
      </c>
      <c r="Y24" s="72">
        <f t="shared" si="14"/>
        <v>0</v>
      </c>
      <c r="Z24" s="72">
        <f t="shared" si="15"/>
        <v>0</v>
      </c>
      <c r="AA24" s="10" t="e">
        <f t="shared" si="7"/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6"/>
        <v>0</v>
      </c>
      <c r="AK24" s="72">
        <f t="shared" si="17"/>
        <v>0</v>
      </c>
      <c r="AL24" s="10" t="e">
        <f t="shared" si="8"/>
        <v>#DIV/0!</v>
      </c>
      <c r="AM24" s="36"/>
      <c r="AN24" s="36"/>
      <c r="AO24" s="36"/>
      <c r="AP24" s="36"/>
      <c r="AQ24" s="36"/>
      <c r="AR24" s="36"/>
      <c r="AS24" s="59">
        <f t="shared" si="18"/>
        <v>3461.3</v>
      </c>
      <c r="AT24" s="59">
        <f t="shared" si="19"/>
        <v>3034</v>
      </c>
      <c r="AU24" s="10">
        <f t="shared" si="2"/>
        <v>87.65492733943894</v>
      </c>
      <c r="AV24" s="72">
        <f t="shared" si="20"/>
        <v>427.3000000000002</v>
      </c>
      <c r="AW24" s="73">
        <f t="shared" si="21"/>
        <v>515.5</v>
      </c>
      <c r="AX24" s="21">
        <f t="shared" si="9"/>
        <v>3461.3</v>
      </c>
      <c r="AY24" s="21">
        <f t="shared" si="10"/>
        <v>3034</v>
      </c>
      <c r="AZ24" s="70">
        <f t="shared" si="11"/>
        <v>515.5</v>
      </c>
      <c r="BA24" s="37"/>
      <c r="BB24" s="38"/>
      <c r="BC24" s="38"/>
      <c r="BD24" s="37"/>
      <c r="BE24" s="38"/>
      <c r="BF24" s="38"/>
      <c r="BG24" s="38"/>
      <c r="BH24" s="38"/>
    </row>
    <row r="25" spans="1:60" ht="34.5" customHeight="1">
      <c r="A25" s="12" t="s">
        <v>22</v>
      </c>
      <c r="B25" s="58" t="s">
        <v>43</v>
      </c>
      <c r="C25" s="71">
        <v>-321.3</v>
      </c>
      <c r="D25" s="36">
        <v>58</v>
      </c>
      <c r="E25" s="36">
        <v>126.4</v>
      </c>
      <c r="F25" s="53">
        <f t="shared" si="1"/>
        <v>217.9310344827586</v>
      </c>
      <c r="G25" s="36">
        <v>299.5</v>
      </c>
      <c r="H25" s="36">
        <v>140.6</v>
      </c>
      <c r="I25" s="10">
        <f t="shared" si="3"/>
        <v>46.9449081803005</v>
      </c>
      <c r="J25" s="36">
        <v>278.9</v>
      </c>
      <c r="K25" s="36">
        <v>199.3</v>
      </c>
      <c r="L25" s="10">
        <f t="shared" si="4"/>
        <v>71.45930441018287</v>
      </c>
      <c r="M25" s="72">
        <f t="shared" si="12"/>
        <v>636.4</v>
      </c>
      <c r="N25" s="72">
        <f t="shared" si="13"/>
        <v>466.3</v>
      </c>
      <c r="O25" s="10">
        <f t="shared" si="5"/>
        <v>73.27152734129479</v>
      </c>
      <c r="P25" s="36"/>
      <c r="Q25" s="36"/>
      <c r="R25" s="10"/>
      <c r="S25" s="36"/>
      <c r="T25" s="36"/>
      <c r="U25" s="10"/>
      <c r="V25" s="36"/>
      <c r="W25" s="36"/>
      <c r="X25" s="10" t="e">
        <f>W25/V25*100</f>
        <v>#DIV/0!</v>
      </c>
      <c r="Y25" s="72">
        <f t="shared" si="14"/>
        <v>0</v>
      </c>
      <c r="Z25" s="72">
        <f t="shared" si="15"/>
        <v>0</v>
      </c>
      <c r="AA25" s="10" t="e">
        <f t="shared" si="7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6"/>
        <v>0</v>
      </c>
      <c r="AK25" s="72">
        <f t="shared" si="17"/>
        <v>0</v>
      </c>
      <c r="AL25" s="10" t="e">
        <f t="shared" si="8"/>
        <v>#DIV/0!</v>
      </c>
      <c r="AM25" s="36"/>
      <c r="AN25" s="36"/>
      <c r="AO25" s="36"/>
      <c r="AP25" s="36"/>
      <c r="AQ25" s="36"/>
      <c r="AR25" s="36"/>
      <c r="AS25" s="59">
        <f t="shared" si="18"/>
        <v>636.4</v>
      </c>
      <c r="AT25" s="59">
        <f t="shared" si="19"/>
        <v>466.3</v>
      </c>
      <c r="AU25" s="10">
        <f t="shared" si="2"/>
        <v>73.27152734129479</v>
      </c>
      <c r="AV25" s="72">
        <f t="shared" si="20"/>
        <v>170.09999999999997</v>
      </c>
      <c r="AW25" s="73">
        <f t="shared" si="21"/>
        <v>-151.20000000000005</v>
      </c>
      <c r="AX25" s="21">
        <f t="shared" si="9"/>
        <v>636.4</v>
      </c>
      <c r="AY25" s="21">
        <f t="shared" si="10"/>
        <v>466.3</v>
      </c>
      <c r="AZ25" s="70">
        <f t="shared" si="11"/>
        <v>-151.20000000000005</v>
      </c>
      <c r="BA25" s="37"/>
      <c r="BB25" s="38"/>
      <c r="BC25" s="38"/>
      <c r="BD25" s="37"/>
      <c r="BE25" s="38"/>
      <c r="BF25" s="38"/>
      <c r="BG25" s="38"/>
      <c r="BH25" s="38"/>
    </row>
    <row r="26" spans="1:60" ht="34.5" customHeight="1">
      <c r="A26" s="12" t="s">
        <v>23</v>
      </c>
      <c r="B26" s="62" t="s">
        <v>99</v>
      </c>
      <c r="C26" s="71">
        <v>127.7</v>
      </c>
      <c r="D26" s="36">
        <v>26.1</v>
      </c>
      <c r="E26" s="36">
        <v>19.2</v>
      </c>
      <c r="F26" s="53">
        <f t="shared" si="1"/>
        <v>73.56321839080458</v>
      </c>
      <c r="G26" s="36">
        <v>28</v>
      </c>
      <c r="H26" s="36">
        <v>15.9</v>
      </c>
      <c r="I26" s="10">
        <f t="shared" si="3"/>
        <v>56.785714285714285</v>
      </c>
      <c r="J26" s="36">
        <v>29.7</v>
      </c>
      <c r="K26" s="36">
        <v>24.5</v>
      </c>
      <c r="L26" s="10">
        <f>K26/J26*100</f>
        <v>82.49158249158249</v>
      </c>
      <c r="M26" s="72">
        <f t="shared" si="12"/>
        <v>83.8</v>
      </c>
      <c r="N26" s="72">
        <f t="shared" si="13"/>
        <v>59.6</v>
      </c>
      <c r="O26" s="10">
        <f t="shared" si="5"/>
        <v>71.1217183770883</v>
      </c>
      <c r="P26" s="36"/>
      <c r="Q26" s="36"/>
      <c r="R26" s="10"/>
      <c r="S26" s="36"/>
      <c r="T26" s="36"/>
      <c r="U26" s="10"/>
      <c r="V26" s="36"/>
      <c r="W26" s="36"/>
      <c r="X26" s="10" t="e">
        <f>W26/V26*100</f>
        <v>#DIV/0!</v>
      </c>
      <c r="Y26" s="72">
        <f t="shared" si="14"/>
        <v>0</v>
      </c>
      <c r="Z26" s="72">
        <f t="shared" si="15"/>
        <v>0</v>
      </c>
      <c r="AA26" s="10" t="e">
        <f t="shared" si="7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6"/>
        <v>0</v>
      </c>
      <c r="AK26" s="72">
        <f t="shared" si="17"/>
        <v>0</v>
      </c>
      <c r="AL26" s="10" t="e">
        <f t="shared" si="8"/>
        <v>#DIV/0!</v>
      </c>
      <c r="AM26" s="36"/>
      <c r="AN26" s="36"/>
      <c r="AO26" s="36"/>
      <c r="AP26" s="36"/>
      <c r="AQ26" s="36"/>
      <c r="AR26" s="36"/>
      <c r="AS26" s="59">
        <f t="shared" si="18"/>
        <v>83.8</v>
      </c>
      <c r="AT26" s="59">
        <f t="shared" si="19"/>
        <v>59.6</v>
      </c>
      <c r="AU26" s="10">
        <f t="shared" si="2"/>
        <v>71.1217183770883</v>
      </c>
      <c r="AV26" s="72">
        <f t="shared" si="20"/>
        <v>24.199999999999996</v>
      </c>
      <c r="AW26" s="73">
        <f t="shared" si="21"/>
        <v>151.9</v>
      </c>
      <c r="AX26" s="21">
        <f t="shared" si="9"/>
        <v>83.8</v>
      </c>
      <c r="AY26" s="21">
        <f t="shared" si="10"/>
        <v>59.6</v>
      </c>
      <c r="AZ26" s="70">
        <f t="shared" si="11"/>
        <v>151.9</v>
      </c>
      <c r="BA26" s="37"/>
      <c r="BB26" s="38"/>
      <c r="BC26" s="38"/>
      <c r="BD26" s="37"/>
      <c r="BE26" s="38"/>
      <c r="BF26" s="38"/>
      <c r="BG26" s="38"/>
      <c r="BH26" s="38"/>
    </row>
    <row r="27" spans="1:60" ht="34.5" customHeight="1">
      <c r="A27" s="12" t="s">
        <v>24</v>
      </c>
      <c r="B27" s="62" t="s">
        <v>59</v>
      </c>
      <c r="C27" s="71">
        <v>-1191.9</v>
      </c>
      <c r="D27" s="36">
        <v>177.2</v>
      </c>
      <c r="E27" s="36">
        <v>470.2</v>
      </c>
      <c r="F27" s="53">
        <f t="shared" si="1"/>
        <v>265.34988713318285</v>
      </c>
      <c r="G27" s="36">
        <v>545.6</v>
      </c>
      <c r="H27" s="36">
        <v>219.9</v>
      </c>
      <c r="I27" s="10">
        <f t="shared" si="3"/>
        <v>40.30425219941349</v>
      </c>
      <c r="J27" s="36">
        <v>565.9</v>
      </c>
      <c r="K27" s="36">
        <v>392.2</v>
      </c>
      <c r="L27" s="10">
        <f>K27/J27*100</f>
        <v>69.30553101254638</v>
      </c>
      <c r="M27" s="72">
        <f t="shared" si="12"/>
        <v>1288.6999999999998</v>
      </c>
      <c r="N27" s="72">
        <f t="shared" si="13"/>
        <v>1082.3</v>
      </c>
      <c r="O27" s="10">
        <f t="shared" si="5"/>
        <v>83.98385970357725</v>
      </c>
      <c r="P27" s="36"/>
      <c r="Q27" s="36"/>
      <c r="R27" s="10"/>
      <c r="S27" s="36"/>
      <c r="T27" s="36"/>
      <c r="U27" s="10"/>
      <c r="V27" s="36"/>
      <c r="W27" s="36"/>
      <c r="X27" s="10" t="e">
        <f>W27/V27*100</f>
        <v>#DIV/0!</v>
      </c>
      <c r="Y27" s="72">
        <f t="shared" si="14"/>
        <v>0</v>
      </c>
      <c r="Z27" s="72">
        <f t="shared" si="15"/>
        <v>0</v>
      </c>
      <c r="AA27" s="10" t="e">
        <f t="shared" si="7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6"/>
        <v>0</v>
      </c>
      <c r="AK27" s="72">
        <f t="shared" si="17"/>
        <v>0</v>
      </c>
      <c r="AL27" s="10" t="e">
        <f t="shared" si="8"/>
        <v>#DIV/0!</v>
      </c>
      <c r="AM27" s="36"/>
      <c r="AN27" s="36"/>
      <c r="AO27" s="36"/>
      <c r="AP27" s="36"/>
      <c r="AQ27" s="36"/>
      <c r="AR27" s="36"/>
      <c r="AS27" s="59">
        <f t="shared" si="18"/>
        <v>1288.6999999999998</v>
      </c>
      <c r="AT27" s="59">
        <f t="shared" si="19"/>
        <v>1082.3</v>
      </c>
      <c r="AU27" s="10">
        <f t="shared" si="2"/>
        <v>83.98385970357725</v>
      </c>
      <c r="AV27" s="72">
        <f t="shared" si="20"/>
        <v>206.39999999999986</v>
      </c>
      <c r="AW27" s="73">
        <f>C27+AS27-AT27</f>
        <v>-985.5000000000002</v>
      </c>
      <c r="AX27" s="21">
        <f t="shared" si="9"/>
        <v>1288.6999999999998</v>
      </c>
      <c r="AY27" s="21">
        <f t="shared" si="10"/>
        <v>1082.3</v>
      </c>
      <c r="AZ27" s="70">
        <f t="shared" si="11"/>
        <v>-985.5000000000002</v>
      </c>
      <c r="BA27" s="37"/>
      <c r="BB27" s="38"/>
      <c r="BC27" s="38"/>
      <c r="BD27" s="37"/>
      <c r="BE27" s="38"/>
      <c r="BF27" s="38"/>
      <c r="BG27" s="38"/>
      <c r="BH27" s="38"/>
    </row>
    <row r="28" spans="1:60" ht="34.5" customHeight="1">
      <c r="A28" s="12" t="s">
        <v>25</v>
      </c>
      <c r="B28" s="115" t="s">
        <v>100</v>
      </c>
      <c r="C28" s="75">
        <v>108.8</v>
      </c>
      <c r="D28" s="36">
        <v>103.8</v>
      </c>
      <c r="E28" s="36">
        <v>138.2</v>
      </c>
      <c r="F28" s="53">
        <f t="shared" si="1"/>
        <v>133.14065510597302</v>
      </c>
      <c r="G28" s="36">
        <v>165.4</v>
      </c>
      <c r="H28" s="80">
        <v>113.6</v>
      </c>
      <c r="I28" s="10">
        <f t="shared" si="3"/>
        <v>68.68198307134219</v>
      </c>
      <c r="J28" s="36">
        <v>165.7</v>
      </c>
      <c r="K28" s="80">
        <v>159.9</v>
      </c>
      <c r="L28" s="76">
        <f>K28/J28*100</f>
        <v>96.49969824984913</v>
      </c>
      <c r="M28" s="72">
        <f t="shared" si="12"/>
        <v>434.9</v>
      </c>
      <c r="N28" s="72">
        <f t="shared" si="13"/>
        <v>411.7</v>
      </c>
      <c r="O28" s="10">
        <f t="shared" si="5"/>
        <v>94.6654403311106</v>
      </c>
      <c r="P28" s="36"/>
      <c r="Q28" s="80"/>
      <c r="R28" s="76"/>
      <c r="S28" s="36"/>
      <c r="T28" s="80"/>
      <c r="U28" s="76"/>
      <c r="V28" s="36"/>
      <c r="W28" s="80"/>
      <c r="X28" s="76" t="e">
        <f>W28/V28*100</f>
        <v>#DIV/0!</v>
      </c>
      <c r="Y28" s="72">
        <f t="shared" si="14"/>
        <v>0</v>
      </c>
      <c r="Z28" s="72">
        <f t="shared" si="15"/>
        <v>0</v>
      </c>
      <c r="AA28" s="10" t="e">
        <f t="shared" si="7"/>
        <v>#DIV/0!</v>
      </c>
      <c r="AB28" s="36"/>
      <c r="AC28" s="80"/>
      <c r="AD28" s="10"/>
      <c r="AE28" s="36"/>
      <c r="AF28" s="80"/>
      <c r="AG28" s="76"/>
      <c r="AH28" s="36"/>
      <c r="AI28" s="80"/>
      <c r="AJ28" s="72">
        <f t="shared" si="16"/>
        <v>0</v>
      </c>
      <c r="AK28" s="72">
        <f t="shared" si="17"/>
        <v>0</v>
      </c>
      <c r="AL28" s="10" t="e">
        <f t="shared" si="8"/>
        <v>#DIV/0!</v>
      </c>
      <c r="AM28" s="36"/>
      <c r="AN28" s="80"/>
      <c r="AO28" s="36"/>
      <c r="AP28" s="80"/>
      <c r="AQ28" s="36"/>
      <c r="AR28" s="80"/>
      <c r="AS28" s="59">
        <f t="shared" si="18"/>
        <v>434.9</v>
      </c>
      <c r="AT28" s="59">
        <f t="shared" si="19"/>
        <v>411.7</v>
      </c>
      <c r="AU28" s="10">
        <f t="shared" si="2"/>
        <v>94.6654403311106</v>
      </c>
      <c r="AV28" s="72">
        <f t="shared" si="20"/>
        <v>23.19999999999999</v>
      </c>
      <c r="AW28" s="73">
        <f t="shared" si="21"/>
        <v>131.99999999999994</v>
      </c>
      <c r="AX28" s="21">
        <f t="shared" si="9"/>
        <v>434.9</v>
      </c>
      <c r="AY28" s="21">
        <f t="shared" si="10"/>
        <v>411.7</v>
      </c>
      <c r="AZ28" s="70">
        <f t="shared" si="11"/>
        <v>131.99999999999994</v>
      </c>
      <c r="BA28" s="37"/>
      <c r="BB28" s="38"/>
      <c r="BC28" s="38"/>
      <c r="BD28" s="37"/>
      <c r="BE28" s="38"/>
      <c r="BF28" s="38"/>
      <c r="BG28" s="38"/>
      <c r="BH28" s="38"/>
    </row>
    <row r="29" spans="1:60" ht="34.5" customHeight="1">
      <c r="A29" s="12" t="s">
        <v>26</v>
      </c>
      <c r="B29" s="58" t="s">
        <v>2</v>
      </c>
      <c r="C29" s="54"/>
      <c r="D29" s="54"/>
      <c r="E29" s="54"/>
      <c r="F29" s="86" t="e">
        <f t="shared" si="1"/>
        <v>#DIV/0!</v>
      </c>
      <c r="G29" s="54"/>
      <c r="H29" s="54"/>
      <c r="I29" s="86" t="e">
        <f t="shared" si="3"/>
        <v>#DIV/0!</v>
      </c>
      <c r="J29" s="54"/>
      <c r="K29" s="54"/>
      <c r="L29" s="54"/>
      <c r="M29" s="72"/>
      <c r="N29" s="72"/>
      <c r="O29" s="10"/>
      <c r="P29" s="54"/>
      <c r="Q29" s="54"/>
      <c r="R29" s="54"/>
      <c r="S29" s="54"/>
      <c r="T29" s="54"/>
      <c r="U29" s="54"/>
      <c r="V29" s="54"/>
      <c r="W29" s="54"/>
      <c r="X29" s="54"/>
      <c r="Y29" s="72"/>
      <c r="Z29" s="72"/>
      <c r="AA29" s="10"/>
      <c r="AB29" s="54"/>
      <c r="AC29" s="54"/>
      <c r="AD29" s="10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54"/>
      <c r="AV29" s="72"/>
      <c r="AW29" s="81"/>
      <c r="AX29" s="21">
        <f t="shared" si="9"/>
        <v>0</v>
      </c>
      <c r="AY29" s="21">
        <f t="shared" si="10"/>
        <v>0</v>
      </c>
      <c r="AZ29" s="70">
        <f t="shared" si="11"/>
        <v>0</v>
      </c>
      <c r="BA29" s="37"/>
      <c r="BB29" s="38"/>
      <c r="BC29" s="38"/>
      <c r="BD29" s="37"/>
      <c r="BE29" s="38"/>
      <c r="BF29" s="38"/>
      <c r="BG29" s="38"/>
      <c r="BH29" s="38"/>
    </row>
    <row r="30" spans="1:60" ht="34.5" customHeight="1">
      <c r="A30" s="12" t="s">
        <v>27</v>
      </c>
      <c r="B30" s="62" t="s">
        <v>39</v>
      </c>
      <c r="C30" s="82">
        <v>-161.4</v>
      </c>
      <c r="D30" s="36">
        <v>46.9</v>
      </c>
      <c r="E30" s="36">
        <v>51</v>
      </c>
      <c r="F30" s="53">
        <f t="shared" si="1"/>
        <v>108.74200426439234</v>
      </c>
      <c r="G30" s="36">
        <v>93.5</v>
      </c>
      <c r="H30" s="36">
        <v>55.6</v>
      </c>
      <c r="I30" s="10">
        <f t="shared" si="3"/>
        <v>59.46524064171123</v>
      </c>
      <c r="J30" s="36">
        <v>102.9</v>
      </c>
      <c r="K30" s="36">
        <v>80.6</v>
      </c>
      <c r="L30" s="61">
        <f aca="true" t="shared" si="22" ref="L30:L45">K30/J30*100</f>
        <v>78.32847424684158</v>
      </c>
      <c r="M30" s="72">
        <f t="shared" si="12"/>
        <v>243.3</v>
      </c>
      <c r="N30" s="72">
        <f t="shared" si="13"/>
        <v>187.2</v>
      </c>
      <c r="O30" s="10">
        <f t="shared" si="5"/>
        <v>76.94204685573366</v>
      </c>
      <c r="P30" s="36"/>
      <c r="Q30" s="36"/>
      <c r="R30" s="104"/>
      <c r="S30" s="36"/>
      <c r="T30" s="36"/>
      <c r="U30" s="104"/>
      <c r="V30" s="36"/>
      <c r="W30" s="36"/>
      <c r="X30" s="104" t="e">
        <f aca="true" t="shared" si="23" ref="X30:X43">W30/V30*100</f>
        <v>#DIV/0!</v>
      </c>
      <c r="Y30" s="72">
        <f aca="true" t="shared" si="24" ref="Y30:Y42">P30+S30+V30</f>
        <v>0</v>
      </c>
      <c r="Z30" s="72">
        <f aca="true" t="shared" si="25" ref="Z30:Z42">Q30+T30+W30</f>
        <v>0</v>
      </c>
      <c r="AA30" s="10" t="e">
        <f t="shared" si="7"/>
        <v>#DIV/0!</v>
      </c>
      <c r="AB30" s="36"/>
      <c r="AC30" s="36"/>
      <c r="AD30" s="10"/>
      <c r="AE30" s="36"/>
      <c r="AF30" s="36"/>
      <c r="AG30" s="104"/>
      <c r="AH30" s="36"/>
      <c r="AI30" s="36"/>
      <c r="AJ30" s="72">
        <f t="shared" si="16"/>
        <v>0</v>
      </c>
      <c r="AK30" s="72">
        <f t="shared" si="17"/>
        <v>0</v>
      </c>
      <c r="AL30" s="10" t="e">
        <f aca="true" t="shared" si="26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8"/>
        <v>243.3</v>
      </c>
      <c r="AT30" s="59">
        <f t="shared" si="19"/>
        <v>187.2</v>
      </c>
      <c r="AU30" s="10">
        <f t="shared" si="2"/>
        <v>76.94204685573366</v>
      </c>
      <c r="AV30" s="72">
        <f t="shared" si="20"/>
        <v>56.10000000000002</v>
      </c>
      <c r="AW30" s="73">
        <f t="shared" si="21"/>
        <v>-105.29999999999998</v>
      </c>
      <c r="AX30" s="21">
        <f t="shared" si="9"/>
        <v>243.3</v>
      </c>
      <c r="AY30" s="21">
        <f t="shared" si="10"/>
        <v>187.2</v>
      </c>
      <c r="AZ30" s="70">
        <f t="shared" si="11"/>
        <v>-105.29999999999998</v>
      </c>
      <c r="BA30" s="37"/>
      <c r="BB30" s="38"/>
      <c r="BC30" s="38"/>
      <c r="BD30" s="37"/>
      <c r="BE30" s="38"/>
      <c r="BF30" s="38"/>
      <c r="BG30" s="38"/>
      <c r="BH30" s="38"/>
    </row>
    <row r="31" spans="1:60" ht="34.5" customHeight="1">
      <c r="A31" s="12" t="s">
        <v>28</v>
      </c>
      <c r="B31" s="62" t="s">
        <v>3</v>
      </c>
      <c r="C31" s="71">
        <v>-1308.4</v>
      </c>
      <c r="D31" s="36">
        <v>9.8</v>
      </c>
      <c r="E31" s="36">
        <v>78.8</v>
      </c>
      <c r="F31" s="53">
        <f t="shared" si="1"/>
        <v>804.0816326530612</v>
      </c>
      <c r="G31" s="36">
        <v>170.9</v>
      </c>
      <c r="H31" s="36">
        <v>77.5</v>
      </c>
      <c r="I31" s="10">
        <f t="shared" si="3"/>
        <v>45.34815681685196</v>
      </c>
      <c r="J31" s="36">
        <v>179.7</v>
      </c>
      <c r="K31" s="36">
        <v>96.5</v>
      </c>
      <c r="L31" s="61">
        <f t="shared" si="22"/>
        <v>53.70061213133</v>
      </c>
      <c r="M31" s="72">
        <f t="shared" si="12"/>
        <v>360.4</v>
      </c>
      <c r="N31" s="72">
        <f t="shared" si="13"/>
        <v>252.8</v>
      </c>
      <c r="O31" s="10">
        <f t="shared" si="5"/>
        <v>70.14428412874585</v>
      </c>
      <c r="P31" s="36"/>
      <c r="Q31" s="36"/>
      <c r="R31" s="104"/>
      <c r="S31" s="36"/>
      <c r="T31" s="36"/>
      <c r="U31" s="104"/>
      <c r="V31" s="36"/>
      <c r="W31" s="36"/>
      <c r="X31" s="104" t="e">
        <f t="shared" si="23"/>
        <v>#DIV/0!</v>
      </c>
      <c r="Y31" s="72">
        <f t="shared" si="24"/>
        <v>0</v>
      </c>
      <c r="Z31" s="72">
        <f t="shared" si="25"/>
        <v>0</v>
      </c>
      <c r="AA31" s="10" t="e">
        <f t="shared" si="7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6"/>
        <v>0</v>
      </c>
      <c r="AK31" s="72">
        <f t="shared" si="17"/>
        <v>0</v>
      </c>
      <c r="AL31" s="10" t="e">
        <f t="shared" si="26"/>
        <v>#DIV/0!</v>
      </c>
      <c r="AM31" s="36"/>
      <c r="AN31" s="36"/>
      <c r="AO31" s="36"/>
      <c r="AP31" s="36"/>
      <c r="AQ31" s="36"/>
      <c r="AR31" s="36"/>
      <c r="AS31" s="59">
        <f t="shared" si="18"/>
        <v>360.4</v>
      </c>
      <c r="AT31" s="59">
        <f t="shared" si="19"/>
        <v>252.8</v>
      </c>
      <c r="AU31" s="10">
        <f t="shared" si="2"/>
        <v>70.14428412874585</v>
      </c>
      <c r="AV31" s="72">
        <f t="shared" si="20"/>
        <v>107.59999999999997</v>
      </c>
      <c r="AW31" s="73">
        <f t="shared" si="21"/>
        <v>-1200.8000000000002</v>
      </c>
      <c r="AX31" s="21">
        <f t="shared" si="9"/>
        <v>360.4</v>
      </c>
      <c r="AY31" s="21">
        <f t="shared" si="10"/>
        <v>252.8</v>
      </c>
      <c r="AZ31" s="70">
        <f t="shared" si="11"/>
        <v>-1200.8000000000002</v>
      </c>
      <c r="BA31" s="37"/>
      <c r="BB31" s="38"/>
      <c r="BC31" s="38"/>
      <c r="BD31" s="37"/>
      <c r="BE31" s="38"/>
      <c r="BF31" s="38"/>
      <c r="BG31" s="38"/>
      <c r="BH31" s="38"/>
    </row>
    <row r="32" spans="1:60" ht="34.5" customHeight="1">
      <c r="A32" s="12" t="s">
        <v>29</v>
      </c>
      <c r="B32" s="62" t="s">
        <v>101</v>
      </c>
      <c r="C32" s="15">
        <f>SUM(C33:C34)</f>
        <v>7502.2</v>
      </c>
      <c r="D32" s="15">
        <f>SUM(D33:D34)</f>
        <v>2148.4</v>
      </c>
      <c r="E32" s="15">
        <f>SUM(E33:E34)</f>
        <v>2034.2</v>
      </c>
      <c r="F32" s="53">
        <f t="shared" si="1"/>
        <v>94.68441630981195</v>
      </c>
      <c r="G32" s="15">
        <f>SUM(G33:G34)</f>
        <v>2346.5</v>
      </c>
      <c r="H32" s="15">
        <f>SUM(H33:H34)</f>
        <v>1586.4</v>
      </c>
      <c r="I32" s="10">
        <f t="shared" si="3"/>
        <v>67.60707436607714</v>
      </c>
      <c r="J32" s="15">
        <f>SUM(J33:J34)</f>
        <v>3242.5</v>
      </c>
      <c r="K32" s="15">
        <f>SUM(K33:K34)</f>
        <v>2007.3000000000002</v>
      </c>
      <c r="L32" s="61">
        <f t="shared" si="22"/>
        <v>61.905936777178106</v>
      </c>
      <c r="M32" s="10"/>
      <c r="N32" s="10"/>
      <c r="O32" s="10"/>
      <c r="P32" s="122"/>
      <c r="Q32" s="122"/>
      <c r="R32" s="104"/>
      <c r="S32" s="122"/>
      <c r="T32" s="122"/>
      <c r="U32" s="104"/>
      <c r="V32" s="122"/>
      <c r="W32" s="122"/>
      <c r="X32" s="104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15">
        <f>SUM(AS33:AS34)</f>
        <v>7737.4</v>
      </c>
      <c r="AT32" s="15">
        <f>SUM(AT33:AT34)</f>
        <v>5627.900000000001</v>
      </c>
      <c r="AU32" s="10">
        <f t="shared" si="2"/>
        <v>72.73631969395406</v>
      </c>
      <c r="AV32" s="15">
        <f>SUM(AV33:AV34)</f>
        <v>2109.5</v>
      </c>
      <c r="AW32" s="15">
        <f>SUM(AW33:AW34)</f>
        <v>9611.7</v>
      </c>
      <c r="AX32" s="21">
        <f t="shared" si="9"/>
        <v>7737.4</v>
      </c>
      <c r="AY32" s="21">
        <f t="shared" si="10"/>
        <v>5627.900000000001</v>
      </c>
      <c r="AZ32" s="70">
        <f t="shared" si="11"/>
        <v>9611.699999999997</v>
      </c>
      <c r="BA32" s="37"/>
      <c r="BB32" s="38"/>
      <c r="BC32" s="38"/>
      <c r="BD32" s="37"/>
      <c r="BE32" s="38"/>
      <c r="BF32" s="38"/>
      <c r="BG32" s="38"/>
      <c r="BH32" s="38"/>
    </row>
    <row r="33" spans="1:60" ht="34.5" customHeight="1">
      <c r="A33" s="12"/>
      <c r="B33" s="62" t="s">
        <v>102</v>
      </c>
      <c r="C33" s="71">
        <v>6370.7</v>
      </c>
      <c r="D33" s="80">
        <v>1695.6</v>
      </c>
      <c r="E33" s="36">
        <v>1602.7</v>
      </c>
      <c r="F33" s="53">
        <f>E33/D33*100</f>
        <v>94.52111347015807</v>
      </c>
      <c r="G33" s="36">
        <v>1847.2</v>
      </c>
      <c r="H33" s="36">
        <v>1248</v>
      </c>
      <c r="I33" s="10">
        <f t="shared" si="3"/>
        <v>67.56171502815072</v>
      </c>
      <c r="J33" s="36">
        <v>1847.2</v>
      </c>
      <c r="K33" s="36">
        <v>1616.9</v>
      </c>
      <c r="L33" s="10">
        <f t="shared" si="22"/>
        <v>87.53248159376353</v>
      </c>
      <c r="M33" s="72">
        <f t="shared" si="12"/>
        <v>5390</v>
      </c>
      <c r="N33" s="72">
        <f t="shared" si="13"/>
        <v>4467.6</v>
      </c>
      <c r="O33" s="10">
        <f t="shared" si="5"/>
        <v>82.88682745825604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3"/>
        <v>#DIV/0!</v>
      </c>
      <c r="Y33" s="72">
        <f t="shared" si="24"/>
        <v>0</v>
      </c>
      <c r="Z33" s="72">
        <f t="shared" si="25"/>
        <v>0</v>
      </c>
      <c r="AA33" s="10" t="e">
        <f t="shared" si="7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6"/>
        <v>0</v>
      </c>
      <c r="AK33" s="72">
        <f t="shared" si="17"/>
        <v>0</v>
      </c>
      <c r="AL33" s="10" t="e">
        <f t="shared" si="26"/>
        <v>#DIV/0!</v>
      </c>
      <c r="AM33" s="36"/>
      <c r="AN33" s="36"/>
      <c r="AO33" s="36"/>
      <c r="AP33" s="36"/>
      <c r="AQ33" s="36"/>
      <c r="AR33" s="36"/>
      <c r="AS33" s="59">
        <f aca="true" t="shared" si="27" ref="AS33:AT35">M33+Y33+AJ33+AM33+AO33+AQ33</f>
        <v>5390</v>
      </c>
      <c r="AT33" s="59">
        <f t="shared" si="27"/>
        <v>4467.6</v>
      </c>
      <c r="AU33" s="10">
        <f t="shared" si="2"/>
        <v>82.88682745825604</v>
      </c>
      <c r="AV33" s="72">
        <f t="shared" si="20"/>
        <v>922.3999999999996</v>
      </c>
      <c r="AW33" s="73">
        <f t="shared" si="21"/>
        <v>7293.1</v>
      </c>
      <c r="AX33" s="21">
        <f t="shared" si="9"/>
        <v>5390</v>
      </c>
      <c r="AY33" s="21">
        <f t="shared" si="10"/>
        <v>4467.6</v>
      </c>
      <c r="AZ33" s="70">
        <f t="shared" si="11"/>
        <v>7293.1</v>
      </c>
      <c r="BA33" s="37"/>
      <c r="BB33" s="38"/>
      <c r="BC33" s="38"/>
      <c r="BD33" s="37"/>
      <c r="BE33" s="38"/>
      <c r="BF33" s="38"/>
      <c r="BG33" s="38"/>
      <c r="BH33" s="38"/>
    </row>
    <row r="34" spans="1:60" ht="34.5" customHeight="1">
      <c r="A34" s="12"/>
      <c r="B34" s="62" t="s">
        <v>103</v>
      </c>
      <c r="C34" s="34">
        <v>1131.5</v>
      </c>
      <c r="D34" s="80">
        <v>452.8</v>
      </c>
      <c r="E34" s="36">
        <v>431.5</v>
      </c>
      <c r="F34" s="53">
        <f>E34/D34*100</f>
        <v>95.29593639575971</v>
      </c>
      <c r="G34" s="36">
        <v>499.3</v>
      </c>
      <c r="H34" s="36">
        <v>338.4</v>
      </c>
      <c r="I34" s="10">
        <f t="shared" si="3"/>
        <v>67.77488483877427</v>
      </c>
      <c r="J34" s="36">
        <v>1395.3</v>
      </c>
      <c r="K34" s="36">
        <v>390.4</v>
      </c>
      <c r="L34" s="10">
        <f t="shared" si="22"/>
        <v>27.979645954275068</v>
      </c>
      <c r="M34" s="72">
        <f t="shared" si="12"/>
        <v>2347.4</v>
      </c>
      <c r="N34" s="72">
        <f t="shared" si="13"/>
        <v>1160.3</v>
      </c>
      <c r="O34" s="10">
        <f t="shared" si="5"/>
        <v>49.429155661583025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3"/>
        <v>#DIV/0!</v>
      </c>
      <c r="Y34" s="72">
        <f>P34+S34+V34</f>
        <v>0</v>
      </c>
      <c r="Z34" s="72">
        <f>Q34+T34+W34</f>
        <v>0</v>
      </c>
      <c r="AA34" s="10" t="e">
        <f t="shared" si="7"/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6"/>
        <v>0</v>
      </c>
      <c r="AK34" s="72">
        <f t="shared" si="17"/>
        <v>0</v>
      </c>
      <c r="AL34" s="10" t="e">
        <f>AK34/AJ34*100</f>
        <v>#DIV/0!</v>
      </c>
      <c r="AM34" s="36"/>
      <c r="AN34" s="36"/>
      <c r="AO34" s="36"/>
      <c r="AP34" s="36"/>
      <c r="AQ34" s="36"/>
      <c r="AR34" s="36"/>
      <c r="AS34" s="59">
        <f t="shared" si="27"/>
        <v>2347.4</v>
      </c>
      <c r="AT34" s="59">
        <f t="shared" si="27"/>
        <v>1160.3</v>
      </c>
      <c r="AU34" s="10">
        <f t="shared" si="2"/>
        <v>49.429155661583025</v>
      </c>
      <c r="AV34" s="72">
        <f t="shared" si="20"/>
        <v>1187.1000000000001</v>
      </c>
      <c r="AW34" s="73">
        <f t="shared" si="21"/>
        <v>2318.6000000000004</v>
      </c>
      <c r="AX34" s="21">
        <f t="shared" si="9"/>
        <v>2347.4</v>
      </c>
      <c r="AY34" s="21">
        <f t="shared" si="10"/>
        <v>1160.3</v>
      </c>
      <c r="AZ34" s="70">
        <f t="shared" si="11"/>
        <v>2318.6000000000004</v>
      </c>
      <c r="BA34" s="37"/>
      <c r="BB34" s="38"/>
      <c r="BC34" s="38"/>
      <c r="BD34" s="37"/>
      <c r="BE34" s="38"/>
      <c r="BF34" s="38"/>
      <c r="BG34" s="38"/>
      <c r="BH34" s="38"/>
    </row>
    <row r="35" spans="1:60" ht="34.5" customHeight="1">
      <c r="A35" s="12" t="s">
        <v>30</v>
      </c>
      <c r="B35" s="62" t="s">
        <v>60</v>
      </c>
      <c r="C35" s="34">
        <v>1852.1</v>
      </c>
      <c r="D35" s="35">
        <v>505.9</v>
      </c>
      <c r="E35" s="35">
        <v>339.6</v>
      </c>
      <c r="F35" s="53">
        <f>E35/D35*100</f>
        <v>67.12789088752719</v>
      </c>
      <c r="G35" s="36">
        <v>553.8</v>
      </c>
      <c r="H35" s="36">
        <v>445.9</v>
      </c>
      <c r="I35" s="10">
        <f t="shared" si="3"/>
        <v>80.51643192488264</v>
      </c>
      <c r="J35" s="36">
        <v>598.8</v>
      </c>
      <c r="K35" s="36">
        <v>535.7</v>
      </c>
      <c r="L35" s="10">
        <f t="shared" si="22"/>
        <v>89.46225784903142</v>
      </c>
      <c r="M35" s="72">
        <f t="shared" si="12"/>
        <v>1658.4999999999998</v>
      </c>
      <c r="N35" s="72">
        <f t="shared" si="13"/>
        <v>1321.2</v>
      </c>
      <c r="O35" s="10">
        <f t="shared" si="5"/>
        <v>79.66234549291529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3"/>
        <v>#DIV/0!</v>
      </c>
      <c r="Y35" s="72">
        <f t="shared" si="24"/>
        <v>0</v>
      </c>
      <c r="Z35" s="72">
        <f t="shared" si="25"/>
        <v>0</v>
      </c>
      <c r="AA35" s="10" t="e">
        <f aca="true" t="shared" si="28" ref="AA35:AA45">Z35/Y35*100</f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6"/>
        <v>0</v>
      </c>
      <c r="AK35" s="72">
        <f t="shared" si="17"/>
        <v>0</v>
      </c>
      <c r="AL35" s="10" t="e">
        <f t="shared" si="26"/>
        <v>#DIV/0!</v>
      </c>
      <c r="AM35" s="36"/>
      <c r="AN35" s="36"/>
      <c r="AO35" s="36"/>
      <c r="AP35" s="36"/>
      <c r="AQ35" s="36"/>
      <c r="AR35" s="36"/>
      <c r="AS35" s="59">
        <f t="shared" si="27"/>
        <v>1658.4999999999998</v>
      </c>
      <c r="AT35" s="59">
        <f t="shared" si="27"/>
        <v>1321.2</v>
      </c>
      <c r="AU35" s="10">
        <f t="shared" si="2"/>
        <v>79.66234549291529</v>
      </c>
      <c r="AV35" s="72">
        <f t="shared" si="20"/>
        <v>337.2999999999997</v>
      </c>
      <c r="AW35" s="73">
        <f t="shared" si="21"/>
        <v>2189.3999999999996</v>
      </c>
      <c r="AX35" s="21">
        <f t="shared" si="9"/>
        <v>1658.4999999999998</v>
      </c>
      <c r="AY35" s="21">
        <f t="shared" si="10"/>
        <v>1321.2</v>
      </c>
      <c r="AZ35" s="70">
        <f t="shared" si="11"/>
        <v>2189.3999999999996</v>
      </c>
      <c r="BA35" s="37"/>
      <c r="BB35" s="38"/>
      <c r="BC35" s="38"/>
      <c r="BD35" s="37"/>
      <c r="BE35" s="38"/>
      <c r="BF35" s="38"/>
      <c r="BG35" s="38"/>
      <c r="BH35" s="38"/>
    </row>
    <row r="36" spans="1:60" ht="34.5" customHeight="1">
      <c r="A36" s="12" t="s">
        <v>31</v>
      </c>
      <c r="B36" s="116" t="s">
        <v>61</v>
      </c>
      <c r="C36" s="74">
        <v>45.9</v>
      </c>
      <c r="D36" s="65">
        <v>111.5</v>
      </c>
      <c r="E36" s="65">
        <v>238.6</v>
      </c>
      <c r="F36" s="53">
        <f>E36/D36*100</f>
        <v>213.99103139013454</v>
      </c>
      <c r="G36" s="36">
        <v>339.7</v>
      </c>
      <c r="H36" s="36">
        <v>225.7</v>
      </c>
      <c r="I36" s="10">
        <f t="shared" si="3"/>
        <v>66.44097733294083</v>
      </c>
      <c r="J36" s="36">
        <v>298.4</v>
      </c>
      <c r="K36" s="36">
        <v>237.8</v>
      </c>
      <c r="L36" s="10">
        <f t="shared" si="22"/>
        <v>79.69168900804291</v>
      </c>
      <c r="M36" s="72">
        <f t="shared" si="12"/>
        <v>749.5999999999999</v>
      </c>
      <c r="N36" s="72">
        <f t="shared" si="13"/>
        <v>702.0999999999999</v>
      </c>
      <c r="O36" s="10">
        <f t="shared" si="5"/>
        <v>93.6632870864461</v>
      </c>
      <c r="P36" s="36"/>
      <c r="Q36" s="36"/>
      <c r="R36" s="10"/>
      <c r="S36" s="36"/>
      <c r="T36" s="36"/>
      <c r="U36" s="10"/>
      <c r="V36" s="36"/>
      <c r="W36" s="36"/>
      <c r="X36" s="10" t="e">
        <f t="shared" si="23"/>
        <v>#DIV/0!</v>
      </c>
      <c r="Y36" s="72">
        <f t="shared" si="24"/>
        <v>0</v>
      </c>
      <c r="Z36" s="72">
        <f t="shared" si="25"/>
        <v>0</v>
      </c>
      <c r="AA36" s="10" t="e">
        <f t="shared" si="28"/>
        <v>#DIV/0!</v>
      </c>
      <c r="AB36" s="36"/>
      <c r="AC36" s="36"/>
      <c r="AD36" s="10"/>
      <c r="AE36" s="36"/>
      <c r="AF36" s="36"/>
      <c r="AG36" s="10"/>
      <c r="AH36" s="36"/>
      <c r="AI36" s="36"/>
      <c r="AJ36" s="72">
        <f t="shared" si="16"/>
        <v>0</v>
      </c>
      <c r="AK36" s="72">
        <f t="shared" si="17"/>
        <v>0</v>
      </c>
      <c r="AL36" s="10" t="e">
        <f t="shared" si="26"/>
        <v>#DIV/0!</v>
      </c>
      <c r="AM36" s="36"/>
      <c r="AN36" s="36"/>
      <c r="AO36" s="36"/>
      <c r="AP36" s="36"/>
      <c r="AQ36" s="36"/>
      <c r="AR36" s="36"/>
      <c r="AS36" s="59">
        <f t="shared" si="18"/>
        <v>749.5999999999999</v>
      </c>
      <c r="AT36" s="59">
        <f t="shared" si="19"/>
        <v>702.0999999999999</v>
      </c>
      <c r="AU36" s="10">
        <f t="shared" si="2"/>
        <v>93.6632870864461</v>
      </c>
      <c r="AV36" s="72">
        <f t="shared" si="20"/>
        <v>47.5</v>
      </c>
      <c r="AW36" s="73">
        <f t="shared" si="21"/>
        <v>93.39999999999998</v>
      </c>
      <c r="AX36" s="21">
        <f t="shared" si="9"/>
        <v>749.5999999999999</v>
      </c>
      <c r="AY36" s="21">
        <f t="shared" si="10"/>
        <v>702.0999999999999</v>
      </c>
      <c r="AZ36" s="70">
        <f t="shared" si="11"/>
        <v>93.39999999999998</v>
      </c>
      <c r="BA36" s="37"/>
      <c r="BB36" s="38"/>
      <c r="BC36" s="38"/>
      <c r="BD36" s="37"/>
      <c r="BE36" s="38"/>
      <c r="BF36" s="38"/>
      <c r="BG36" s="38"/>
      <c r="BH36" s="38"/>
    </row>
    <row r="37" spans="1:60" ht="34.5" customHeight="1">
      <c r="A37" s="12" t="s">
        <v>32</v>
      </c>
      <c r="B37" s="117" t="s">
        <v>62</v>
      </c>
      <c r="C37" s="74">
        <v>816.6</v>
      </c>
      <c r="D37" s="36">
        <v>1011.8</v>
      </c>
      <c r="E37" s="36">
        <v>1445</v>
      </c>
      <c r="F37" s="53">
        <f aca="true" t="shared" si="29" ref="F37:F43">E37/D37*100</f>
        <v>142.8147855307373</v>
      </c>
      <c r="G37" s="36">
        <v>2214.2</v>
      </c>
      <c r="H37" s="36">
        <v>1289.3</v>
      </c>
      <c r="I37" s="10">
        <f t="shared" si="3"/>
        <v>58.2287056273146</v>
      </c>
      <c r="J37" s="36">
        <v>2260.6</v>
      </c>
      <c r="K37" s="36">
        <v>1791.7</v>
      </c>
      <c r="L37" s="10">
        <f t="shared" si="22"/>
        <v>79.25771918959569</v>
      </c>
      <c r="M37" s="72">
        <f t="shared" si="12"/>
        <v>5486.6</v>
      </c>
      <c r="N37" s="72">
        <f t="shared" si="13"/>
        <v>4526</v>
      </c>
      <c r="O37" s="10">
        <f t="shared" si="5"/>
        <v>82.49188933036852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3"/>
        <v>#DIV/0!</v>
      </c>
      <c r="Y37" s="72">
        <f t="shared" si="24"/>
        <v>0</v>
      </c>
      <c r="Z37" s="72">
        <f t="shared" si="25"/>
        <v>0</v>
      </c>
      <c r="AA37" s="10" t="e">
        <f t="shared" si="28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6"/>
        <v>0</v>
      </c>
      <c r="AK37" s="72">
        <f t="shared" si="17"/>
        <v>0</v>
      </c>
      <c r="AL37" s="10" t="e">
        <f t="shared" si="26"/>
        <v>#DIV/0!</v>
      </c>
      <c r="AM37" s="36"/>
      <c r="AN37" s="36"/>
      <c r="AO37" s="36"/>
      <c r="AP37" s="36"/>
      <c r="AQ37" s="36"/>
      <c r="AR37" s="36"/>
      <c r="AS37" s="59">
        <f t="shared" si="18"/>
        <v>5486.6</v>
      </c>
      <c r="AT37" s="59">
        <f t="shared" si="19"/>
        <v>4526</v>
      </c>
      <c r="AU37" s="10">
        <f t="shared" si="2"/>
        <v>82.49188933036852</v>
      </c>
      <c r="AV37" s="72">
        <f t="shared" si="20"/>
        <v>960.6000000000004</v>
      </c>
      <c r="AW37" s="73">
        <f t="shared" si="21"/>
        <v>1777.2000000000007</v>
      </c>
      <c r="AX37" s="21">
        <f t="shared" si="9"/>
        <v>5486.6</v>
      </c>
      <c r="AY37" s="21">
        <f t="shared" si="10"/>
        <v>4526</v>
      </c>
      <c r="AZ37" s="70">
        <f t="shared" si="11"/>
        <v>1777.2000000000007</v>
      </c>
      <c r="BA37" s="37"/>
      <c r="BB37" s="38"/>
      <c r="BC37" s="38"/>
      <c r="BD37" s="37"/>
      <c r="BE37" s="38"/>
      <c r="BF37" s="38"/>
      <c r="BG37" s="38"/>
      <c r="BH37" s="38"/>
    </row>
    <row r="38" spans="1:60" ht="34.5" customHeight="1">
      <c r="A38" s="12" t="s">
        <v>33</v>
      </c>
      <c r="B38" s="117" t="s">
        <v>104</v>
      </c>
      <c r="C38" s="74">
        <v>678.9</v>
      </c>
      <c r="D38" s="36">
        <v>923.1</v>
      </c>
      <c r="E38" s="36">
        <v>1286.8</v>
      </c>
      <c r="F38" s="53">
        <f t="shared" si="29"/>
        <v>139.3998483371249</v>
      </c>
      <c r="G38" s="36">
        <v>2368.2</v>
      </c>
      <c r="H38" s="36">
        <v>1345.1</v>
      </c>
      <c r="I38" s="10">
        <f t="shared" si="3"/>
        <v>56.79841229625876</v>
      </c>
      <c r="J38" s="36">
        <v>3974.8</v>
      </c>
      <c r="K38" s="36">
        <v>1685.3</v>
      </c>
      <c r="L38" s="10">
        <f t="shared" si="22"/>
        <v>42.399617590822174</v>
      </c>
      <c r="M38" s="72">
        <f t="shared" si="12"/>
        <v>7266.1</v>
      </c>
      <c r="N38" s="72">
        <f t="shared" si="13"/>
        <v>4317.2</v>
      </c>
      <c r="O38" s="10">
        <f t="shared" si="5"/>
        <v>59.41564250423198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3"/>
        <v>#DIV/0!</v>
      </c>
      <c r="Y38" s="72">
        <f t="shared" si="24"/>
        <v>0</v>
      </c>
      <c r="Z38" s="72">
        <f t="shared" si="25"/>
        <v>0</v>
      </c>
      <c r="AA38" s="10" t="e">
        <f t="shared" si="28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6"/>
        <v>0</v>
      </c>
      <c r="AK38" s="72">
        <f t="shared" si="17"/>
        <v>0</v>
      </c>
      <c r="AL38" s="10" t="e">
        <f t="shared" si="26"/>
        <v>#DIV/0!</v>
      </c>
      <c r="AM38" s="36"/>
      <c r="AN38" s="36"/>
      <c r="AO38" s="36"/>
      <c r="AP38" s="36"/>
      <c r="AQ38" s="36"/>
      <c r="AR38" s="36"/>
      <c r="AS38" s="59">
        <f>M38+Y38+AJ38+AM38+AO38+AQ38</f>
        <v>7266.1</v>
      </c>
      <c r="AT38" s="59">
        <f t="shared" si="19"/>
        <v>4317.2</v>
      </c>
      <c r="AU38" s="10">
        <f t="shared" si="2"/>
        <v>59.41564250423198</v>
      </c>
      <c r="AV38" s="72">
        <f t="shared" si="20"/>
        <v>2948.9000000000005</v>
      </c>
      <c r="AW38" s="73">
        <f t="shared" si="21"/>
        <v>3627.8</v>
      </c>
      <c r="AX38" s="21">
        <f t="shared" si="9"/>
        <v>7266.1</v>
      </c>
      <c r="AY38" s="21">
        <f t="shared" si="10"/>
        <v>4317.2</v>
      </c>
      <c r="AZ38" s="70">
        <f t="shared" si="11"/>
        <v>3627.8</v>
      </c>
      <c r="BA38" s="37"/>
      <c r="BB38" s="38"/>
      <c r="BC38" s="38"/>
      <c r="BD38" s="37"/>
      <c r="BE38" s="38"/>
      <c r="BF38" s="38"/>
      <c r="BG38" s="38"/>
      <c r="BH38" s="38"/>
    </row>
    <row r="39" spans="1:60" ht="34.5" customHeight="1">
      <c r="A39" s="12" t="s">
        <v>34</v>
      </c>
      <c r="B39" s="117" t="s">
        <v>4</v>
      </c>
      <c r="C39" s="71">
        <v>13899.3</v>
      </c>
      <c r="D39" s="36">
        <v>1613.3</v>
      </c>
      <c r="E39" s="36">
        <v>2181.7</v>
      </c>
      <c r="F39" s="53">
        <f t="shared" si="29"/>
        <v>135.23213289530776</v>
      </c>
      <c r="G39" s="36">
        <v>2102.5</v>
      </c>
      <c r="H39" s="36">
        <v>2273.1</v>
      </c>
      <c r="I39" s="10">
        <f t="shared" si="3"/>
        <v>108.1141498216409</v>
      </c>
      <c r="J39" s="36">
        <v>4441.3</v>
      </c>
      <c r="K39" s="36">
        <v>3362.1</v>
      </c>
      <c r="L39" s="10">
        <f t="shared" si="22"/>
        <v>75.70080832188773</v>
      </c>
      <c r="M39" s="72">
        <f t="shared" si="12"/>
        <v>8157.1</v>
      </c>
      <c r="N39" s="72">
        <f t="shared" si="13"/>
        <v>7816.9</v>
      </c>
      <c r="O39" s="10">
        <f t="shared" si="5"/>
        <v>95.82940015446665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23"/>
        <v>#DIV/0!</v>
      </c>
      <c r="Y39" s="72">
        <f t="shared" si="24"/>
        <v>0</v>
      </c>
      <c r="Z39" s="72">
        <f t="shared" si="25"/>
        <v>0</v>
      </c>
      <c r="AA39" s="10" t="e">
        <f t="shared" si="28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6"/>
        <v>0</v>
      </c>
      <c r="AK39" s="72">
        <f t="shared" si="17"/>
        <v>0</v>
      </c>
      <c r="AL39" s="10" t="e">
        <f t="shared" si="26"/>
        <v>#DIV/0!</v>
      </c>
      <c r="AM39" s="36"/>
      <c r="AN39" s="36"/>
      <c r="AO39" s="36"/>
      <c r="AP39" s="36"/>
      <c r="AQ39" s="36"/>
      <c r="AR39" s="36"/>
      <c r="AS39" s="59">
        <f t="shared" si="18"/>
        <v>8157.1</v>
      </c>
      <c r="AT39" s="59">
        <f t="shared" si="19"/>
        <v>7816.9</v>
      </c>
      <c r="AU39" s="10">
        <f t="shared" si="2"/>
        <v>95.82940015446665</v>
      </c>
      <c r="AV39" s="72">
        <f t="shared" si="20"/>
        <v>340.2000000000007</v>
      </c>
      <c r="AW39" s="73">
        <f t="shared" si="21"/>
        <v>14239.500000000002</v>
      </c>
      <c r="AX39" s="21">
        <f t="shared" si="9"/>
        <v>8157.1</v>
      </c>
      <c r="AY39" s="21">
        <f t="shared" si="10"/>
        <v>7816.9</v>
      </c>
      <c r="AZ39" s="70">
        <f t="shared" si="11"/>
        <v>14239.500000000002</v>
      </c>
      <c r="BA39" s="37"/>
      <c r="BB39" s="38"/>
      <c r="BC39" s="38"/>
      <c r="BD39" s="37"/>
      <c r="BE39" s="38"/>
      <c r="BF39" s="38"/>
      <c r="BG39" s="38"/>
      <c r="BH39" s="38"/>
    </row>
    <row r="40" spans="1:60" ht="34.5" customHeight="1">
      <c r="A40" s="12" t="s">
        <v>35</v>
      </c>
      <c r="B40" s="117" t="s">
        <v>63</v>
      </c>
      <c r="C40" s="71">
        <v>1682.4</v>
      </c>
      <c r="D40" s="36">
        <v>383.1</v>
      </c>
      <c r="E40" s="36">
        <v>425.6</v>
      </c>
      <c r="F40" s="53">
        <f t="shared" si="29"/>
        <v>111.09370921430435</v>
      </c>
      <c r="G40" s="36">
        <v>517.3</v>
      </c>
      <c r="H40" s="36">
        <v>373</v>
      </c>
      <c r="I40" s="10">
        <f t="shared" si="3"/>
        <v>72.10516141503963</v>
      </c>
      <c r="J40" s="36">
        <v>516.2</v>
      </c>
      <c r="K40" s="36">
        <v>455.5</v>
      </c>
      <c r="L40" s="10">
        <f t="shared" si="22"/>
        <v>88.24099186361875</v>
      </c>
      <c r="M40" s="72">
        <f t="shared" si="12"/>
        <v>1416.6</v>
      </c>
      <c r="N40" s="72">
        <f t="shared" si="13"/>
        <v>1254.1</v>
      </c>
      <c r="O40" s="10">
        <f t="shared" si="5"/>
        <v>88.52887194691515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3"/>
        <v>#DIV/0!</v>
      </c>
      <c r="Y40" s="72">
        <f t="shared" si="24"/>
        <v>0</v>
      </c>
      <c r="Z40" s="72">
        <f t="shared" si="25"/>
        <v>0</v>
      </c>
      <c r="AA40" s="10" t="e">
        <f t="shared" si="28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6"/>
        <v>0</v>
      </c>
      <c r="AK40" s="72">
        <f t="shared" si="17"/>
        <v>0</v>
      </c>
      <c r="AL40" s="10" t="e">
        <f t="shared" si="26"/>
        <v>#DIV/0!</v>
      </c>
      <c r="AM40" s="36"/>
      <c r="AN40" s="36"/>
      <c r="AO40" s="36"/>
      <c r="AP40" s="36"/>
      <c r="AQ40" s="36"/>
      <c r="AR40" s="36"/>
      <c r="AS40" s="59">
        <f t="shared" si="18"/>
        <v>1416.6</v>
      </c>
      <c r="AT40" s="59">
        <f t="shared" si="19"/>
        <v>1254.1</v>
      </c>
      <c r="AU40" s="10">
        <f t="shared" si="2"/>
        <v>88.52887194691515</v>
      </c>
      <c r="AV40" s="72">
        <f t="shared" si="20"/>
        <v>162.5</v>
      </c>
      <c r="AW40" s="73">
        <f t="shared" si="21"/>
        <v>1844.9</v>
      </c>
      <c r="AX40" s="21">
        <f t="shared" si="9"/>
        <v>1416.6</v>
      </c>
      <c r="AY40" s="21">
        <f t="shared" si="10"/>
        <v>1254.1</v>
      </c>
      <c r="AZ40" s="70">
        <f t="shared" si="11"/>
        <v>1844.9</v>
      </c>
      <c r="BA40" s="37"/>
      <c r="BB40" s="38"/>
      <c r="BC40" s="38"/>
      <c r="BD40" s="37"/>
      <c r="BE40" s="38"/>
      <c r="BF40" s="38"/>
      <c r="BG40" s="38"/>
      <c r="BH40" s="38"/>
    </row>
    <row r="41" spans="1:60" ht="34.5" customHeight="1">
      <c r="A41" s="12" t="s">
        <v>36</v>
      </c>
      <c r="B41" s="60" t="s">
        <v>64</v>
      </c>
      <c r="C41" s="74">
        <v>921.2</v>
      </c>
      <c r="D41" s="36">
        <v>835.1</v>
      </c>
      <c r="E41" s="36">
        <v>1081.4</v>
      </c>
      <c r="F41" s="53">
        <f t="shared" si="29"/>
        <v>129.49347383546882</v>
      </c>
      <c r="G41" s="36">
        <v>2195.1</v>
      </c>
      <c r="H41" s="36">
        <v>945.3</v>
      </c>
      <c r="I41" s="10">
        <f t="shared" si="3"/>
        <v>43.06409730763974</v>
      </c>
      <c r="J41" s="36">
        <v>2048.7</v>
      </c>
      <c r="K41" s="36">
        <v>1239.4</v>
      </c>
      <c r="L41" s="10">
        <f t="shared" si="22"/>
        <v>60.496900473470994</v>
      </c>
      <c r="M41" s="72">
        <f t="shared" si="12"/>
        <v>5078.9</v>
      </c>
      <c r="N41" s="72">
        <f t="shared" si="13"/>
        <v>3266.1000000000004</v>
      </c>
      <c r="O41" s="10">
        <f t="shared" si="5"/>
        <v>64.30723188091912</v>
      </c>
      <c r="P41" s="36"/>
      <c r="Q41" s="36"/>
      <c r="R41" s="10"/>
      <c r="S41" s="36"/>
      <c r="T41" s="36"/>
      <c r="U41" s="10"/>
      <c r="V41" s="36"/>
      <c r="W41" s="36"/>
      <c r="X41" s="10" t="e">
        <f t="shared" si="23"/>
        <v>#DIV/0!</v>
      </c>
      <c r="Y41" s="72">
        <f t="shared" si="24"/>
        <v>0</v>
      </c>
      <c r="Z41" s="72">
        <f t="shared" si="25"/>
        <v>0</v>
      </c>
      <c r="AA41" s="10" t="e">
        <f t="shared" si="28"/>
        <v>#DIV/0!</v>
      </c>
      <c r="AB41" s="36"/>
      <c r="AC41" s="36"/>
      <c r="AD41" s="10"/>
      <c r="AE41" s="36"/>
      <c r="AF41" s="36"/>
      <c r="AG41" s="10"/>
      <c r="AH41" s="36"/>
      <c r="AI41" s="36"/>
      <c r="AJ41" s="72">
        <f t="shared" si="16"/>
        <v>0</v>
      </c>
      <c r="AK41" s="72">
        <f t="shared" si="17"/>
        <v>0</v>
      </c>
      <c r="AL41" s="10" t="e">
        <f t="shared" si="26"/>
        <v>#DIV/0!</v>
      </c>
      <c r="AM41" s="36"/>
      <c r="AN41" s="36"/>
      <c r="AO41" s="36"/>
      <c r="AP41" s="36"/>
      <c r="AQ41" s="36"/>
      <c r="AR41" s="36"/>
      <c r="AS41" s="59">
        <f t="shared" si="18"/>
        <v>5078.9</v>
      </c>
      <c r="AT41" s="59">
        <f t="shared" si="19"/>
        <v>3266.1000000000004</v>
      </c>
      <c r="AU41" s="10">
        <f t="shared" si="2"/>
        <v>64.30723188091912</v>
      </c>
      <c r="AV41" s="72">
        <f t="shared" si="20"/>
        <v>1812.7999999999993</v>
      </c>
      <c r="AW41" s="73">
        <f t="shared" si="21"/>
        <v>2733.999999999999</v>
      </c>
      <c r="AX41" s="21">
        <f t="shared" si="9"/>
        <v>5078.9</v>
      </c>
      <c r="AY41" s="21">
        <f t="shared" si="10"/>
        <v>3266.1000000000004</v>
      </c>
      <c r="AZ41" s="70">
        <f t="shared" si="11"/>
        <v>2733.999999999999</v>
      </c>
      <c r="BA41" s="37"/>
      <c r="BB41" s="38"/>
      <c r="BC41" s="38"/>
      <c r="BD41" s="37"/>
      <c r="BE41" s="38"/>
      <c r="BF41" s="38"/>
      <c r="BG41" s="38"/>
      <c r="BH41" s="38"/>
    </row>
    <row r="42" spans="1:60" ht="34.5" customHeight="1">
      <c r="A42" s="12" t="s">
        <v>37</v>
      </c>
      <c r="B42" s="117" t="s">
        <v>48</v>
      </c>
      <c r="C42" s="71">
        <v>2734.8</v>
      </c>
      <c r="D42" s="36">
        <v>1184.4</v>
      </c>
      <c r="E42" s="36">
        <v>1111.1</v>
      </c>
      <c r="F42" s="53">
        <f t="shared" si="29"/>
        <v>93.81121242823369</v>
      </c>
      <c r="G42" s="36">
        <v>1397.1</v>
      </c>
      <c r="H42" s="36">
        <v>1051.6</v>
      </c>
      <c r="I42" s="10">
        <f t="shared" si="3"/>
        <v>75.27020256245079</v>
      </c>
      <c r="J42" s="36">
        <v>1441.5</v>
      </c>
      <c r="K42" s="36">
        <v>1257.2</v>
      </c>
      <c r="L42" s="10">
        <f t="shared" si="22"/>
        <v>87.21470690253209</v>
      </c>
      <c r="M42" s="72">
        <f t="shared" si="12"/>
        <v>4023</v>
      </c>
      <c r="N42" s="72">
        <f t="shared" si="13"/>
        <v>3419.8999999999996</v>
      </c>
      <c r="O42" s="10">
        <f t="shared" si="5"/>
        <v>85.00869997514292</v>
      </c>
      <c r="P42" s="36"/>
      <c r="Q42" s="36"/>
      <c r="R42" s="10"/>
      <c r="S42" s="36"/>
      <c r="T42" s="36"/>
      <c r="U42" s="10"/>
      <c r="V42" s="36"/>
      <c r="W42" s="36"/>
      <c r="X42" s="10" t="e">
        <f t="shared" si="23"/>
        <v>#DIV/0!</v>
      </c>
      <c r="Y42" s="72">
        <f t="shared" si="24"/>
        <v>0</v>
      </c>
      <c r="Z42" s="72">
        <f t="shared" si="25"/>
        <v>0</v>
      </c>
      <c r="AA42" s="10" t="e">
        <f t="shared" si="28"/>
        <v>#DIV/0!</v>
      </c>
      <c r="AB42" s="36"/>
      <c r="AC42" s="36"/>
      <c r="AD42" s="10"/>
      <c r="AE42" s="36"/>
      <c r="AF42" s="36"/>
      <c r="AG42" s="10"/>
      <c r="AH42" s="36"/>
      <c r="AI42" s="36"/>
      <c r="AJ42" s="72">
        <f t="shared" si="16"/>
        <v>0</v>
      </c>
      <c r="AK42" s="72">
        <f t="shared" si="17"/>
        <v>0</v>
      </c>
      <c r="AL42" s="10" t="e">
        <f t="shared" si="26"/>
        <v>#DIV/0!</v>
      </c>
      <c r="AM42" s="36"/>
      <c r="AN42" s="36"/>
      <c r="AO42" s="36"/>
      <c r="AP42" s="36"/>
      <c r="AQ42" s="36"/>
      <c r="AR42" s="36"/>
      <c r="AS42" s="59">
        <f t="shared" si="18"/>
        <v>4023</v>
      </c>
      <c r="AT42" s="59">
        <f t="shared" si="19"/>
        <v>3419.8999999999996</v>
      </c>
      <c r="AU42" s="10">
        <f t="shared" si="2"/>
        <v>85.00869997514292</v>
      </c>
      <c r="AV42" s="72">
        <f t="shared" si="20"/>
        <v>603.1000000000004</v>
      </c>
      <c r="AW42" s="73">
        <f t="shared" si="21"/>
        <v>3337.9000000000005</v>
      </c>
      <c r="AX42" s="21">
        <f t="shared" si="9"/>
        <v>4023</v>
      </c>
      <c r="AY42" s="21">
        <f t="shared" si="10"/>
        <v>3419.8999999999996</v>
      </c>
      <c r="AZ42" s="70">
        <f t="shared" si="11"/>
        <v>3337.9000000000005</v>
      </c>
      <c r="BA42" s="37"/>
      <c r="BB42" s="38"/>
      <c r="BC42" s="38"/>
      <c r="BD42" s="37"/>
      <c r="BE42" s="38"/>
      <c r="BF42" s="38"/>
      <c r="BG42" s="38"/>
      <c r="BH42" s="38"/>
    </row>
    <row r="43" spans="1:60" s="11" customFormat="1" ht="34.5" customHeight="1">
      <c r="A43" s="12" t="s">
        <v>38</v>
      </c>
      <c r="B43" s="14" t="s">
        <v>66</v>
      </c>
      <c r="C43" s="15">
        <f>SUM(C44:C44)</f>
        <v>322333.2</v>
      </c>
      <c r="D43" s="16">
        <f>SUM(D44:D44)</f>
        <v>74766</v>
      </c>
      <c r="E43" s="16">
        <f>SUM(E44:E44)</f>
        <v>75405.1</v>
      </c>
      <c r="F43" s="53">
        <f t="shared" si="29"/>
        <v>100.85480031030147</v>
      </c>
      <c r="G43" s="16">
        <f>SUM(G44:G44)</f>
        <v>79691.8</v>
      </c>
      <c r="H43" s="16">
        <f>SUM(H44:H44)</f>
        <v>64613.8</v>
      </c>
      <c r="I43" s="10">
        <f t="shared" si="3"/>
        <v>81.07960919442151</v>
      </c>
      <c r="J43" s="16">
        <f>SUM(J44:J44)</f>
        <v>78570.2</v>
      </c>
      <c r="K43" s="16">
        <f>SUM(K44:K44)</f>
        <v>72091.20000000001</v>
      </c>
      <c r="L43" s="10">
        <f t="shared" si="22"/>
        <v>91.75387106052932</v>
      </c>
      <c r="M43" s="16">
        <f>SUM(M44:M44)</f>
        <v>233028</v>
      </c>
      <c r="N43" s="16">
        <f>SUM(N44:N44)</f>
        <v>212110.10000000003</v>
      </c>
      <c r="O43" s="10">
        <f t="shared" si="5"/>
        <v>91.02343924335274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3"/>
        <v>#DIV/0!</v>
      </c>
      <c r="Y43" s="16">
        <f>SUM(Y44:Y44)</f>
        <v>0</v>
      </c>
      <c r="Z43" s="16">
        <f>SUM(Z44:Z44)</f>
        <v>0</v>
      </c>
      <c r="AA43" s="10" t="e">
        <f t="shared" si="28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6"/>
        <v>#DIV/0!</v>
      </c>
      <c r="AM43" s="16">
        <f aca="true" t="shared" si="30" ref="AM43:AR43">SUM(AM44:AM44)</f>
        <v>0</v>
      </c>
      <c r="AN43" s="16">
        <f t="shared" si="30"/>
        <v>0</v>
      </c>
      <c r="AO43" s="16">
        <f t="shared" si="30"/>
        <v>0</v>
      </c>
      <c r="AP43" s="16">
        <f t="shared" si="30"/>
        <v>0</v>
      </c>
      <c r="AQ43" s="16">
        <f t="shared" si="30"/>
        <v>0</v>
      </c>
      <c r="AR43" s="16">
        <f t="shared" si="30"/>
        <v>0</v>
      </c>
      <c r="AS43" s="104">
        <f>AS44</f>
        <v>233028</v>
      </c>
      <c r="AT43" s="104">
        <f>AT44</f>
        <v>212110.10000000003</v>
      </c>
      <c r="AU43" s="10">
        <f t="shared" si="2"/>
        <v>91.02343924335274</v>
      </c>
      <c r="AV43" s="9">
        <f>AV44</f>
        <v>20917.899999999965</v>
      </c>
      <c r="AW43" s="9">
        <f>AW44</f>
        <v>343251.0999999999</v>
      </c>
      <c r="AX43" s="21">
        <f t="shared" si="9"/>
        <v>233028</v>
      </c>
      <c r="AY43" s="21">
        <f t="shared" si="10"/>
        <v>212110.10000000003</v>
      </c>
      <c r="AZ43" s="70">
        <f t="shared" si="11"/>
        <v>343251.0999999999</v>
      </c>
      <c r="BA43" s="69"/>
      <c r="BB43" s="19"/>
      <c r="BC43" s="19"/>
      <c r="BD43" s="21"/>
      <c r="BE43" s="19"/>
      <c r="BF43" s="19"/>
      <c r="BG43" s="19"/>
      <c r="BH43" s="19"/>
    </row>
    <row r="44" spans="1:60" s="11" customFormat="1" ht="34.5" customHeight="1">
      <c r="A44" s="83"/>
      <c r="B44" s="39" t="s">
        <v>67</v>
      </c>
      <c r="C44" s="71">
        <f>320600.7+1732.5</f>
        <v>322333.2</v>
      </c>
      <c r="D44" s="36">
        <f>74450.1+315.9</f>
        <v>74766</v>
      </c>
      <c r="E44" s="36">
        <v>75405.1</v>
      </c>
      <c r="F44" s="53">
        <f>E44/D44*100</f>
        <v>100.85480031030147</v>
      </c>
      <c r="G44" s="36">
        <f>79289.7+402.1</f>
        <v>79691.8</v>
      </c>
      <c r="H44" s="36">
        <f>64507.3+106.5</f>
        <v>64613.8</v>
      </c>
      <c r="I44" s="10">
        <f t="shared" si="3"/>
        <v>81.07960919442151</v>
      </c>
      <c r="J44" s="36">
        <f>78221.8+348.4</f>
        <v>78570.2</v>
      </c>
      <c r="K44" s="36">
        <f>71966.6+124.6</f>
        <v>72091.20000000001</v>
      </c>
      <c r="L44" s="10">
        <f t="shared" si="22"/>
        <v>91.75387106052932</v>
      </c>
      <c r="M44" s="72">
        <f t="shared" si="12"/>
        <v>233028</v>
      </c>
      <c r="N44" s="72">
        <f t="shared" si="13"/>
        <v>212110.10000000003</v>
      </c>
      <c r="O44" s="10">
        <f t="shared" si="5"/>
        <v>91.02343924335274</v>
      </c>
      <c r="P44" s="36"/>
      <c r="Q44" s="36"/>
      <c r="R44" s="10"/>
      <c r="S44" s="36"/>
      <c r="T44" s="36"/>
      <c r="U44" s="10"/>
      <c r="V44" s="36"/>
      <c r="W44" s="36"/>
      <c r="X44" s="10" t="e">
        <f>W44/V44*100</f>
        <v>#DIV/0!</v>
      </c>
      <c r="Y44" s="72">
        <f>P44+S44+V44</f>
        <v>0</v>
      </c>
      <c r="Z44" s="72">
        <f>Q44+T44+W44</f>
        <v>0</v>
      </c>
      <c r="AA44" s="10" t="e">
        <f t="shared" si="28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6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233028</v>
      </c>
      <c r="AT44" s="59">
        <f>N44+Z44+AK44+AN44+AP44+AR44</f>
        <v>212110.10000000003</v>
      </c>
      <c r="AU44" s="10">
        <f t="shared" si="2"/>
        <v>91.02343924335274</v>
      </c>
      <c r="AV44" s="72">
        <f t="shared" si="20"/>
        <v>20917.899999999965</v>
      </c>
      <c r="AW44" s="73">
        <f t="shared" si="21"/>
        <v>343251.0999999999</v>
      </c>
      <c r="AX44" s="21">
        <f t="shared" si="9"/>
        <v>233028</v>
      </c>
      <c r="AY44" s="21">
        <f t="shared" si="10"/>
        <v>212110.10000000003</v>
      </c>
      <c r="AZ44" s="70">
        <f t="shared" si="11"/>
        <v>343251.0999999999</v>
      </c>
      <c r="BA44" s="37"/>
      <c r="BB44" s="19"/>
      <c r="BC44" s="19"/>
      <c r="BD44" s="37"/>
      <c r="BE44" s="19"/>
      <c r="BF44" s="19"/>
      <c r="BG44" s="19"/>
      <c r="BH44" s="19"/>
    </row>
    <row r="45" spans="1:60" ht="34.5" customHeight="1">
      <c r="A45" s="12"/>
      <c r="B45" s="14" t="s">
        <v>105</v>
      </c>
      <c r="C45" s="15">
        <f>C43+C7</f>
        <v>352516</v>
      </c>
      <c r="D45" s="16">
        <f>D43+D7</f>
        <v>88091</v>
      </c>
      <c r="E45" s="16">
        <f>E43+E7</f>
        <v>91907.40000000001</v>
      </c>
      <c r="F45" s="53">
        <f>E45/D45*100</f>
        <v>104.33233815032183</v>
      </c>
      <c r="G45" s="16">
        <f>G43+G7</f>
        <v>102360</v>
      </c>
      <c r="H45" s="16">
        <f>H43+H7</f>
        <v>79352.40000000001</v>
      </c>
      <c r="I45" s="10">
        <f t="shared" si="3"/>
        <v>77.52286049237983</v>
      </c>
      <c r="J45" s="16">
        <f>J43+J7</f>
        <v>106212.09999999999</v>
      </c>
      <c r="K45" s="16">
        <f>K43+K7</f>
        <v>91575.80000000002</v>
      </c>
      <c r="L45" s="10">
        <f t="shared" si="22"/>
        <v>86.2197433249131</v>
      </c>
      <c r="M45" s="16">
        <f>M43+M7</f>
        <v>288925.7</v>
      </c>
      <c r="N45" s="16">
        <f>N43+N7</f>
        <v>257207.7</v>
      </c>
      <c r="O45" s="10">
        <f t="shared" si="5"/>
        <v>89.02209114661659</v>
      </c>
      <c r="P45" s="16">
        <f>P43+P7</f>
        <v>0</v>
      </c>
      <c r="Q45" s="16">
        <f>Q43+Q7</f>
        <v>0</v>
      </c>
      <c r="R45" s="10" t="e">
        <f>Q45/P45*100</f>
        <v>#DIV/0!</v>
      </c>
      <c r="S45" s="16">
        <f>S43+S7</f>
        <v>0</v>
      </c>
      <c r="T45" s="16">
        <f>T43+T7</f>
        <v>0</v>
      </c>
      <c r="U45" s="10" t="e">
        <f>T45/S45*100</f>
        <v>#DIV/0!</v>
      </c>
      <c r="V45" s="16">
        <f>V43+V7</f>
        <v>0</v>
      </c>
      <c r="W45" s="16">
        <f>W43+W7</f>
        <v>0</v>
      </c>
      <c r="X45" s="10" t="e">
        <f>W45/V45*100</f>
        <v>#DIV/0!</v>
      </c>
      <c r="Y45" s="16">
        <f>Y43+Y7</f>
        <v>0</v>
      </c>
      <c r="Z45" s="16">
        <f>Z43+Z7</f>
        <v>0</v>
      </c>
      <c r="AA45" s="10" t="e">
        <f t="shared" si="28"/>
        <v>#DIV/0!</v>
      </c>
      <c r="AB45" s="16">
        <f>AB43+AB7</f>
        <v>0</v>
      </c>
      <c r="AC45" s="16">
        <f>AC43+AC7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AJ43+AJ7</f>
        <v>0</v>
      </c>
      <c r="AK45" s="16">
        <f>AK43+AK7</f>
        <v>0</v>
      </c>
      <c r="AL45" s="10" t="e">
        <f t="shared" si="26"/>
        <v>#DIV/0!</v>
      </c>
      <c r="AM45" s="16">
        <f aca="true" t="shared" si="31" ref="AM45:AT45">AM43+AM7</f>
        <v>0</v>
      </c>
      <c r="AN45" s="16">
        <f t="shared" si="31"/>
        <v>0</v>
      </c>
      <c r="AO45" s="16">
        <f t="shared" si="31"/>
        <v>0</v>
      </c>
      <c r="AP45" s="16">
        <f t="shared" si="31"/>
        <v>0</v>
      </c>
      <c r="AQ45" s="16">
        <f>AQ43+AQ7</f>
        <v>0</v>
      </c>
      <c r="AR45" s="16">
        <f>AR43+AR7</f>
        <v>0</v>
      </c>
      <c r="AS45" s="104">
        <f t="shared" si="31"/>
        <v>296663.1</v>
      </c>
      <c r="AT45" s="104">
        <f t="shared" si="31"/>
        <v>262835.60000000003</v>
      </c>
      <c r="AU45" s="10">
        <f>AT45/AS45*100</f>
        <v>88.59733482189057</v>
      </c>
      <c r="AV45" s="16">
        <f>AV43+AV7</f>
        <v>33827.49999999996</v>
      </c>
      <c r="AW45" s="16">
        <f>AW43+AW7</f>
        <v>386343.49999999994</v>
      </c>
      <c r="AX45" s="21">
        <f t="shared" si="9"/>
        <v>296663.1</v>
      </c>
      <c r="AY45" s="21">
        <f t="shared" si="10"/>
        <v>262835.60000000003</v>
      </c>
      <c r="AZ45" s="70">
        <f t="shared" si="11"/>
        <v>386343.49999999994</v>
      </c>
      <c r="BA45" s="69"/>
      <c r="BB45" s="69"/>
      <c r="BC45" s="69"/>
      <c r="BD45" s="69"/>
      <c r="BE45" s="38"/>
      <c r="BF45" s="38"/>
      <c r="BG45" s="38"/>
      <c r="BH45" s="38"/>
    </row>
    <row r="46" spans="1:60" s="113" customFormat="1" ht="93" customHeight="1">
      <c r="A46" s="163" t="s">
        <v>110</v>
      </c>
      <c r="B46" s="163"/>
      <c r="C46" s="163"/>
      <c r="D46" s="128"/>
      <c r="E46" s="128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109</v>
      </c>
      <c r="AX46" s="128"/>
      <c r="AY46" s="128"/>
      <c r="AZ46" s="128"/>
      <c r="BA46" s="128"/>
      <c r="BB46" s="128"/>
      <c r="BC46" s="128"/>
      <c r="BD46" s="128"/>
      <c r="BE46" s="131"/>
      <c r="BF46" s="131"/>
      <c r="BG46" s="131"/>
      <c r="BH46" s="131"/>
    </row>
    <row r="47" spans="1:60" s="11" customFormat="1" ht="19.5" customHeight="1" hidden="1">
      <c r="A47" s="24"/>
      <c r="B47" s="11" t="s">
        <v>70</v>
      </c>
      <c r="C47" s="20"/>
      <c r="D47" s="21"/>
      <c r="E47" s="21"/>
      <c r="F47" s="120"/>
      <c r="G47" s="21"/>
      <c r="H47" s="21"/>
      <c r="I47" s="22"/>
      <c r="J47" s="21"/>
      <c r="K47" s="21"/>
      <c r="L47" s="22"/>
      <c r="M47" s="22"/>
      <c r="N47" s="22"/>
      <c r="O47" s="22"/>
      <c r="P47" s="21"/>
      <c r="Q47" s="21"/>
      <c r="R47" s="22"/>
      <c r="S47" s="21"/>
      <c r="T47" s="2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1"/>
      <c r="BC47" s="6"/>
      <c r="BD47" s="6"/>
      <c r="BE47" s="23"/>
      <c r="BF47" s="6"/>
      <c r="BH47" s="6"/>
    </row>
    <row r="48" spans="1:60" s="11" customFormat="1" ht="7.5" customHeight="1" hidden="1">
      <c r="A48" s="19"/>
      <c r="C48" s="20"/>
      <c r="D48" s="21"/>
      <c r="E48" s="21"/>
      <c r="F48" s="120"/>
      <c r="G48" s="21"/>
      <c r="H48" s="21"/>
      <c r="I48" s="22"/>
      <c r="J48" s="21"/>
      <c r="K48" s="21"/>
      <c r="L48" s="22"/>
      <c r="M48" s="22"/>
      <c r="N48" s="22"/>
      <c r="O48" s="22"/>
      <c r="P48" s="21"/>
      <c r="Q48" s="21"/>
      <c r="R48" s="22"/>
      <c r="S48" s="21"/>
      <c r="T48" s="21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1"/>
      <c r="BC48" s="6"/>
      <c r="BD48" s="6"/>
      <c r="BE48" s="23"/>
      <c r="BF48" s="6"/>
      <c r="BH48" s="6"/>
    </row>
    <row r="49" spans="1:60" s="11" customFormat="1" ht="14.25" customHeight="1" hidden="1">
      <c r="A49" s="24"/>
      <c r="B49" s="11" t="s">
        <v>71</v>
      </c>
      <c r="C49" s="20"/>
      <c r="D49" s="21"/>
      <c r="E49" s="21"/>
      <c r="F49" s="120"/>
      <c r="G49" s="21"/>
      <c r="H49" s="21"/>
      <c r="I49" s="22"/>
      <c r="J49" s="21"/>
      <c r="K49" s="21"/>
      <c r="L49" s="22"/>
      <c r="M49" s="22"/>
      <c r="N49" s="22"/>
      <c r="O49" s="22"/>
      <c r="P49" s="21"/>
      <c r="Q49" s="21"/>
      <c r="R49" s="22"/>
      <c r="S49" s="21"/>
      <c r="T49" s="21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1"/>
      <c r="BC49" s="6"/>
      <c r="BD49" s="6"/>
      <c r="BE49" s="23"/>
      <c r="BF49" s="6"/>
      <c r="BH49" s="6"/>
    </row>
    <row r="50" spans="1:60" ht="24.75" customHeight="1">
      <c r="A50" s="2"/>
      <c r="C50" s="25"/>
      <c r="D50" s="18"/>
      <c r="E50" s="18"/>
      <c r="F50" s="120"/>
      <c r="G50" s="18"/>
      <c r="H50" s="18"/>
      <c r="I50" s="49"/>
      <c r="J50" s="18"/>
      <c r="K50" s="18"/>
      <c r="L50" s="49"/>
      <c r="M50" s="49"/>
      <c r="N50" s="49"/>
      <c r="O50" s="49"/>
      <c r="P50" s="18"/>
      <c r="Q50" s="18"/>
      <c r="R50" s="49"/>
      <c r="S50" s="18"/>
      <c r="T50" s="18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18"/>
      <c r="AT50" s="18"/>
      <c r="AU50" s="49"/>
      <c r="AV50" s="18"/>
      <c r="AW50" s="18"/>
      <c r="AX50" s="18"/>
      <c r="AY50" s="18"/>
      <c r="AZ50" s="18"/>
      <c r="BA50" s="18"/>
      <c r="BB50" s="18"/>
      <c r="BC50" s="7"/>
      <c r="BD50" s="7"/>
      <c r="BE50" s="26"/>
      <c r="BF50" s="7"/>
      <c r="BH50" s="7"/>
    </row>
    <row r="51" spans="1:49" s="30" customFormat="1" ht="96.75" customHeight="1">
      <c r="A51" s="27"/>
      <c r="B51" s="173" t="s">
        <v>76</v>
      </c>
      <c r="C51" s="173"/>
      <c r="D51" s="173"/>
      <c r="E51" s="173"/>
      <c r="F51" s="173"/>
      <c r="G51" s="28"/>
      <c r="H51" s="28"/>
      <c r="I51" s="50"/>
      <c r="J51" s="28"/>
      <c r="K51" s="28"/>
      <c r="L51" s="50"/>
      <c r="M51" s="50"/>
      <c r="N51" s="50"/>
      <c r="O51" s="50"/>
      <c r="P51" s="28"/>
      <c r="Q51" s="28"/>
      <c r="R51" s="50"/>
      <c r="S51" s="28"/>
      <c r="T51" s="28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28"/>
      <c r="AT51" s="28"/>
      <c r="AU51" s="50"/>
      <c r="AV51" s="175" t="s">
        <v>75</v>
      </c>
      <c r="AW51" s="175"/>
    </row>
    <row r="52" spans="1:49" ht="73.5" customHeight="1" hidden="1">
      <c r="A52" s="172" t="s">
        <v>72</v>
      </c>
      <c r="B52" s="172"/>
      <c r="C52" s="31"/>
      <c r="D52" s="31"/>
      <c r="E52" s="31"/>
      <c r="F52" s="121"/>
      <c r="G52" s="32"/>
      <c r="H52" s="32"/>
      <c r="I52" s="33"/>
      <c r="J52" s="32"/>
      <c r="K52" s="32"/>
      <c r="L52" s="33"/>
      <c r="M52" s="33"/>
      <c r="N52" s="33"/>
      <c r="O52" s="33"/>
      <c r="P52" s="32"/>
      <c r="Q52" s="32"/>
      <c r="R52" s="33"/>
      <c r="S52" s="32"/>
      <c r="T52" s="32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2"/>
      <c r="AT52" s="32"/>
      <c r="AU52" s="33"/>
      <c r="AW52" s="4" t="s">
        <v>73</v>
      </c>
    </row>
    <row r="53" spans="50:60" ht="24.75" customHeight="1"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</row>
    <row r="55" spans="50:60" ht="24.75" customHeight="1"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</row>
    <row r="56" spans="50:60" ht="24.75" customHeight="1"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</row>
    <row r="57" spans="50:60" ht="24.75" customHeight="1"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</row>
    <row r="58" spans="50:60" ht="24.75" customHeight="1"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</row>
    <row r="59" spans="50:60" ht="24.75" customHeight="1"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</row>
    <row r="60" spans="50:60" ht="18.75"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</row>
    <row r="61" spans="50:60" ht="18.75"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</row>
    <row r="62" spans="50:60" ht="18.75"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</row>
    <row r="63" spans="50:60" ht="18.75"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</row>
    <row r="64" spans="50:60" ht="18.75"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</row>
    <row r="65" spans="50:60" ht="18.75"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</row>
    <row r="66" spans="50:60" ht="18.75"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</row>
    <row r="67" spans="50:60" ht="18.75"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</row>
    <row r="68" spans="50:60" ht="18.75"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</row>
    <row r="69" spans="50:60" ht="18.75"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</row>
    <row r="70" spans="50:60" ht="18.75"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</row>
    <row r="71" spans="50:60" ht="18.75"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</row>
    <row r="72" spans="50:60" ht="18.75"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</row>
    <row r="73" spans="50:60" ht="18.75"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</row>
    <row r="74" spans="50:60" ht="18.75"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</row>
    <row r="75" spans="50:60" ht="18.75"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</row>
    <row r="76" spans="50:60" ht="18.75"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</row>
    <row r="77" spans="50:60" ht="18.75"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</row>
    <row r="78" spans="50:60" ht="18.75"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</row>
    <row r="79" spans="50:60" ht="18.75"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</row>
    <row r="80" spans="50:60" ht="18.75"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</row>
    <row r="81" spans="50:60" ht="18.75"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</row>
    <row r="82" spans="50:60" ht="18.75"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</row>
    <row r="83" spans="50:60" ht="18.75"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</row>
    <row r="84" spans="50:60" ht="18.75"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</row>
    <row r="85" spans="50:60" ht="18.75"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</row>
    <row r="86" spans="50:60" ht="18.75"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</row>
    <row r="87" spans="50:60" ht="18.75"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</row>
    <row r="88" spans="50:60" ht="18.75"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</row>
    <row r="89" spans="50:60" ht="18.75"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</row>
    <row r="90" spans="50:60" ht="18.75"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</row>
    <row r="91" spans="50:60" ht="18.75"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</row>
    <row r="92" spans="50:60" ht="18.75"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</row>
    <row r="93" spans="50:60" ht="18.75"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</row>
    <row r="94" spans="50:60" ht="18.75"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</row>
    <row r="95" spans="50:60" ht="18.75"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</row>
  </sheetData>
  <sheetProtection/>
  <mergeCells count="25">
    <mergeCell ref="B51:F51"/>
    <mergeCell ref="AE5:AG5"/>
    <mergeCell ref="AJ5:AL5"/>
    <mergeCell ref="AO5:AP5"/>
    <mergeCell ref="AV5:AV6"/>
    <mergeCell ref="G5:I5"/>
    <mergeCell ref="J5:L5"/>
    <mergeCell ref="AS5:AU5"/>
    <mergeCell ref="A46:C46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I1:AW1"/>
    <mergeCell ref="B4:F4"/>
    <mergeCell ref="D5:F5"/>
    <mergeCell ref="AH5:AI5"/>
    <mergeCell ref="AW5:AW6"/>
    <mergeCell ref="B2:AW3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80" zoomScaleNormal="50" zoomScaleSheetLayoutView="80" zoomScalePageLayoutView="0" workbookViewId="0" topLeftCell="A3">
      <pane xSplit="5" ySplit="4" topLeftCell="F1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3" sqref="A3:IV3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84" customWidth="1"/>
    <col min="4" max="4" width="16.625" style="2" customWidth="1"/>
    <col min="5" max="5" width="16.125" style="2" customWidth="1"/>
    <col min="6" max="6" width="12.1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customWidth="1"/>
    <col min="11" max="11" width="16.00390625" style="2" customWidth="1"/>
    <col min="12" max="12" width="11.125" style="11" customWidth="1"/>
    <col min="13" max="13" width="13.25390625" style="11" hidden="1" customWidth="1"/>
    <col min="14" max="14" width="12.8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875" style="11" hidden="1" customWidth="1"/>
    <col min="23" max="23" width="13.125" style="11" hidden="1" customWidth="1"/>
    <col min="24" max="24" width="11.125" style="11" hidden="1" customWidth="1"/>
    <col min="25" max="25" width="13.25390625" style="11" hidden="1" customWidth="1"/>
    <col min="26" max="26" width="12.875" style="11" hidden="1" customWidth="1"/>
    <col min="27" max="27" width="11.125" style="11" hidden="1" customWidth="1"/>
    <col min="28" max="28" width="14.875" style="11" hidden="1" customWidth="1"/>
    <col min="29" max="29" width="13.1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875" style="11" hidden="1" customWidth="1"/>
    <col min="36" max="36" width="13.75390625" style="11" hidden="1" customWidth="1"/>
    <col min="37" max="37" width="12.8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125" style="11" hidden="1" customWidth="1"/>
    <col min="42" max="42" width="11.875" style="11" hidden="1" customWidth="1"/>
    <col min="43" max="43" width="13.12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8.875" style="2" customWidth="1"/>
    <col min="50" max="50" width="11.125" style="2" customWidth="1"/>
    <col min="51" max="51" width="9.75390625" style="2" customWidth="1"/>
    <col min="52" max="52" width="11.375" style="2" customWidth="1"/>
    <col min="53" max="16384" width="7.875" style="2" customWidth="1"/>
  </cols>
  <sheetData>
    <row r="1" spans="9:49" ht="18.75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2" customFormat="1" ht="60" customHeight="1">
      <c r="A2" s="56"/>
      <c r="B2" s="162" t="s">
        <v>120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</row>
    <row r="3" spans="1:49" s="52" customFormat="1" ht="60" customHeight="1">
      <c r="A3" s="5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</row>
    <row r="4" spans="2:49" ht="49.5" customHeight="1">
      <c r="B4" s="179"/>
      <c r="C4" s="179"/>
      <c r="D4" s="179"/>
      <c r="E4" s="179"/>
      <c r="F4" s="17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94</v>
      </c>
    </row>
    <row r="5" spans="1:49" ht="58.5" customHeight="1">
      <c r="A5" s="42" t="s">
        <v>46</v>
      </c>
      <c r="B5" s="43"/>
      <c r="C5" s="44" t="s">
        <v>1</v>
      </c>
      <c r="D5" s="169" t="s">
        <v>111</v>
      </c>
      <c r="E5" s="170"/>
      <c r="F5" s="171"/>
      <c r="G5" s="159" t="s">
        <v>114</v>
      </c>
      <c r="H5" s="160"/>
      <c r="I5" s="161"/>
      <c r="J5" s="159" t="s">
        <v>118</v>
      </c>
      <c r="K5" s="160"/>
      <c r="L5" s="161"/>
      <c r="M5" s="159" t="s">
        <v>90</v>
      </c>
      <c r="N5" s="160"/>
      <c r="O5" s="161"/>
      <c r="P5" s="159" t="s">
        <v>79</v>
      </c>
      <c r="Q5" s="160"/>
      <c r="R5" s="161"/>
      <c r="S5" s="159" t="s">
        <v>80</v>
      </c>
      <c r="T5" s="160"/>
      <c r="U5" s="161"/>
      <c r="V5" s="159" t="s">
        <v>81</v>
      </c>
      <c r="W5" s="160"/>
      <c r="X5" s="161"/>
      <c r="Y5" s="159" t="s">
        <v>91</v>
      </c>
      <c r="Z5" s="160"/>
      <c r="AA5" s="161"/>
      <c r="AB5" s="159" t="s">
        <v>82</v>
      </c>
      <c r="AC5" s="160"/>
      <c r="AD5" s="161"/>
      <c r="AE5" s="159" t="s">
        <v>83</v>
      </c>
      <c r="AF5" s="160"/>
      <c r="AG5" s="161"/>
      <c r="AH5" s="159" t="s">
        <v>84</v>
      </c>
      <c r="AI5" s="161"/>
      <c r="AJ5" s="159" t="s">
        <v>92</v>
      </c>
      <c r="AK5" s="160"/>
      <c r="AL5" s="161"/>
      <c r="AM5" s="159" t="s">
        <v>85</v>
      </c>
      <c r="AN5" s="161"/>
      <c r="AO5" s="159" t="s">
        <v>86</v>
      </c>
      <c r="AP5" s="161"/>
      <c r="AQ5" s="159" t="s">
        <v>87</v>
      </c>
      <c r="AR5" s="161"/>
      <c r="AS5" s="169" t="s">
        <v>112</v>
      </c>
      <c r="AT5" s="170"/>
      <c r="AU5" s="171"/>
      <c r="AV5" s="167" t="s">
        <v>116</v>
      </c>
      <c r="AW5" s="167" t="s">
        <v>117</v>
      </c>
    </row>
    <row r="6" spans="1:49" ht="46.5" customHeight="1">
      <c r="A6" s="45" t="s">
        <v>47</v>
      </c>
      <c r="B6" s="46" t="s">
        <v>106</v>
      </c>
      <c r="C6" s="41" t="s">
        <v>113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93</v>
      </c>
      <c r="AT6" s="46" t="s">
        <v>69</v>
      </c>
      <c r="AU6" s="48" t="s">
        <v>0</v>
      </c>
      <c r="AV6" s="168"/>
      <c r="AW6" s="168"/>
    </row>
    <row r="7" spans="1:52" s="11" customFormat="1" ht="34.5" customHeight="1">
      <c r="A7" s="48"/>
      <c r="B7" s="114" t="s">
        <v>107</v>
      </c>
      <c r="C7" s="55">
        <f>SUM(C8:C42)-C33-C34</f>
        <v>1732.5000000000002</v>
      </c>
      <c r="D7" s="55">
        <f>SUM(D8:D42)-D33-D34</f>
        <v>1037</v>
      </c>
      <c r="E7" s="55">
        <f>SUM(E8:E42)-E33-E34</f>
        <v>957.6000000000001</v>
      </c>
      <c r="F7" s="10">
        <f>E7/D7*100</f>
        <v>92.34329797492768</v>
      </c>
      <c r="G7" s="55">
        <f>SUM(G8:G42)-G33-G34</f>
        <v>1041.3999999999999</v>
      </c>
      <c r="H7" s="55">
        <f>SUM(H8:H42)-H33-H34</f>
        <v>1017.7000000000003</v>
      </c>
      <c r="I7" s="10">
        <f aca="true" t="shared" si="0" ref="I7:I45">H7/G7*100</f>
        <v>97.72421739965435</v>
      </c>
      <c r="J7" s="55">
        <f>SUM(J8:J42)-J33-J34</f>
        <v>1065.1000000000001</v>
      </c>
      <c r="K7" s="55">
        <f>SUM(K8:K42)-K33-K34</f>
        <v>733.8999999999999</v>
      </c>
      <c r="L7" s="10">
        <f aca="true" t="shared" si="1" ref="L7:L16">K7/J7*100</f>
        <v>68.90432823209086</v>
      </c>
      <c r="M7" s="10">
        <f>SUM(M8:M42)</f>
        <v>3143.5000000000005</v>
      </c>
      <c r="N7" s="10">
        <f>SUM(N8:N42)</f>
        <v>2709.2</v>
      </c>
      <c r="O7" s="10">
        <f>N7/M7*100</f>
        <v>86.18418959758229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2" ref="X7:X28"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3" ref="AM7:AR7">SUM(AM8:AM42)</f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55">
        <f>SUM(AS8:AS42)-AS33-AS34</f>
        <v>3143.5</v>
      </c>
      <c r="AT7" s="55">
        <f>SUM(AT8:AT42)-AT33-AT34</f>
        <v>2709.1999999999994</v>
      </c>
      <c r="AU7" s="10">
        <f aca="true" t="shared" si="4" ref="AU7:AU44">AT7/AS7*100</f>
        <v>86.18418959758229</v>
      </c>
      <c r="AV7" s="55">
        <f>SUM(AV8:AV42)-AV33-AV34</f>
        <v>434.30000000000007</v>
      </c>
      <c r="AW7" s="55">
        <f>SUM(AW8:AW42)-AW33-AW34</f>
        <v>2166.8000000000006</v>
      </c>
      <c r="AX7" s="21">
        <f>D7+G7+J7</f>
        <v>3143.5</v>
      </c>
      <c r="AY7" s="21">
        <f>E7+H7+K7</f>
        <v>2709.2000000000003</v>
      </c>
      <c r="AZ7" s="40">
        <f>C7+AX7-AY7</f>
        <v>2166.7999999999997</v>
      </c>
    </row>
    <row r="8" spans="1:52" ht="34.5" customHeight="1">
      <c r="A8" s="57">
        <v>1</v>
      </c>
      <c r="B8" s="58" t="s">
        <v>49</v>
      </c>
      <c r="C8" s="85">
        <v>69.8</v>
      </c>
      <c r="D8" s="36">
        <v>78.7</v>
      </c>
      <c r="E8" s="36">
        <v>69.8</v>
      </c>
      <c r="F8" s="10">
        <f>E8/D8*100</f>
        <v>88.69123252858957</v>
      </c>
      <c r="G8" s="36">
        <v>76.3</v>
      </c>
      <c r="H8" s="36">
        <v>78.7</v>
      </c>
      <c r="I8" s="10">
        <f t="shared" si="0"/>
        <v>103.14547837483619</v>
      </c>
      <c r="J8" s="36">
        <v>76.9</v>
      </c>
      <c r="K8" s="36">
        <v>76.3</v>
      </c>
      <c r="L8" s="10">
        <f t="shared" si="1"/>
        <v>99.21976592977893</v>
      </c>
      <c r="M8" s="72">
        <f>D8+G8+J8</f>
        <v>231.9</v>
      </c>
      <c r="N8" s="72">
        <f>E8+H8+K8</f>
        <v>224.8</v>
      </c>
      <c r="O8" s="10">
        <f aca="true" t="shared" si="5" ref="O8:O45">N8/M8*100</f>
        <v>96.9383354894351</v>
      </c>
      <c r="P8" s="36"/>
      <c r="Q8" s="36"/>
      <c r="R8" s="10"/>
      <c r="S8" s="36"/>
      <c r="T8" s="36"/>
      <c r="U8" s="10"/>
      <c r="V8" s="36"/>
      <c r="W8" s="36"/>
      <c r="X8" s="10" t="e">
        <f t="shared" si="2"/>
        <v>#DIV/0!</v>
      </c>
      <c r="Y8" s="72">
        <f>P8+S8+V8</f>
        <v>0</v>
      </c>
      <c r="Z8" s="72">
        <f>Q8+T8+W8</f>
        <v>0</v>
      </c>
      <c r="AA8" s="10" t="e">
        <f aca="true" t="shared" si="6" ref="AA8:AA28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aca="true" t="shared" si="7" ref="AL8:AL28"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231.9</v>
      </c>
      <c r="AT8" s="59">
        <f>N8+Z8+AK8+AN8+AP8+AR8</f>
        <v>224.8</v>
      </c>
      <c r="AU8" s="10">
        <f t="shared" si="4"/>
        <v>96.9383354894351</v>
      </c>
      <c r="AV8" s="59">
        <f>AS8-AT8</f>
        <v>7.099999999999994</v>
      </c>
      <c r="AW8" s="16">
        <f aca="true" t="shared" si="8" ref="AW8:AW28">C8+AS8-AT8</f>
        <v>76.89999999999998</v>
      </c>
      <c r="AX8" s="21">
        <f aca="true" t="shared" si="9" ref="AX8:AX45">D8+G8+J8</f>
        <v>231.9</v>
      </c>
      <c r="AY8" s="21">
        <f aca="true" t="shared" si="10" ref="AY8:AY45">E8+H8+K8</f>
        <v>224.8</v>
      </c>
      <c r="AZ8" s="40">
        <f aca="true" t="shared" si="11" ref="AZ8:AZ45">C8+AX8-AY8</f>
        <v>76.89999999999998</v>
      </c>
    </row>
    <row r="9" spans="1:52" ht="34.5" customHeight="1">
      <c r="A9" s="57">
        <v>2</v>
      </c>
      <c r="B9" s="60" t="s">
        <v>65</v>
      </c>
      <c r="C9" s="85">
        <v>54.9</v>
      </c>
      <c r="D9" s="36">
        <v>13.9</v>
      </c>
      <c r="E9" s="36">
        <v>45.8</v>
      </c>
      <c r="F9" s="10">
        <f>E9/D9*100</f>
        <v>329.4964028776978</v>
      </c>
      <c r="G9" s="36">
        <v>14.8</v>
      </c>
      <c r="H9" s="36">
        <v>9</v>
      </c>
      <c r="I9" s="10">
        <f t="shared" si="0"/>
        <v>60.810810810810814</v>
      </c>
      <c r="J9" s="36">
        <v>15</v>
      </c>
      <c r="K9" s="36">
        <v>16.7</v>
      </c>
      <c r="L9" s="10">
        <f t="shared" si="1"/>
        <v>111.33333333333333</v>
      </c>
      <c r="M9" s="72">
        <f aca="true" t="shared" si="12" ref="M9:M44">D9+G9+J9</f>
        <v>43.7</v>
      </c>
      <c r="N9" s="72">
        <f aca="true" t="shared" si="13" ref="N9:N44">E9+H9+K9</f>
        <v>71.5</v>
      </c>
      <c r="O9" s="10">
        <f t="shared" si="5"/>
        <v>163.61556064073227</v>
      </c>
      <c r="P9" s="36"/>
      <c r="Q9" s="36"/>
      <c r="R9" s="10"/>
      <c r="S9" s="36"/>
      <c r="T9" s="36"/>
      <c r="U9" s="10"/>
      <c r="V9" s="36"/>
      <c r="W9" s="36"/>
      <c r="X9" s="10" t="e">
        <f t="shared" si="2"/>
        <v>#DIV/0!</v>
      </c>
      <c r="Y9" s="72">
        <f aca="true" t="shared" si="14" ref="Y9:Y28">P9+S9+V9</f>
        <v>0</v>
      </c>
      <c r="Z9" s="72">
        <f aca="true" t="shared" si="15" ref="Z9:Z28">Q9+T9+W9</f>
        <v>0</v>
      </c>
      <c r="AA9" s="10" t="e">
        <f t="shared" si="6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6" ref="AJ9:AJ42">AB9+AE9+AH9</f>
        <v>0</v>
      </c>
      <c r="AK9" s="72">
        <f aca="true" t="shared" si="17" ref="AK9:AK42">AC9+AF9+AI9</f>
        <v>0</v>
      </c>
      <c r="AL9" s="10" t="e">
        <f t="shared" si="7"/>
        <v>#DIV/0!</v>
      </c>
      <c r="AM9" s="36"/>
      <c r="AN9" s="36"/>
      <c r="AO9" s="36"/>
      <c r="AP9" s="36"/>
      <c r="AQ9" s="36"/>
      <c r="AR9" s="36"/>
      <c r="AS9" s="59">
        <f aca="true" t="shared" si="18" ref="AS9:AS41">M9+Y9+AJ9+AM9+AO9+AQ9</f>
        <v>43.7</v>
      </c>
      <c r="AT9" s="59">
        <f aca="true" t="shared" si="19" ref="AT9:AT42">N9+Z9+AK9+AN9+AP9+AR9</f>
        <v>71.5</v>
      </c>
      <c r="AU9" s="10">
        <f t="shared" si="4"/>
        <v>163.61556064073227</v>
      </c>
      <c r="AV9" s="59">
        <f aca="true" t="shared" si="20" ref="AV9:AV44">AS9-AT9</f>
        <v>-27.799999999999997</v>
      </c>
      <c r="AW9" s="16">
        <f t="shared" si="8"/>
        <v>27.099999999999994</v>
      </c>
      <c r="AX9" s="21">
        <f t="shared" si="9"/>
        <v>43.7</v>
      </c>
      <c r="AY9" s="21">
        <f t="shared" si="10"/>
        <v>71.5</v>
      </c>
      <c r="AZ9" s="40">
        <f t="shared" si="11"/>
        <v>27.099999999999994</v>
      </c>
    </row>
    <row r="10" spans="1:52" ht="34.5" customHeight="1">
      <c r="A10" s="57">
        <v>3</v>
      </c>
      <c r="B10" s="62" t="s">
        <v>95</v>
      </c>
      <c r="C10" s="85">
        <v>5.8</v>
      </c>
      <c r="D10" s="36">
        <v>0</v>
      </c>
      <c r="E10" s="36">
        <v>0</v>
      </c>
      <c r="F10" s="10">
        <v>0</v>
      </c>
      <c r="G10" s="36">
        <v>4.4</v>
      </c>
      <c r="H10" s="36">
        <v>8.4</v>
      </c>
      <c r="I10" s="10">
        <f t="shared" si="0"/>
        <v>190.9090909090909</v>
      </c>
      <c r="J10" s="36">
        <v>3.1</v>
      </c>
      <c r="K10" s="36">
        <v>0</v>
      </c>
      <c r="L10" s="10">
        <f t="shared" si="1"/>
        <v>0</v>
      </c>
      <c r="M10" s="72">
        <f t="shared" si="12"/>
        <v>7.5</v>
      </c>
      <c r="N10" s="72">
        <f t="shared" si="13"/>
        <v>8.4</v>
      </c>
      <c r="O10" s="10">
        <f t="shared" si="5"/>
        <v>112.00000000000001</v>
      </c>
      <c r="P10" s="36"/>
      <c r="Q10" s="36"/>
      <c r="R10" s="104"/>
      <c r="S10" s="36"/>
      <c r="T10" s="36"/>
      <c r="U10" s="104"/>
      <c r="V10" s="36"/>
      <c r="W10" s="36"/>
      <c r="X10" s="104" t="e">
        <f t="shared" si="2"/>
        <v>#DIV/0!</v>
      </c>
      <c r="Y10" s="72">
        <f t="shared" si="14"/>
        <v>0</v>
      </c>
      <c r="Z10" s="72">
        <f t="shared" si="15"/>
        <v>0</v>
      </c>
      <c r="AA10" s="10" t="e">
        <f t="shared" si="6"/>
        <v>#DIV/0!</v>
      </c>
      <c r="AB10" s="36"/>
      <c r="AC10" s="36"/>
      <c r="AD10" s="104"/>
      <c r="AE10" s="36"/>
      <c r="AF10" s="36"/>
      <c r="AG10" s="10"/>
      <c r="AH10" s="36"/>
      <c r="AI10" s="36"/>
      <c r="AJ10" s="72">
        <f t="shared" si="16"/>
        <v>0</v>
      </c>
      <c r="AK10" s="72">
        <f t="shared" si="17"/>
        <v>0</v>
      </c>
      <c r="AL10" s="10" t="e">
        <f t="shared" si="7"/>
        <v>#DIV/0!</v>
      </c>
      <c r="AM10" s="36"/>
      <c r="AN10" s="36"/>
      <c r="AO10" s="36"/>
      <c r="AP10" s="36"/>
      <c r="AQ10" s="36"/>
      <c r="AR10" s="36"/>
      <c r="AS10" s="59">
        <f t="shared" si="18"/>
        <v>7.5</v>
      </c>
      <c r="AT10" s="59">
        <f t="shared" si="19"/>
        <v>8.4</v>
      </c>
      <c r="AU10" s="10">
        <f t="shared" si="4"/>
        <v>112.00000000000001</v>
      </c>
      <c r="AV10" s="59">
        <f t="shared" si="20"/>
        <v>-0.9000000000000004</v>
      </c>
      <c r="AW10" s="16">
        <f t="shared" si="8"/>
        <v>4.9</v>
      </c>
      <c r="AX10" s="21">
        <f t="shared" si="9"/>
        <v>7.5</v>
      </c>
      <c r="AY10" s="21">
        <f t="shared" si="10"/>
        <v>8.4</v>
      </c>
      <c r="AZ10" s="40">
        <f t="shared" si="11"/>
        <v>4.9</v>
      </c>
    </row>
    <row r="11" spans="1:52" ht="34.5" customHeight="1">
      <c r="A11" s="57">
        <v>4</v>
      </c>
      <c r="B11" s="58" t="s">
        <v>50</v>
      </c>
      <c r="C11" s="85">
        <v>63.9</v>
      </c>
      <c r="D11" s="36">
        <v>24.6</v>
      </c>
      <c r="E11" s="36">
        <v>60.2</v>
      </c>
      <c r="F11" s="10">
        <f>E11/D11*100</f>
        <v>244.71544715447155</v>
      </c>
      <c r="G11" s="36">
        <v>25.1</v>
      </c>
      <c r="H11" s="36">
        <v>0</v>
      </c>
      <c r="I11" s="10">
        <f t="shared" si="0"/>
        <v>0</v>
      </c>
      <c r="J11" s="36">
        <v>27.9</v>
      </c>
      <c r="K11" s="36">
        <v>37</v>
      </c>
      <c r="L11" s="10">
        <f t="shared" si="1"/>
        <v>132.61648745519713</v>
      </c>
      <c r="M11" s="72">
        <f t="shared" si="12"/>
        <v>77.6</v>
      </c>
      <c r="N11" s="72">
        <f t="shared" si="13"/>
        <v>97.2</v>
      </c>
      <c r="O11" s="10">
        <f t="shared" si="5"/>
        <v>125.2577319587629</v>
      </c>
      <c r="P11" s="36"/>
      <c r="Q11" s="36"/>
      <c r="R11" s="104"/>
      <c r="S11" s="36"/>
      <c r="T11" s="36"/>
      <c r="U11" s="104"/>
      <c r="V11" s="36"/>
      <c r="W11" s="36"/>
      <c r="X11" s="104" t="e">
        <f t="shared" si="2"/>
        <v>#DIV/0!</v>
      </c>
      <c r="Y11" s="72">
        <f t="shared" si="14"/>
        <v>0</v>
      </c>
      <c r="Z11" s="72">
        <f t="shared" si="15"/>
        <v>0</v>
      </c>
      <c r="AA11" s="10" t="e">
        <f t="shared" si="6"/>
        <v>#DIV/0!</v>
      </c>
      <c r="AB11" s="36"/>
      <c r="AC11" s="36"/>
      <c r="AD11" s="104"/>
      <c r="AE11" s="36"/>
      <c r="AF11" s="36"/>
      <c r="AG11" s="10"/>
      <c r="AH11" s="36"/>
      <c r="AI11" s="36"/>
      <c r="AJ11" s="72">
        <f t="shared" si="16"/>
        <v>0</v>
      </c>
      <c r="AK11" s="72">
        <f t="shared" si="17"/>
        <v>0</v>
      </c>
      <c r="AL11" s="10" t="e">
        <f t="shared" si="7"/>
        <v>#DIV/0!</v>
      </c>
      <c r="AM11" s="36"/>
      <c r="AN11" s="36"/>
      <c r="AO11" s="36"/>
      <c r="AP11" s="36"/>
      <c r="AQ11" s="36"/>
      <c r="AR11" s="36"/>
      <c r="AS11" s="59">
        <f t="shared" si="18"/>
        <v>77.6</v>
      </c>
      <c r="AT11" s="59">
        <f t="shared" si="19"/>
        <v>97.2</v>
      </c>
      <c r="AU11" s="10">
        <f t="shared" si="4"/>
        <v>125.2577319587629</v>
      </c>
      <c r="AV11" s="59">
        <f t="shared" si="20"/>
        <v>-19.60000000000001</v>
      </c>
      <c r="AW11" s="16">
        <f t="shared" si="8"/>
        <v>44.3</v>
      </c>
      <c r="AX11" s="21">
        <f t="shared" si="9"/>
        <v>77.6</v>
      </c>
      <c r="AY11" s="21">
        <f t="shared" si="10"/>
        <v>97.2</v>
      </c>
      <c r="AZ11" s="40">
        <f t="shared" si="11"/>
        <v>44.3</v>
      </c>
    </row>
    <row r="12" spans="1:52" ht="34.5" customHeight="1">
      <c r="A12" s="57">
        <v>5</v>
      </c>
      <c r="B12" s="58" t="s">
        <v>51</v>
      </c>
      <c r="C12" s="85">
        <v>8</v>
      </c>
      <c r="D12" s="36">
        <v>8.2</v>
      </c>
      <c r="E12" s="36">
        <v>8</v>
      </c>
      <c r="F12" s="10">
        <f>E12/D12*100</f>
        <v>97.56097560975611</v>
      </c>
      <c r="G12" s="36">
        <v>8.1</v>
      </c>
      <c r="H12" s="36">
        <v>0</v>
      </c>
      <c r="I12" s="10">
        <f t="shared" si="0"/>
        <v>0</v>
      </c>
      <c r="J12" s="36">
        <v>8.1</v>
      </c>
      <c r="K12" s="36">
        <v>12.6</v>
      </c>
      <c r="L12" s="10">
        <f t="shared" si="1"/>
        <v>155.55555555555557</v>
      </c>
      <c r="M12" s="72">
        <f t="shared" si="12"/>
        <v>24.4</v>
      </c>
      <c r="N12" s="72">
        <f t="shared" si="13"/>
        <v>20.6</v>
      </c>
      <c r="O12" s="10">
        <f t="shared" si="5"/>
        <v>84.42622950819674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2"/>
        <v>#DIV/0!</v>
      </c>
      <c r="Y12" s="72">
        <f t="shared" si="14"/>
        <v>0</v>
      </c>
      <c r="Z12" s="72">
        <f t="shared" si="15"/>
        <v>0</v>
      </c>
      <c r="AA12" s="10" t="e">
        <f t="shared" si="6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6"/>
        <v>0</v>
      </c>
      <c r="AK12" s="72">
        <f t="shared" si="17"/>
        <v>0</v>
      </c>
      <c r="AL12" s="10" t="e">
        <f t="shared" si="7"/>
        <v>#DIV/0!</v>
      </c>
      <c r="AM12" s="36"/>
      <c r="AN12" s="36"/>
      <c r="AO12" s="36"/>
      <c r="AP12" s="36"/>
      <c r="AQ12" s="36"/>
      <c r="AR12" s="36"/>
      <c r="AS12" s="59">
        <f t="shared" si="18"/>
        <v>24.4</v>
      </c>
      <c r="AT12" s="59">
        <f t="shared" si="19"/>
        <v>20.6</v>
      </c>
      <c r="AU12" s="10">
        <f t="shared" si="4"/>
        <v>84.42622950819674</v>
      </c>
      <c r="AV12" s="59">
        <f t="shared" si="20"/>
        <v>3.799999999999997</v>
      </c>
      <c r="AW12" s="16">
        <f t="shared" si="8"/>
        <v>11.799999999999997</v>
      </c>
      <c r="AX12" s="21">
        <f t="shared" si="9"/>
        <v>24.4</v>
      </c>
      <c r="AY12" s="21">
        <f t="shared" si="10"/>
        <v>20.6</v>
      </c>
      <c r="AZ12" s="40">
        <f t="shared" si="11"/>
        <v>11.799999999999997</v>
      </c>
    </row>
    <row r="13" spans="1:52" ht="34.5" customHeight="1">
      <c r="A13" s="57">
        <v>6</v>
      </c>
      <c r="B13" s="58" t="s">
        <v>52</v>
      </c>
      <c r="C13" s="85">
        <v>40.7</v>
      </c>
      <c r="D13" s="36">
        <v>20.4</v>
      </c>
      <c r="E13" s="36">
        <v>21.3</v>
      </c>
      <c r="F13" s="10">
        <f aca="true" t="shared" si="21" ref="F13:F45">E13/D13*100</f>
        <v>104.41176470588236</v>
      </c>
      <c r="G13" s="36">
        <v>19</v>
      </c>
      <c r="H13" s="36">
        <v>19.4</v>
      </c>
      <c r="I13" s="10">
        <f t="shared" si="0"/>
        <v>102.10526315789473</v>
      </c>
      <c r="J13" s="36">
        <v>20</v>
      </c>
      <c r="K13" s="36">
        <v>0</v>
      </c>
      <c r="L13" s="10">
        <f t="shared" si="1"/>
        <v>0</v>
      </c>
      <c r="M13" s="72">
        <f t="shared" si="12"/>
        <v>59.4</v>
      </c>
      <c r="N13" s="72">
        <f t="shared" si="13"/>
        <v>40.7</v>
      </c>
      <c r="O13" s="10">
        <f t="shared" si="5"/>
        <v>68.51851851851852</v>
      </c>
      <c r="P13" s="36"/>
      <c r="Q13" s="36"/>
      <c r="R13" s="104"/>
      <c r="S13" s="36"/>
      <c r="T13" s="36"/>
      <c r="U13" s="104"/>
      <c r="V13" s="36"/>
      <c r="W13" s="36"/>
      <c r="X13" s="104" t="e">
        <f t="shared" si="2"/>
        <v>#DIV/0!</v>
      </c>
      <c r="Y13" s="72">
        <f t="shared" si="14"/>
        <v>0</v>
      </c>
      <c r="Z13" s="72">
        <f t="shared" si="15"/>
        <v>0</v>
      </c>
      <c r="AA13" s="10" t="e">
        <f t="shared" si="6"/>
        <v>#DIV/0!</v>
      </c>
      <c r="AB13" s="36"/>
      <c r="AC13" s="36"/>
      <c r="AD13" s="104"/>
      <c r="AE13" s="36"/>
      <c r="AF13" s="36"/>
      <c r="AG13" s="10"/>
      <c r="AH13" s="36"/>
      <c r="AI13" s="36"/>
      <c r="AJ13" s="72">
        <f t="shared" si="16"/>
        <v>0</v>
      </c>
      <c r="AK13" s="72">
        <f t="shared" si="17"/>
        <v>0</v>
      </c>
      <c r="AL13" s="10" t="e">
        <f t="shared" si="7"/>
        <v>#DIV/0!</v>
      </c>
      <c r="AM13" s="36"/>
      <c r="AN13" s="36"/>
      <c r="AO13" s="36"/>
      <c r="AP13" s="36"/>
      <c r="AQ13" s="36"/>
      <c r="AR13" s="36"/>
      <c r="AS13" s="59">
        <f t="shared" si="18"/>
        <v>59.4</v>
      </c>
      <c r="AT13" s="59">
        <f t="shared" si="19"/>
        <v>40.7</v>
      </c>
      <c r="AU13" s="10">
        <f t="shared" si="4"/>
        <v>68.51851851851852</v>
      </c>
      <c r="AV13" s="59">
        <f t="shared" si="20"/>
        <v>18.699999999999996</v>
      </c>
      <c r="AW13" s="16">
        <f t="shared" si="8"/>
        <v>59.39999999999999</v>
      </c>
      <c r="AX13" s="21">
        <f t="shared" si="9"/>
        <v>59.4</v>
      </c>
      <c r="AY13" s="21">
        <f t="shared" si="10"/>
        <v>40.7</v>
      </c>
      <c r="AZ13" s="40">
        <f t="shared" si="11"/>
        <v>59.39999999999999</v>
      </c>
    </row>
    <row r="14" spans="1:52" ht="34.5" customHeight="1">
      <c r="A14" s="57">
        <v>7</v>
      </c>
      <c r="B14" s="58" t="s">
        <v>96</v>
      </c>
      <c r="C14" s="85">
        <v>3.7</v>
      </c>
      <c r="D14" s="36">
        <v>4.7</v>
      </c>
      <c r="E14" s="36">
        <v>3.7</v>
      </c>
      <c r="F14" s="10">
        <f t="shared" si="21"/>
        <v>78.72340425531915</v>
      </c>
      <c r="G14" s="36">
        <v>5.4</v>
      </c>
      <c r="H14" s="36">
        <v>4.7</v>
      </c>
      <c r="I14" s="10">
        <f t="shared" si="0"/>
        <v>87.03703703703704</v>
      </c>
      <c r="J14" s="36">
        <v>5.6</v>
      </c>
      <c r="K14" s="36">
        <v>2.6</v>
      </c>
      <c r="L14" s="10">
        <f t="shared" si="1"/>
        <v>46.42857142857144</v>
      </c>
      <c r="M14" s="72">
        <f t="shared" si="12"/>
        <v>15.700000000000001</v>
      </c>
      <c r="N14" s="72">
        <f t="shared" si="13"/>
        <v>11</v>
      </c>
      <c r="O14" s="10">
        <f t="shared" si="5"/>
        <v>70.06369426751591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2"/>
        <v>#DIV/0!</v>
      </c>
      <c r="Y14" s="72">
        <f t="shared" si="14"/>
        <v>0</v>
      </c>
      <c r="Z14" s="72">
        <f t="shared" si="15"/>
        <v>0</v>
      </c>
      <c r="AA14" s="10" t="e">
        <f t="shared" si="6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6"/>
        <v>0</v>
      </c>
      <c r="AK14" s="72">
        <f t="shared" si="17"/>
        <v>0</v>
      </c>
      <c r="AL14" s="10" t="e">
        <f t="shared" si="7"/>
        <v>#DIV/0!</v>
      </c>
      <c r="AM14" s="36"/>
      <c r="AN14" s="36"/>
      <c r="AO14" s="36"/>
      <c r="AP14" s="36"/>
      <c r="AQ14" s="36"/>
      <c r="AR14" s="36"/>
      <c r="AS14" s="59">
        <f t="shared" si="18"/>
        <v>15.700000000000001</v>
      </c>
      <c r="AT14" s="59">
        <f t="shared" si="19"/>
        <v>11</v>
      </c>
      <c r="AU14" s="10">
        <f t="shared" si="4"/>
        <v>70.06369426751591</v>
      </c>
      <c r="AV14" s="59">
        <f t="shared" si="20"/>
        <v>4.700000000000001</v>
      </c>
      <c r="AW14" s="16">
        <f t="shared" si="8"/>
        <v>8.400000000000002</v>
      </c>
      <c r="AX14" s="21">
        <f t="shared" si="9"/>
        <v>15.700000000000001</v>
      </c>
      <c r="AY14" s="21">
        <f t="shared" si="10"/>
        <v>11</v>
      </c>
      <c r="AZ14" s="40">
        <f t="shared" si="11"/>
        <v>8.400000000000002</v>
      </c>
    </row>
    <row r="15" spans="1:52" ht="34.5" customHeight="1">
      <c r="A15" s="57">
        <v>8</v>
      </c>
      <c r="B15" s="58" t="s">
        <v>53</v>
      </c>
      <c r="C15" s="85">
        <v>125.4</v>
      </c>
      <c r="D15" s="36">
        <v>76</v>
      </c>
      <c r="E15" s="36">
        <v>73.4</v>
      </c>
      <c r="F15" s="10">
        <f t="shared" si="21"/>
        <v>96.57894736842107</v>
      </c>
      <c r="G15" s="36">
        <v>82.2</v>
      </c>
      <c r="H15" s="36">
        <v>75.7</v>
      </c>
      <c r="I15" s="10">
        <f t="shared" si="0"/>
        <v>92.09245742092457</v>
      </c>
      <c r="J15" s="36">
        <v>91.4</v>
      </c>
      <c r="K15" s="36">
        <v>56.7</v>
      </c>
      <c r="L15" s="10">
        <f t="shared" si="1"/>
        <v>62.03501094091904</v>
      </c>
      <c r="M15" s="72">
        <f t="shared" si="12"/>
        <v>249.6</v>
      </c>
      <c r="N15" s="72">
        <f t="shared" si="13"/>
        <v>205.8</v>
      </c>
      <c r="O15" s="10">
        <f t="shared" si="5"/>
        <v>82.45192307692308</v>
      </c>
      <c r="P15" s="36"/>
      <c r="Q15" s="36"/>
      <c r="R15" s="104"/>
      <c r="S15" s="36"/>
      <c r="T15" s="36"/>
      <c r="U15" s="104"/>
      <c r="V15" s="36"/>
      <c r="W15" s="36"/>
      <c r="X15" s="104" t="e">
        <f t="shared" si="2"/>
        <v>#DIV/0!</v>
      </c>
      <c r="Y15" s="72">
        <f t="shared" si="14"/>
        <v>0</v>
      </c>
      <c r="Z15" s="72">
        <f t="shared" si="15"/>
        <v>0</v>
      </c>
      <c r="AA15" s="10" t="e">
        <f t="shared" si="6"/>
        <v>#DIV/0!</v>
      </c>
      <c r="AB15" s="36"/>
      <c r="AC15" s="36"/>
      <c r="AD15" s="104"/>
      <c r="AE15" s="36"/>
      <c r="AF15" s="36"/>
      <c r="AG15" s="10"/>
      <c r="AH15" s="36"/>
      <c r="AI15" s="36"/>
      <c r="AJ15" s="72">
        <f t="shared" si="16"/>
        <v>0</v>
      </c>
      <c r="AK15" s="72">
        <f t="shared" si="17"/>
        <v>0</v>
      </c>
      <c r="AL15" s="10" t="e">
        <f t="shared" si="7"/>
        <v>#DIV/0!</v>
      </c>
      <c r="AM15" s="36"/>
      <c r="AN15" s="36"/>
      <c r="AO15" s="36"/>
      <c r="AP15" s="36"/>
      <c r="AQ15" s="36"/>
      <c r="AR15" s="36"/>
      <c r="AS15" s="59">
        <f t="shared" si="18"/>
        <v>249.6</v>
      </c>
      <c r="AT15" s="59">
        <f t="shared" si="19"/>
        <v>205.8</v>
      </c>
      <c r="AU15" s="10">
        <f t="shared" si="4"/>
        <v>82.45192307692308</v>
      </c>
      <c r="AV15" s="59">
        <f t="shared" si="20"/>
        <v>43.79999999999998</v>
      </c>
      <c r="AW15" s="16">
        <f t="shared" si="8"/>
        <v>169.2</v>
      </c>
      <c r="AX15" s="21">
        <f t="shared" si="9"/>
        <v>249.6</v>
      </c>
      <c r="AY15" s="21">
        <f t="shared" si="10"/>
        <v>205.8</v>
      </c>
      <c r="AZ15" s="40">
        <f t="shared" si="11"/>
        <v>169.2</v>
      </c>
    </row>
    <row r="16" spans="1:52" ht="34.5" customHeight="1">
      <c r="A16" s="57">
        <v>9</v>
      </c>
      <c r="B16" s="58" t="s">
        <v>54</v>
      </c>
      <c r="C16" s="85">
        <v>1.9</v>
      </c>
      <c r="D16" s="36">
        <v>0.8</v>
      </c>
      <c r="E16" s="36">
        <v>0.8</v>
      </c>
      <c r="F16" s="10">
        <f t="shared" si="21"/>
        <v>100</v>
      </c>
      <c r="G16" s="36">
        <v>1</v>
      </c>
      <c r="H16" s="36">
        <v>0.9</v>
      </c>
      <c r="I16" s="10">
        <f t="shared" si="0"/>
        <v>90</v>
      </c>
      <c r="J16" s="36">
        <v>0.9</v>
      </c>
      <c r="K16" s="36">
        <v>0.4</v>
      </c>
      <c r="L16" s="10">
        <f t="shared" si="1"/>
        <v>44.44444444444445</v>
      </c>
      <c r="M16" s="72">
        <f t="shared" si="12"/>
        <v>2.7</v>
      </c>
      <c r="N16" s="72">
        <f t="shared" si="13"/>
        <v>2.1</v>
      </c>
      <c r="O16" s="10">
        <f t="shared" si="5"/>
        <v>77.77777777777779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2"/>
        <v>#DIV/0!</v>
      </c>
      <c r="Y16" s="72">
        <f t="shared" si="14"/>
        <v>0</v>
      </c>
      <c r="Z16" s="72">
        <f t="shared" si="15"/>
        <v>0</v>
      </c>
      <c r="AA16" s="10" t="e">
        <f t="shared" si="6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6"/>
        <v>0</v>
      </c>
      <c r="AK16" s="72">
        <f t="shared" si="17"/>
        <v>0</v>
      </c>
      <c r="AL16" s="10" t="e">
        <f t="shared" si="7"/>
        <v>#DIV/0!</v>
      </c>
      <c r="AM16" s="36"/>
      <c r="AN16" s="36"/>
      <c r="AO16" s="36"/>
      <c r="AP16" s="36"/>
      <c r="AQ16" s="36"/>
      <c r="AR16" s="36"/>
      <c r="AS16" s="59">
        <f t="shared" si="18"/>
        <v>2.7</v>
      </c>
      <c r="AT16" s="59">
        <f t="shared" si="19"/>
        <v>2.1</v>
      </c>
      <c r="AU16" s="10">
        <f t="shared" si="4"/>
        <v>77.77777777777779</v>
      </c>
      <c r="AV16" s="59">
        <f t="shared" si="20"/>
        <v>0.6000000000000001</v>
      </c>
      <c r="AW16" s="16">
        <f t="shared" si="8"/>
        <v>2.4999999999999996</v>
      </c>
      <c r="AX16" s="21">
        <f t="shared" si="9"/>
        <v>2.7</v>
      </c>
      <c r="AY16" s="21">
        <f t="shared" si="10"/>
        <v>2.1</v>
      </c>
      <c r="AZ16" s="40">
        <f t="shared" si="11"/>
        <v>2.4999999999999996</v>
      </c>
    </row>
    <row r="17" spans="1:52" ht="34.5" customHeight="1">
      <c r="A17" s="57">
        <v>10</v>
      </c>
      <c r="B17" s="62" t="s">
        <v>97</v>
      </c>
      <c r="C17" s="85">
        <f>55.1+95.7</f>
        <v>150.8</v>
      </c>
      <c r="D17" s="36">
        <f>6.7+31.8</f>
        <v>38.5</v>
      </c>
      <c r="E17" s="36">
        <f>9.7+58</f>
        <v>67.7</v>
      </c>
      <c r="F17" s="10">
        <f t="shared" si="21"/>
        <v>175.84415584415584</v>
      </c>
      <c r="G17" s="36">
        <f>6+27.6</f>
        <v>33.6</v>
      </c>
      <c r="H17" s="36">
        <f>43.1+66.4</f>
        <v>109.5</v>
      </c>
      <c r="I17" s="10">
        <f t="shared" si="0"/>
        <v>325.8928571428571</v>
      </c>
      <c r="J17" s="36">
        <f>7.1+27.9</f>
        <v>35</v>
      </c>
      <c r="K17" s="36">
        <v>16.4</v>
      </c>
      <c r="L17" s="10">
        <f aca="true" t="shared" si="22" ref="L17:L28">K17/J17*100</f>
        <v>46.857142857142854</v>
      </c>
      <c r="M17" s="72">
        <f t="shared" si="12"/>
        <v>107.1</v>
      </c>
      <c r="N17" s="72">
        <f t="shared" si="13"/>
        <v>193.6</v>
      </c>
      <c r="O17" s="10">
        <f t="shared" si="5"/>
        <v>180.765639589169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2"/>
        <v>#DIV/0!</v>
      </c>
      <c r="Y17" s="72">
        <f t="shared" si="14"/>
        <v>0</v>
      </c>
      <c r="Z17" s="72">
        <f t="shared" si="15"/>
        <v>0</v>
      </c>
      <c r="AA17" s="10" t="e">
        <f t="shared" si="6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6"/>
        <v>0</v>
      </c>
      <c r="AK17" s="72">
        <f t="shared" si="17"/>
        <v>0</v>
      </c>
      <c r="AL17" s="10" t="e">
        <f t="shared" si="7"/>
        <v>#DIV/0!</v>
      </c>
      <c r="AM17" s="36"/>
      <c r="AN17" s="36"/>
      <c r="AO17" s="36"/>
      <c r="AP17" s="36"/>
      <c r="AQ17" s="36"/>
      <c r="AR17" s="36"/>
      <c r="AS17" s="59">
        <f t="shared" si="18"/>
        <v>107.1</v>
      </c>
      <c r="AT17" s="59">
        <f t="shared" si="19"/>
        <v>193.6</v>
      </c>
      <c r="AU17" s="10">
        <f t="shared" si="4"/>
        <v>180.765639589169</v>
      </c>
      <c r="AV17" s="59">
        <f t="shared" si="20"/>
        <v>-86.5</v>
      </c>
      <c r="AW17" s="16">
        <f t="shared" si="8"/>
        <v>64.29999999999998</v>
      </c>
      <c r="AX17" s="21">
        <f t="shared" si="9"/>
        <v>107.1</v>
      </c>
      <c r="AY17" s="21">
        <f t="shared" si="10"/>
        <v>193.6</v>
      </c>
      <c r="AZ17" s="40">
        <f t="shared" si="11"/>
        <v>64.29999999999998</v>
      </c>
    </row>
    <row r="18" spans="1:52" ht="34.5" customHeight="1">
      <c r="A18" s="57">
        <v>11</v>
      </c>
      <c r="B18" s="62" t="s">
        <v>55</v>
      </c>
      <c r="C18" s="85">
        <v>10.3</v>
      </c>
      <c r="D18" s="36">
        <v>10.2</v>
      </c>
      <c r="E18" s="36">
        <v>10.3</v>
      </c>
      <c r="F18" s="10">
        <f t="shared" si="21"/>
        <v>100.98039215686276</v>
      </c>
      <c r="G18" s="36">
        <v>10.2</v>
      </c>
      <c r="H18" s="36">
        <v>10.2</v>
      </c>
      <c r="I18" s="10">
        <f t="shared" si="0"/>
        <v>100</v>
      </c>
      <c r="J18" s="36">
        <v>10.3</v>
      </c>
      <c r="K18" s="36">
        <v>5</v>
      </c>
      <c r="L18" s="10">
        <f t="shared" si="22"/>
        <v>48.543689320388346</v>
      </c>
      <c r="M18" s="72">
        <f t="shared" si="12"/>
        <v>30.7</v>
      </c>
      <c r="N18" s="72">
        <f t="shared" si="13"/>
        <v>25.5</v>
      </c>
      <c r="O18" s="10">
        <f t="shared" si="5"/>
        <v>83.06188925081433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2"/>
        <v>#DIV/0!</v>
      </c>
      <c r="Y18" s="72">
        <f t="shared" si="14"/>
        <v>0</v>
      </c>
      <c r="Z18" s="72">
        <f t="shared" si="15"/>
        <v>0</v>
      </c>
      <c r="AA18" s="10" t="e">
        <f t="shared" si="6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6"/>
        <v>0</v>
      </c>
      <c r="AK18" s="72">
        <f t="shared" si="17"/>
        <v>0</v>
      </c>
      <c r="AL18" s="10" t="e">
        <f t="shared" si="7"/>
        <v>#DIV/0!</v>
      </c>
      <c r="AM18" s="36"/>
      <c r="AN18" s="36"/>
      <c r="AO18" s="36"/>
      <c r="AP18" s="36"/>
      <c r="AQ18" s="36"/>
      <c r="AR18" s="36"/>
      <c r="AS18" s="59">
        <f t="shared" si="18"/>
        <v>30.7</v>
      </c>
      <c r="AT18" s="59">
        <f t="shared" si="19"/>
        <v>25.5</v>
      </c>
      <c r="AU18" s="10">
        <f t="shared" si="4"/>
        <v>83.06188925081433</v>
      </c>
      <c r="AV18" s="59">
        <f t="shared" si="20"/>
        <v>5.199999999999999</v>
      </c>
      <c r="AW18" s="16">
        <f t="shared" si="8"/>
        <v>15.5</v>
      </c>
      <c r="AX18" s="21">
        <f t="shared" si="9"/>
        <v>30.7</v>
      </c>
      <c r="AY18" s="21">
        <f t="shared" si="10"/>
        <v>25.5</v>
      </c>
      <c r="AZ18" s="40">
        <f t="shared" si="11"/>
        <v>15.5</v>
      </c>
    </row>
    <row r="19" spans="1:52" ht="34.5" customHeight="1">
      <c r="A19" s="57">
        <v>12</v>
      </c>
      <c r="B19" s="58" t="s">
        <v>56</v>
      </c>
      <c r="C19" s="85">
        <v>23.6</v>
      </c>
      <c r="D19" s="36">
        <v>23</v>
      </c>
      <c r="E19" s="36">
        <v>0</v>
      </c>
      <c r="F19" s="10">
        <f t="shared" si="21"/>
        <v>0</v>
      </c>
      <c r="G19" s="36">
        <v>24.5</v>
      </c>
      <c r="H19" s="36">
        <v>23.6</v>
      </c>
      <c r="I19" s="10">
        <f t="shared" si="0"/>
        <v>96.3265306122449</v>
      </c>
      <c r="J19" s="36">
        <v>24.3</v>
      </c>
      <c r="K19" s="36">
        <v>7.6</v>
      </c>
      <c r="L19" s="10">
        <f t="shared" si="22"/>
        <v>31.27572016460905</v>
      </c>
      <c r="M19" s="72">
        <f t="shared" si="12"/>
        <v>71.8</v>
      </c>
      <c r="N19" s="72">
        <f t="shared" si="13"/>
        <v>31.200000000000003</v>
      </c>
      <c r="O19" s="10">
        <f t="shared" si="5"/>
        <v>43.45403899721449</v>
      </c>
      <c r="P19" s="36"/>
      <c r="Q19" s="36"/>
      <c r="R19" s="104"/>
      <c r="S19" s="36"/>
      <c r="T19" s="36"/>
      <c r="U19" s="104"/>
      <c r="V19" s="36"/>
      <c r="W19" s="36"/>
      <c r="X19" s="104" t="e">
        <f t="shared" si="2"/>
        <v>#DIV/0!</v>
      </c>
      <c r="Y19" s="72">
        <f t="shared" si="14"/>
        <v>0</v>
      </c>
      <c r="Z19" s="72">
        <f t="shared" si="15"/>
        <v>0</v>
      </c>
      <c r="AA19" s="10" t="e">
        <f t="shared" si="6"/>
        <v>#DIV/0!</v>
      </c>
      <c r="AB19" s="36"/>
      <c r="AC19" s="36"/>
      <c r="AD19" s="104"/>
      <c r="AE19" s="36"/>
      <c r="AF19" s="36"/>
      <c r="AG19" s="104"/>
      <c r="AH19" s="36"/>
      <c r="AI19" s="36"/>
      <c r="AJ19" s="72">
        <f t="shared" si="16"/>
        <v>0</v>
      </c>
      <c r="AK19" s="72">
        <f t="shared" si="17"/>
        <v>0</v>
      </c>
      <c r="AL19" s="10" t="e">
        <f t="shared" si="7"/>
        <v>#DIV/0!</v>
      </c>
      <c r="AM19" s="36"/>
      <c r="AN19" s="36"/>
      <c r="AO19" s="36"/>
      <c r="AP19" s="36"/>
      <c r="AQ19" s="36"/>
      <c r="AR19" s="36"/>
      <c r="AS19" s="59">
        <f t="shared" si="18"/>
        <v>71.8</v>
      </c>
      <c r="AT19" s="59">
        <f t="shared" si="19"/>
        <v>31.200000000000003</v>
      </c>
      <c r="AU19" s="10">
        <f t="shared" si="4"/>
        <v>43.45403899721449</v>
      </c>
      <c r="AV19" s="59">
        <f t="shared" si="20"/>
        <v>40.599999999999994</v>
      </c>
      <c r="AW19" s="16">
        <f t="shared" si="8"/>
        <v>64.2</v>
      </c>
      <c r="AX19" s="21">
        <f t="shared" si="9"/>
        <v>71.8</v>
      </c>
      <c r="AY19" s="21">
        <f t="shared" si="10"/>
        <v>31.200000000000003</v>
      </c>
      <c r="AZ19" s="40">
        <f t="shared" si="11"/>
        <v>64.2</v>
      </c>
    </row>
    <row r="20" spans="1:52" ht="34.5" customHeight="1">
      <c r="A20" s="57">
        <v>13</v>
      </c>
      <c r="B20" s="62" t="s">
        <v>57</v>
      </c>
      <c r="C20" s="85">
        <v>15.2</v>
      </c>
      <c r="D20" s="36">
        <v>5.7</v>
      </c>
      <c r="E20" s="36">
        <v>15.2</v>
      </c>
      <c r="F20" s="10">
        <v>0</v>
      </c>
      <c r="G20" s="36">
        <v>10.9</v>
      </c>
      <c r="H20" s="36">
        <v>5.7</v>
      </c>
      <c r="I20" s="10">
        <f t="shared" si="0"/>
        <v>52.293577981651374</v>
      </c>
      <c r="J20" s="36">
        <v>11.6</v>
      </c>
      <c r="K20" s="36">
        <v>0.4</v>
      </c>
      <c r="L20" s="10">
        <f t="shared" si="22"/>
        <v>3.4482758620689653</v>
      </c>
      <c r="M20" s="72">
        <f t="shared" si="12"/>
        <v>28.200000000000003</v>
      </c>
      <c r="N20" s="72">
        <f t="shared" si="13"/>
        <v>21.299999999999997</v>
      </c>
      <c r="O20" s="10">
        <f t="shared" si="5"/>
        <v>75.531914893617</v>
      </c>
      <c r="P20" s="36"/>
      <c r="Q20" s="36"/>
      <c r="R20" s="104"/>
      <c r="S20" s="36"/>
      <c r="T20" s="36"/>
      <c r="U20" s="104"/>
      <c r="V20" s="36"/>
      <c r="W20" s="36"/>
      <c r="X20" s="104" t="e">
        <f t="shared" si="2"/>
        <v>#DIV/0!</v>
      </c>
      <c r="Y20" s="72">
        <f t="shared" si="14"/>
        <v>0</v>
      </c>
      <c r="Z20" s="72">
        <f t="shared" si="15"/>
        <v>0</v>
      </c>
      <c r="AA20" s="10" t="e">
        <f t="shared" si="6"/>
        <v>#DIV/0!</v>
      </c>
      <c r="AB20" s="36"/>
      <c r="AC20" s="36"/>
      <c r="AD20" s="104"/>
      <c r="AE20" s="36"/>
      <c r="AF20" s="36"/>
      <c r="AG20" s="104"/>
      <c r="AH20" s="36"/>
      <c r="AI20" s="36"/>
      <c r="AJ20" s="72">
        <f t="shared" si="16"/>
        <v>0</v>
      </c>
      <c r="AK20" s="72">
        <f t="shared" si="17"/>
        <v>0</v>
      </c>
      <c r="AL20" s="10" t="e">
        <f t="shared" si="7"/>
        <v>#DIV/0!</v>
      </c>
      <c r="AM20" s="36"/>
      <c r="AN20" s="36"/>
      <c r="AO20" s="36"/>
      <c r="AP20" s="36"/>
      <c r="AQ20" s="36"/>
      <c r="AR20" s="36"/>
      <c r="AS20" s="59">
        <f t="shared" si="18"/>
        <v>28.200000000000003</v>
      </c>
      <c r="AT20" s="59">
        <f t="shared" si="19"/>
        <v>21.299999999999997</v>
      </c>
      <c r="AU20" s="10">
        <f t="shared" si="4"/>
        <v>75.531914893617</v>
      </c>
      <c r="AV20" s="59">
        <f t="shared" si="20"/>
        <v>6.900000000000006</v>
      </c>
      <c r="AW20" s="16">
        <f t="shared" si="8"/>
        <v>22.10000000000001</v>
      </c>
      <c r="AX20" s="21">
        <f t="shared" si="9"/>
        <v>28.200000000000003</v>
      </c>
      <c r="AY20" s="21">
        <f t="shared" si="10"/>
        <v>21.299999999999997</v>
      </c>
      <c r="AZ20" s="40">
        <f t="shared" si="11"/>
        <v>22.10000000000001</v>
      </c>
    </row>
    <row r="21" spans="1:52" ht="34.5" customHeight="1">
      <c r="A21" s="57">
        <v>14</v>
      </c>
      <c r="B21" s="62" t="s">
        <v>58</v>
      </c>
      <c r="C21" s="85">
        <v>6.6</v>
      </c>
      <c r="D21" s="36">
        <v>3</v>
      </c>
      <c r="E21" s="36">
        <v>3.1</v>
      </c>
      <c r="F21" s="55">
        <f t="shared" si="21"/>
        <v>103.33333333333334</v>
      </c>
      <c r="G21" s="36">
        <v>3.2</v>
      </c>
      <c r="H21" s="36">
        <v>3.1</v>
      </c>
      <c r="I21" s="10">
        <f t="shared" si="0"/>
        <v>96.875</v>
      </c>
      <c r="J21" s="36">
        <v>3.1</v>
      </c>
      <c r="K21" s="36">
        <v>0.6</v>
      </c>
      <c r="L21" s="10">
        <f t="shared" si="22"/>
        <v>19.35483870967742</v>
      </c>
      <c r="M21" s="72">
        <f t="shared" si="12"/>
        <v>9.3</v>
      </c>
      <c r="N21" s="72">
        <f t="shared" si="13"/>
        <v>6.8</v>
      </c>
      <c r="O21" s="10">
        <f t="shared" si="5"/>
        <v>73.11827956989247</v>
      </c>
      <c r="P21" s="36"/>
      <c r="Q21" s="36"/>
      <c r="R21" s="104"/>
      <c r="S21" s="36"/>
      <c r="T21" s="36"/>
      <c r="U21" s="104"/>
      <c r="V21" s="36"/>
      <c r="W21" s="36"/>
      <c r="X21" s="104" t="e">
        <f t="shared" si="2"/>
        <v>#DIV/0!</v>
      </c>
      <c r="Y21" s="72">
        <f t="shared" si="14"/>
        <v>0</v>
      </c>
      <c r="Z21" s="72">
        <f t="shared" si="15"/>
        <v>0</v>
      </c>
      <c r="AA21" s="10" t="e">
        <f t="shared" si="6"/>
        <v>#DIV/0!</v>
      </c>
      <c r="AB21" s="36"/>
      <c r="AC21" s="36"/>
      <c r="AD21" s="104"/>
      <c r="AE21" s="36"/>
      <c r="AF21" s="36"/>
      <c r="AG21" s="10"/>
      <c r="AH21" s="36"/>
      <c r="AI21" s="36"/>
      <c r="AJ21" s="72">
        <f t="shared" si="16"/>
        <v>0</v>
      </c>
      <c r="AK21" s="72">
        <f t="shared" si="17"/>
        <v>0</v>
      </c>
      <c r="AL21" s="10" t="e">
        <f t="shared" si="7"/>
        <v>#DIV/0!</v>
      </c>
      <c r="AM21" s="36"/>
      <c r="AN21" s="36"/>
      <c r="AO21" s="36"/>
      <c r="AP21" s="36"/>
      <c r="AQ21" s="36"/>
      <c r="AR21" s="36"/>
      <c r="AS21" s="59">
        <f t="shared" si="18"/>
        <v>9.3</v>
      </c>
      <c r="AT21" s="59">
        <f t="shared" si="19"/>
        <v>6.8</v>
      </c>
      <c r="AU21" s="10">
        <f t="shared" si="4"/>
        <v>73.11827956989247</v>
      </c>
      <c r="AV21" s="59">
        <f t="shared" si="20"/>
        <v>2.500000000000001</v>
      </c>
      <c r="AW21" s="16">
        <f t="shared" si="8"/>
        <v>9.100000000000001</v>
      </c>
      <c r="AX21" s="21">
        <f t="shared" si="9"/>
        <v>9.3</v>
      </c>
      <c r="AY21" s="21">
        <f t="shared" si="10"/>
        <v>6.8</v>
      </c>
      <c r="AZ21" s="40">
        <f t="shared" si="11"/>
        <v>9.100000000000001</v>
      </c>
    </row>
    <row r="22" spans="1:52" ht="34.5" customHeight="1">
      <c r="A22" s="57">
        <v>15</v>
      </c>
      <c r="B22" s="62" t="s">
        <v>41</v>
      </c>
      <c r="C22" s="85">
        <v>7.3</v>
      </c>
      <c r="D22" s="36">
        <v>8.2</v>
      </c>
      <c r="E22" s="36">
        <v>7.3</v>
      </c>
      <c r="F22" s="10">
        <f t="shared" si="21"/>
        <v>89.02439024390245</v>
      </c>
      <c r="G22" s="36">
        <v>8.4</v>
      </c>
      <c r="H22" s="36">
        <v>8</v>
      </c>
      <c r="I22" s="10">
        <f t="shared" si="0"/>
        <v>95.23809523809523</v>
      </c>
      <c r="J22" s="36">
        <v>7.1</v>
      </c>
      <c r="K22" s="36">
        <v>4.7</v>
      </c>
      <c r="L22" s="10">
        <f t="shared" si="22"/>
        <v>66.19718309859155</v>
      </c>
      <c r="M22" s="72">
        <f t="shared" si="12"/>
        <v>23.700000000000003</v>
      </c>
      <c r="N22" s="72">
        <f t="shared" si="13"/>
        <v>20</v>
      </c>
      <c r="O22" s="10">
        <f t="shared" si="5"/>
        <v>84.38818565400842</v>
      </c>
      <c r="P22" s="36"/>
      <c r="Q22" s="36"/>
      <c r="R22" s="104"/>
      <c r="S22" s="36"/>
      <c r="T22" s="36"/>
      <c r="U22" s="104"/>
      <c r="V22" s="36"/>
      <c r="W22" s="36"/>
      <c r="X22" s="104" t="e">
        <f t="shared" si="2"/>
        <v>#DIV/0!</v>
      </c>
      <c r="Y22" s="72">
        <f t="shared" si="14"/>
        <v>0</v>
      </c>
      <c r="Z22" s="72">
        <f t="shared" si="15"/>
        <v>0</v>
      </c>
      <c r="AA22" s="10" t="e">
        <f t="shared" si="6"/>
        <v>#DIV/0!</v>
      </c>
      <c r="AB22" s="36"/>
      <c r="AC22" s="36"/>
      <c r="AD22" s="104"/>
      <c r="AE22" s="36"/>
      <c r="AF22" s="36"/>
      <c r="AG22" s="105"/>
      <c r="AH22" s="36"/>
      <c r="AI22" s="36"/>
      <c r="AJ22" s="72">
        <f t="shared" si="16"/>
        <v>0</v>
      </c>
      <c r="AK22" s="72">
        <f t="shared" si="17"/>
        <v>0</v>
      </c>
      <c r="AL22" s="10" t="e">
        <f t="shared" si="7"/>
        <v>#DIV/0!</v>
      </c>
      <c r="AM22" s="36"/>
      <c r="AN22" s="36"/>
      <c r="AO22" s="36"/>
      <c r="AP22" s="36"/>
      <c r="AQ22" s="36"/>
      <c r="AR22" s="36"/>
      <c r="AS22" s="59">
        <f t="shared" si="18"/>
        <v>23.700000000000003</v>
      </c>
      <c r="AT22" s="59">
        <f t="shared" si="19"/>
        <v>20</v>
      </c>
      <c r="AU22" s="10">
        <f t="shared" si="4"/>
        <v>84.38818565400842</v>
      </c>
      <c r="AV22" s="59">
        <f t="shared" si="20"/>
        <v>3.700000000000003</v>
      </c>
      <c r="AW22" s="16">
        <f t="shared" si="8"/>
        <v>11.000000000000004</v>
      </c>
      <c r="AX22" s="21">
        <f t="shared" si="9"/>
        <v>23.700000000000003</v>
      </c>
      <c r="AY22" s="21">
        <f t="shared" si="10"/>
        <v>20</v>
      </c>
      <c r="AZ22" s="40">
        <f t="shared" si="11"/>
        <v>11.000000000000004</v>
      </c>
    </row>
    <row r="23" spans="1:52" ht="34.5" customHeight="1">
      <c r="A23" s="57">
        <v>16</v>
      </c>
      <c r="B23" s="62" t="s">
        <v>98</v>
      </c>
      <c r="C23" s="85">
        <v>1.6</v>
      </c>
      <c r="D23" s="36">
        <v>1.7</v>
      </c>
      <c r="E23" s="36">
        <v>1.4</v>
      </c>
      <c r="F23" s="10">
        <v>584.2</v>
      </c>
      <c r="G23" s="36">
        <v>1.8</v>
      </c>
      <c r="H23" s="36">
        <v>1.9</v>
      </c>
      <c r="I23" s="10">
        <f t="shared" si="0"/>
        <v>105.55555555555556</v>
      </c>
      <c r="J23" s="36">
        <v>1.8</v>
      </c>
      <c r="K23" s="36">
        <v>0</v>
      </c>
      <c r="L23" s="10">
        <f t="shared" si="22"/>
        <v>0</v>
      </c>
      <c r="M23" s="72">
        <f t="shared" si="12"/>
        <v>5.3</v>
      </c>
      <c r="N23" s="72">
        <f t="shared" si="13"/>
        <v>3.3</v>
      </c>
      <c r="O23" s="10">
        <f t="shared" si="5"/>
        <v>62.264150943396224</v>
      </c>
      <c r="P23" s="36"/>
      <c r="Q23" s="36"/>
      <c r="R23" s="10"/>
      <c r="S23" s="36"/>
      <c r="T23" s="36"/>
      <c r="U23" s="10"/>
      <c r="V23" s="36"/>
      <c r="W23" s="36"/>
      <c r="X23" s="10" t="e">
        <f t="shared" si="2"/>
        <v>#DIV/0!</v>
      </c>
      <c r="Y23" s="72">
        <f t="shared" si="14"/>
        <v>0</v>
      </c>
      <c r="Z23" s="72">
        <f t="shared" si="15"/>
        <v>0</v>
      </c>
      <c r="AA23" s="10" t="e">
        <f t="shared" si="6"/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6"/>
        <v>0</v>
      </c>
      <c r="AK23" s="72">
        <f t="shared" si="17"/>
        <v>0</v>
      </c>
      <c r="AL23" s="10" t="e">
        <f t="shared" si="7"/>
        <v>#DIV/0!</v>
      </c>
      <c r="AM23" s="36"/>
      <c r="AN23" s="36"/>
      <c r="AO23" s="36"/>
      <c r="AP23" s="36"/>
      <c r="AQ23" s="36"/>
      <c r="AR23" s="36"/>
      <c r="AS23" s="59">
        <f t="shared" si="18"/>
        <v>5.3</v>
      </c>
      <c r="AT23" s="59">
        <f t="shared" si="19"/>
        <v>3.3</v>
      </c>
      <c r="AU23" s="10">
        <f t="shared" si="4"/>
        <v>62.264150943396224</v>
      </c>
      <c r="AV23" s="59">
        <f t="shared" si="20"/>
        <v>2</v>
      </c>
      <c r="AW23" s="16">
        <f t="shared" si="8"/>
        <v>3.6000000000000005</v>
      </c>
      <c r="AX23" s="21">
        <f t="shared" si="9"/>
        <v>5.3</v>
      </c>
      <c r="AY23" s="21">
        <f t="shared" si="10"/>
        <v>3.3</v>
      </c>
      <c r="AZ23" s="40">
        <f t="shared" si="11"/>
        <v>3.6000000000000005</v>
      </c>
    </row>
    <row r="24" spans="1:52" ht="34.5" customHeight="1">
      <c r="A24" s="57">
        <v>17</v>
      </c>
      <c r="B24" s="62" t="s">
        <v>40</v>
      </c>
      <c r="C24" s="85">
        <v>72</v>
      </c>
      <c r="D24" s="36">
        <v>39.2</v>
      </c>
      <c r="E24" s="36">
        <v>38.2</v>
      </c>
      <c r="F24" s="10">
        <f t="shared" si="21"/>
        <v>97.44897959183673</v>
      </c>
      <c r="G24" s="36">
        <v>38.6</v>
      </c>
      <c r="H24" s="36">
        <v>33.7</v>
      </c>
      <c r="I24" s="10">
        <f t="shared" si="0"/>
        <v>87.30569948186529</v>
      </c>
      <c r="J24" s="36">
        <v>37</v>
      </c>
      <c r="K24" s="36">
        <v>39.3</v>
      </c>
      <c r="L24" s="10">
        <f t="shared" si="22"/>
        <v>106.21621621621622</v>
      </c>
      <c r="M24" s="72">
        <f t="shared" si="12"/>
        <v>114.80000000000001</v>
      </c>
      <c r="N24" s="72">
        <f t="shared" si="13"/>
        <v>111.2</v>
      </c>
      <c r="O24" s="10">
        <f t="shared" si="5"/>
        <v>96.86411149825783</v>
      </c>
      <c r="P24" s="36"/>
      <c r="Q24" s="36"/>
      <c r="R24" s="10"/>
      <c r="S24" s="36"/>
      <c r="T24" s="36"/>
      <c r="U24" s="10"/>
      <c r="V24" s="36"/>
      <c r="W24" s="36"/>
      <c r="X24" s="10" t="e">
        <f t="shared" si="2"/>
        <v>#DIV/0!</v>
      </c>
      <c r="Y24" s="72">
        <f t="shared" si="14"/>
        <v>0</v>
      </c>
      <c r="Z24" s="72">
        <f t="shared" si="15"/>
        <v>0</v>
      </c>
      <c r="AA24" s="10" t="e">
        <f t="shared" si="6"/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6"/>
        <v>0</v>
      </c>
      <c r="AK24" s="72">
        <f t="shared" si="17"/>
        <v>0</v>
      </c>
      <c r="AL24" s="10" t="e">
        <f t="shared" si="7"/>
        <v>#DIV/0!</v>
      </c>
      <c r="AM24" s="36"/>
      <c r="AN24" s="36"/>
      <c r="AO24" s="36"/>
      <c r="AP24" s="36"/>
      <c r="AQ24" s="36"/>
      <c r="AR24" s="36"/>
      <c r="AS24" s="59">
        <f t="shared" si="18"/>
        <v>114.80000000000001</v>
      </c>
      <c r="AT24" s="59">
        <f t="shared" si="19"/>
        <v>111.2</v>
      </c>
      <c r="AU24" s="10">
        <f t="shared" si="4"/>
        <v>96.86411149825783</v>
      </c>
      <c r="AV24" s="59">
        <f t="shared" si="20"/>
        <v>3.6000000000000085</v>
      </c>
      <c r="AW24" s="16">
        <f t="shared" si="8"/>
        <v>75.60000000000001</v>
      </c>
      <c r="AX24" s="21">
        <f t="shared" si="9"/>
        <v>114.80000000000001</v>
      </c>
      <c r="AY24" s="21">
        <f t="shared" si="10"/>
        <v>111.2</v>
      </c>
      <c r="AZ24" s="40">
        <f t="shared" si="11"/>
        <v>75.60000000000001</v>
      </c>
    </row>
    <row r="25" spans="1:52" ht="34.5" customHeight="1">
      <c r="A25" s="57">
        <v>18</v>
      </c>
      <c r="B25" s="58" t="s">
        <v>43</v>
      </c>
      <c r="C25" s="85">
        <v>12.3</v>
      </c>
      <c r="D25" s="36">
        <v>13.6</v>
      </c>
      <c r="E25" s="36">
        <v>12.3</v>
      </c>
      <c r="F25" s="10">
        <f t="shared" si="21"/>
        <v>90.44117647058825</v>
      </c>
      <c r="G25" s="36">
        <v>14.4</v>
      </c>
      <c r="H25" s="36">
        <v>13.6</v>
      </c>
      <c r="I25" s="10">
        <f t="shared" si="0"/>
        <v>94.44444444444444</v>
      </c>
      <c r="J25" s="36">
        <v>16.8</v>
      </c>
      <c r="K25" s="36">
        <v>6.2</v>
      </c>
      <c r="L25" s="10">
        <f t="shared" si="22"/>
        <v>36.904761904761905</v>
      </c>
      <c r="M25" s="72">
        <f t="shared" si="12"/>
        <v>44.8</v>
      </c>
      <c r="N25" s="72">
        <f t="shared" si="13"/>
        <v>32.1</v>
      </c>
      <c r="O25" s="10">
        <f t="shared" si="5"/>
        <v>71.65178571428572</v>
      </c>
      <c r="P25" s="36"/>
      <c r="Q25" s="36"/>
      <c r="R25" s="10"/>
      <c r="S25" s="36"/>
      <c r="T25" s="36"/>
      <c r="U25" s="10"/>
      <c r="V25" s="36"/>
      <c r="W25" s="36"/>
      <c r="X25" s="10" t="e">
        <f t="shared" si="2"/>
        <v>#DIV/0!</v>
      </c>
      <c r="Y25" s="72">
        <f t="shared" si="14"/>
        <v>0</v>
      </c>
      <c r="Z25" s="72">
        <f t="shared" si="15"/>
        <v>0</v>
      </c>
      <c r="AA25" s="10" t="e">
        <f t="shared" si="6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6"/>
        <v>0</v>
      </c>
      <c r="AK25" s="72">
        <f t="shared" si="17"/>
        <v>0</v>
      </c>
      <c r="AL25" s="10" t="e">
        <f t="shared" si="7"/>
        <v>#DIV/0!</v>
      </c>
      <c r="AM25" s="36"/>
      <c r="AN25" s="36"/>
      <c r="AO25" s="36"/>
      <c r="AP25" s="36"/>
      <c r="AQ25" s="36"/>
      <c r="AR25" s="36"/>
      <c r="AS25" s="59">
        <f t="shared" si="18"/>
        <v>44.8</v>
      </c>
      <c r="AT25" s="59">
        <f t="shared" si="19"/>
        <v>32.1</v>
      </c>
      <c r="AU25" s="10">
        <f t="shared" si="4"/>
        <v>71.65178571428572</v>
      </c>
      <c r="AV25" s="59">
        <f t="shared" si="20"/>
        <v>12.699999999999996</v>
      </c>
      <c r="AW25" s="16">
        <f t="shared" si="8"/>
        <v>24.999999999999993</v>
      </c>
      <c r="AX25" s="21">
        <f t="shared" si="9"/>
        <v>44.8</v>
      </c>
      <c r="AY25" s="21">
        <f t="shared" si="10"/>
        <v>32.1</v>
      </c>
      <c r="AZ25" s="40">
        <f t="shared" si="11"/>
        <v>24.999999999999993</v>
      </c>
    </row>
    <row r="26" spans="1:52" ht="34.5" customHeight="1">
      <c r="A26" s="57">
        <v>19</v>
      </c>
      <c r="B26" s="62" t="s">
        <v>99</v>
      </c>
      <c r="C26" s="85">
        <v>3.1</v>
      </c>
      <c r="D26" s="36">
        <v>4.3</v>
      </c>
      <c r="E26" s="36">
        <v>3.1</v>
      </c>
      <c r="F26" s="10">
        <f t="shared" si="21"/>
        <v>72.09302325581396</v>
      </c>
      <c r="G26" s="36">
        <v>4.3</v>
      </c>
      <c r="H26" s="36">
        <v>4.3</v>
      </c>
      <c r="I26" s="10">
        <f t="shared" si="0"/>
        <v>100</v>
      </c>
      <c r="J26" s="36">
        <v>4.5</v>
      </c>
      <c r="K26" s="36">
        <v>3.7</v>
      </c>
      <c r="L26" s="10">
        <f t="shared" si="22"/>
        <v>82.22222222222223</v>
      </c>
      <c r="M26" s="72">
        <f t="shared" si="12"/>
        <v>13.1</v>
      </c>
      <c r="N26" s="72">
        <f t="shared" si="13"/>
        <v>11.100000000000001</v>
      </c>
      <c r="O26" s="10">
        <f t="shared" si="5"/>
        <v>84.73282442748092</v>
      </c>
      <c r="P26" s="36"/>
      <c r="Q26" s="36"/>
      <c r="R26" s="10"/>
      <c r="S26" s="36"/>
      <c r="T26" s="36"/>
      <c r="U26" s="10"/>
      <c r="V26" s="36"/>
      <c r="W26" s="36"/>
      <c r="X26" s="10" t="e">
        <f t="shared" si="2"/>
        <v>#DIV/0!</v>
      </c>
      <c r="Y26" s="72">
        <f t="shared" si="14"/>
        <v>0</v>
      </c>
      <c r="Z26" s="72">
        <f t="shared" si="15"/>
        <v>0</v>
      </c>
      <c r="AA26" s="10" t="e">
        <f t="shared" si="6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6"/>
        <v>0</v>
      </c>
      <c r="AK26" s="72">
        <f t="shared" si="17"/>
        <v>0</v>
      </c>
      <c r="AL26" s="10" t="e">
        <f t="shared" si="7"/>
        <v>#DIV/0!</v>
      </c>
      <c r="AM26" s="36"/>
      <c r="AN26" s="36"/>
      <c r="AO26" s="36"/>
      <c r="AP26" s="36"/>
      <c r="AQ26" s="36"/>
      <c r="AR26" s="36"/>
      <c r="AS26" s="59">
        <f t="shared" si="18"/>
        <v>13.1</v>
      </c>
      <c r="AT26" s="59">
        <f t="shared" si="19"/>
        <v>11.100000000000001</v>
      </c>
      <c r="AU26" s="10">
        <f t="shared" si="4"/>
        <v>84.73282442748092</v>
      </c>
      <c r="AV26" s="59">
        <f t="shared" si="20"/>
        <v>1.9999999999999982</v>
      </c>
      <c r="AW26" s="16">
        <f t="shared" si="8"/>
        <v>5.099999999999998</v>
      </c>
      <c r="AX26" s="21">
        <f t="shared" si="9"/>
        <v>13.1</v>
      </c>
      <c r="AY26" s="21">
        <f t="shared" si="10"/>
        <v>11.100000000000001</v>
      </c>
      <c r="AZ26" s="40">
        <f t="shared" si="11"/>
        <v>5.099999999999998</v>
      </c>
    </row>
    <row r="27" spans="1:52" ht="34.5" customHeight="1">
      <c r="A27" s="57">
        <v>20</v>
      </c>
      <c r="B27" s="62" t="s">
        <v>59</v>
      </c>
      <c r="C27" s="85">
        <v>19</v>
      </c>
      <c r="D27" s="36">
        <v>22.4</v>
      </c>
      <c r="E27" s="36">
        <v>19</v>
      </c>
      <c r="F27" s="10">
        <f t="shared" si="21"/>
        <v>84.82142857142858</v>
      </c>
      <c r="G27" s="36">
        <v>13.5</v>
      </c>
      <c r="H27" s="36">
        <v>22.4</v>
      </c>
      <c r="I27" s="10">
        <f t="shared" si="0"/>
        <v>165.92592592592592</v>
      </c>
      <c r="J27" s="36">
        <v>18.5</v>
      </c>
      <c r="K27" s="36">
        <v>13.5</v>
      </c>
      <c r="L27" s="10">
        <f t="shared" si="22"/>
        <v>72.97297297297297</v>
      </c>
      <c r="M27" s="72">
        <f t="shared" si="12"/>
        <v>54.4</v>
      </c>
      <c r="N27" s="72">
        <f t="shared" si="13"/>
        <v>54.9</v>
      </c>
      <c r="O27" s="10">
        <f t="shared" si="5"/>
        <v>100.91911764705883</v>
      </c>
      <c r="P27" s="36"/>
      <c r="Q27" s="36"/>
      <c r="R27" s="10"/>
      <c r="S27" s="36"/>
      <c r="T27" s="36"/>
      <c r="U27" s="10"/>
      <c r="V27" s="36"/>
      <c r="W27" s="36"/>
      <c r="X27" s="10" t="e">
        <f t="shared" si="2"/>
        <v>#DIV/0!</v>
      </c>
      <c r="Y27" s="72">
        <f t="shared" si="14"/>
        <v>0</v>
      </c>
      <c r="Z27" s="72">
        <f t="shared" si="15"/>
        <v>0</v>
      </c>
      <c r="AA27" s="10" t="e">
        <f t="shared" si="6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6"/>
        <v>0</v>
      </c>
      <c r="AK27" s="72">
        <f t="shared" si="17"/>
        <v>0</v>
      </c>
      <c r="AL27" s="10" t="e">
        <f t="shared" si="7"/>
        <v>#DIV/0!</v>
      </c>
      <c r="AM27" s="36"/>
      <c r="AN27" s="36"/>
      <c r="AO27" s="36"/>
      <c r="AP27" s="36"/>
      <c r="AQ27" s="36"/>
      <c r="AR27" s="36"/>
      <c r="AS27" s="59">
        <f t="shared" si="18"/>
        <v>54.4</v>
      </c>
      <c r="AT27" s="59">
        <f t="shared" si="19"/>
        <v>54.9</v>
      </c>
      <c r="AU27" s="10">
        <f t="shared" si="4"/>
        <v>100.91911764705883</v>
      </c>
      <c r="AV27" s="59">
        <f t="shared" si="20"/>
        <v>-0.5</v>
      </c>
      <c r="AW27" s="16">
        <f t="shared" si="8"/>
        <v>18.500000000000007</v>
      </c>
      <c r="AX27" s="21">
        <f t="shared" si="9"/>
        <v>54.4</v>
      </c>
      <c r="AY27" s="21">
        <f t="shared" si="10"/>
        <v>54.9</v>
      </c>
      <c r="AZ27" s="40">
        <f t="shared" si="11"/>
        <v>18.500000000000007</v>
      </c>
    </row>
    <row r="28" spans="1:52" ht="34.5" customHeight="1">
      <c r="A28" s="57">
        <v>21</v>
      </c>
      <c r="B28" s="115" t="s">
        <v>100</v>
      </c>
      <c r="C28" s="85">
        <v>21.5</v>
      </c>
      <c r="D28" s="36">
        <v>9.8</v>
      </c>
      <c r="E28" s="36">
        <v>9.8</v>
      </c>
      <c r="F28" s="10">
        <f t="shared" si="21"/>
        <v>100</v>
      </c>
      <c r="G28" s="36">
        <v>9.2</v>
      </c>
      <c r="H28" s="36">
        <v>4.7</v>
      </c>
      <c r="I28" s="10">
        <f t="shared" si="0"/>
        <v>51.08695652173913</v>
      </c>
      <c r="J28" s="36">
        <v>9.2</v>
      </c>
      <c r="K28" s="36">
        <v>16.8</v>
      </c>
      <c r="L28" s="10">
        <f t="shared" si="22"/>
        <v>182.60869565217394</v>
      </c>
      <c r="M28" s="72">
        <f t="shared" si="12"/>
        <v>28.2</v>
      </c>
      <c r="N28" s="72">
        <f t="shared" si="13"/>
        <v>31.3</v>
      </c>
      <c r="O28" s="10">
        <f t="shared" si="5"/>
        <v>110.99290780141844</v>
      </c>
      <c r="P28" s="36"/>
      <c r="Q28" s="36"/>
      <c r="R28" s="10"/>
      <c r="S28" s="36"/>
      <c r="T28" s="36"/>
      <c r="U28" s="10"/>
      <c r="V28" s="36"/>
      <c r="W28" s="36"/>
      <c r="X28" s="10" t="e">
        <f t="shared" si="2"/>
        <v>#DIV/0!</v>
      </c>
      <c r="Y28" s="72">
        <f t="shared" si="14"/>
        <v>0</v>
      </c>
      <c r="Z28" s="72">
        <f t="shared" si="15"/>
        <v>0</v>
      </c>
      <c r="AA28" s="10" t="e">
        <f t="shared" si="6"/>
        <v>#DIV/0!</v>
      </c>
      <c r="AB28" s="36"/>
      <c r="AC28" s="36"/>
      <c r="AD28" s="10"/>
      <c r="AE28" s="36"/>
      <c r="AF28" s="80"/>
      <c r="AG28" s="76"/>
      <c r="AH28" s="36"/>
      <c r="AI28" s="80"/>
      <c r="AJ28" s="72">
        <f t="shared" si="16"/>
        <v>0</v>
      </c>
      <c r="AK28" s="72">
        <f t="shared" si="17"/>
        <v>0</v>
      </c>
      <c r="AL28" s="10" t="e">
        <f t="shared" si="7"/>
        <v>#DIV/0!</v>
      </c>
      <c r="AM28" s="36"/>
      <c r="AN28" s="80"/>
      <c r="AO28" s="36"/>
      <c r="AP28" s="80"/>
      <c r="AQ28" s="36"/>
      <c r="AR28" s="80"/>
      <c r="AS28" s="59">
        <f t="shared" si="18"/>
        <v>28.2</v>
      </c>
      <c r="AT28" s="59">
        <f t="shared" si="19"/>
        <v>31.3</v>
      </c>
      <c r="AU28" s="10">
        <f t="shared" si="4"/>
        <v>110.99290780141844</v>
      </c>
      <c r="AV28" s="59">
        <f t="shared" si="20"/>
        <v>-3.1000000000000014</v>
      </c>
      <c r="AW28" s="16">
        <f t="shared" si="8"/>
        <v>18.400000000000002</v>
      </c>
      <c r="AX28" s="21">
        <f t="shared" si="9"/>
        <v>28.2</v>
      </c>
      <c r="AY28" s="21">
        <f t="shared" si="10"/>
        <v>31.3</v>
      </c>
      <c r="AZ28" s="40">
        <f t="shared" si="11"/>
        <v>18.400000000000002</v>
      </c>
    </row>
    <row r="29" spans="1:52" ht="34.5" customHeight="1">
      <c r="A29" s="57">
        <v>22</v>
      </c>
      <c r="B29" s="58" t="s">
        <v>2</v>
      </c>
      <c r="C29" s="54"/>
      <c r="D29" s="54"/>
      <c r="E29" s="54"/>
      <c r="F29" s="54"/>
      <c r="G29" s="54"/>
      <c r="H29" s="54"/>
      <c r="I29" s="86" t="e">
        <f t="shared" si="0"/>
        <v>#DIV/0!</v>
      </c>
      <c r="J29" s="54"/>
      <c r="K29" s="54"/>
      <c r="L29" s="54"/>
      <c r="M29" s="72"/>
      <c r="N29" s="72"/>
      <c r="O29" s="10"/>
      <c r="P29" s="54"/>
      <c r="Q29" s="54"/>
      <c r="R29" s="54"/>
      <c r="S29" s="54"/>
      <c r="T29" s="54"/>
      <c r="U29" s="54"/>
      <c r="V29" s="54"/>
      <c r="W29" s="54"/>
      <c r="X29" s="54"/>
      <c r="Y29" s="72"/>
      <c r="Z29" s="72"/>
      <c r="AA29" s="10"/>
      <c r="AB29" s="54"/>
      <c r="AC29" s="54"/>
      <c r="AD29" s="54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54"/>
      <c r="AV29" s="59"/>
      <c r="AW29" s="87"/>
      <c r="AX29" s="21">
        <f t="shared" si="9"/>
        <v>0</v>
      </c>
      <c r="AY29" s="21">
        <f t="shared" si="10"/>
        <v>0</v>
      </c>
      <c r="AZ29" s="40">
        <f t="shared" si="11"/>
        <v>0</v>
      </c>
    </row>
    <row r="30" spans="1:52" ht="34.5" customHeight="1">
      <c r="A30" s="57">
        <v>23</v>
      </c>
      <c r="B30" s="62" t="s">
        <v>39</v>
      </c>
      <c r="C30" s="85">
        <v>3</v>
      </c>
      <c r="D30" s="36">
        <v>4.3</v>
      </c>
      <c r="E30" s="36">
        <v>3</v>
      </c>
      <c r="F30" s="10">
        <f t="shared" si="21"/>
        <v>69.76744186046511</v>
      </c>
      <c r="G30" s="36">
        <v>5.3</v>
      </c>
      <c r="H30" s="36">
        <v>4.3</v>
      </c>
      <c r="I30" s="10">
        <f t="shared" si="0"/>
        <v>81.13207547169812</v>
      </c>
      <c r="J30" s="36">
        <v>4.9</v>
      </c>
      <c r="K30" s="36">
        <v>1.9</v>
      </c>
      <c r="L30" s="61">
        <f aca="true" t="shared" si="23" ref="L30:L45">K30/J30*100</f>
        <v>38.77551020408163</v>
      </c>
      <c r="M30" s="72">
        <f t="shared" si="12"/>
        <v>14.5</v>
      </c>
      <c r="N30" s="72">
        <f t="shared" si="13"/>
        <v>9.2</v>
      </c>
      <c r="O30" s="10">
        <f t="shared" si="5"/>
        <v>63.44827586206896</v>
      </c>
      <c r="P30" s="36"/>
      <c r="Q30" s="36"/>
      <c r="R30" s="104"/>
      <c r="S30" s="36"/>
      <c r="T30" s="36"/>
      <c r="U30" s="104"/>
      <c r="V30" s="36"/>
      <c r="W30" s="36"/>
      <c r="X30" s="104" t="e">
        <f aca="true" t="shared" si="24" ref="X30:X45">W30/V30*100</f>
        <v>#DIV/0!</v>
      </c>
      <c r="Y30" s="72">
        <f aca="true" t="shared" si="25" ref="Y30:Y42">P30+S30+V30</f>
        <v>0</v>
      </c>
      <c r="Z30" s="72">
        <f aca="true" t="shared" si="26" ref="Z30:Z42">Q30+T30+W30</f>
        <v>0</v>
      </c>
      <c r="AA30" s="10" t="e">
        <f aca="true" t="shared" si="27" ref="AA30:AA45">Z30/Y30*100</f>
        <v>#DIV/0!</v>
      </c>
      <c r="AB30" s="36"/>
      <c r="AC30" s="36"/>
      <c r="AD30" s="104"/>
      <c r="AE30" s="36"/>
      <c r="AF30" s="36"/>
      <c r="AG30" s="104"/>
      <c r="AH30" s="36"/>
      <c r="AI30" s="36"/>
      <c r="AJ30" s="72">
        <f t="shared" si="16"/>
        <v>0</v>
      </c>
      <c r="AK30" s="72">
        <f t="shared" si="17"/>
        <v>0</v>
      </c>
      <c r="AL30" s="10" t="e">
        <f aca="true" t="shared" si="28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8"/>
        <v>14.5</v>
      </c>
      <c r="AT30" s="59">
        <f t="shared" si="19"/>
        <v>9.2</v>
      </c>
      <c r="AU30" s="10">
        <f t="shared" si="4"/>
        <v>63.44827586206896</v>
      </c>
      <c r="AV30" s="59">
        <f t="shared" si="20"/>
        <v>5.300000000000001</v>
      </c>
      <c r="AW30" s="16">
        <f aca="true" t="shared" si="29" ref="AW30:AW41">C30+AS30-AT30</f>
        <v>8.3</v>
      </c>
      <c r="AX30" s="21">
        <f t="shared" si="9"/>
        <v>14.5</v>
      </c>
      <c r="AY30" s="21">
        <f t="shared" si="10"/>
        <v>9.2</v>
      </c>
      <c r="AZ30" s="40">
        <f t="shared" si="11"/>
        <v>8.3</v>
      </c>
    </row>
    <row r="31" spans="1:52" ht="34.5" customHeight="1">
      <c r="A31" s="57">
        <v>24</v>
      </c>
      <c r="B31" s="62" t="s">
        <v>3</v>
      </c>
      <c r="C31" s="85">
        <v>8.5</v>
      </c>
      <c r="D31" s="36">
        <v>6.7</v>
      </c>
      <c r="E31" s="36">
        <v>8.6</v>
      </c>
      <c r="F31" s="10">
        <f t="shared" si="21"/>
        <v>128.3582089552239</v>
      </c>
      <c r="G31" s="36">
        <v>7.4</v>
      </c>
      <c r="H31" s="36">
        <v>0</v>
      </c>
      <c r="I31" s="10">
        <f t="shared" si="0"/>
        <v>0</v>
      </c>
      <c r="J31" s="36">
        <v>7.7</v>
      </c>
      <c r="K31" s="36">
        <v>6.7</v>
      </c>
      <c r="L31" s="10">
        <f t="shared" si="23"/>
        <v>87.01298701298701</v>
      </c>
      <c r="M31" s="72">
        <f t="shared" si="12"/>
        <v>21.8</v>
      </c>
      <c r="N31" s="72">
        <f t="shared" si="13"/>
        <v>15.3</v>
      </c>
      <c r="O31" s="10">
        <f t="shared" si="5"/>
        <v>70.18348623853211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24"/>
        <v>#DIV/0!</v>
      </c>
      <c r="Y31" s="72">
        <f t="shared" si="25"/>
        <v>0</v>
      </c>
      <c r="Z31" s="72">
        <f t="shared" si="26"/>
        <v>0</v>
      </c>
      <c r="AA31" s="10" t="e">
        <f t="shared" si="27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6"/>
        <v>0</v>
      </c>
      <c r="AK31" s="72">
        <f t="shared" si="17"/>
        <v>0</v>
      </c>
      <c r="AL31" s="10" t="e">
        <f t="shared" si="28"/>
        <v>#DIV/0!</v>
      </c>
      <c r="AM31" s="36"/>
      <c r="AN31" s="36"/>
      <c r="AO31" s="36"/>
      <c r="AP31" s="36"/>
      <c r="AQ31" s="36"/>
      <c r="AR31" s="36"/>
      <c r="AS31" s="59">
        <f t="shared" si="18"/>
        <v>21.8</v>
      </c>
      <c r="AT31" s="59">
        <f t="shared" si="19"/>
        <v>15.3</v>
      </c>
      <c r="AU31" s="10">
        <f t="shared" si="4"/>
        <v>70.18348623853211</v>
      </c>
      <c r="AV31" s="59">
        <f t="shared" si="20"/>
        <v>6.5</v>
      </c>
      <c r="AW31" s="16">
        <f t="shared" si="29"/>
        <v>15</v>
      </c>
      <c r="AX31" s="21">
        <f t="shared" si="9"/>
        <v>21.8</v>
      </c>
      <c r="AY31" s="21">
        <f t="shared" si="10"/>
        <v>15.3</v>
      </c>
      <c r="AZ31" s="40">
        <f t="shared" si="11"/>
        <v>15</v>
      </c>
    </row>
    <row r="32" spans="1:52" ht="34.5" customHeight="1">
      <c r="A32" s="57">
        <v>25</v>
      </c>
      <c r="B32" s="62" t="s">
        <v>101</v>
      </c>
      <c r="C32" s="68">
        <f>SUM(C33:C34)</f>
        <v>142.4</v>
      </c>
      <c r="D32" s="68">
        <f>SUM(D33:D34)</f>
        <v>65</v>
      </c>
      <c r="E32" s="68">
        <f>SUM(E33:E34)</f>
        <v>81.5</v>
      </c>
      <c r="F32" s="10">
        <f t="shared" si="21"/>
        <v>125.38461538461539</v>
      </c>
      <c r="G32" s="68">
        <f>SUM(G33:G34)</f>
        <v>68.4</v>
      </c>
      <c r="H32" s="68">
        <f>SUM(H33:H34)</f>
        <v>59</v>
      </c>
      <c r="I32" s="10">
        <f t="shared" si="0"/>
        <v>86.25730994152046</v>
      </c>
      <c r="J32" s="68">
        <f>SUM(J33:J34)</f>
        <v>68.6</v>
      </c>
      <c r="K32" s="68">
        <f>SUM(K33:K34)</f>
        <v>30.200000000000003</v>
      </c>
      <c r="L32" s="10">
        <f t="shared" si="23"/>
        <v>44.02332361516036</v>
      </c>
      <c r="M32" s="10"/>
      <c r="N32" s="10"/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68">
        <f>SUM(AS33:AS34)</f>
        <v>202</v>
      </c>
      <c r="AT32" s="68">
        <f>SUM(AT33:AT34)</f>
        <v>170.7</v>
      </c>
      <c r="AU32" s="10">
        <f t="shared" si="4"/>
        <v>84.5049504950495</v>
      </c>
      <c r="AV32" s="68">
        <f>SUM(AV33:AV34)</f>
        <v>31.30000000000002</v>
      </c>
      <c r="AW32" s="68">
        <f>SUM(AW33:AW34)</f>
        <v>173.70000000000002</v>
      </c>
      <c r="AX32" s="21">
        <f t="shared" si="9"/>
        <v>202</v>
      </c>
      <c r="AY32" s="21">
        <f t="shared" si="10"/>
        <v>170.7</v>
      </c>
      <c r="AZ32" s="40">
        <f t="shared" si="11"/>
        <v>173.7</v>
      </c>
    </row>
    <row r="33" spans="1:52" ht="34.5" customHeight="1">
      <c r="A33" s="57"/>
      <c r="B33" s="62" t="s">
        <v>102</v>
      </c>
      <c r="C33" s="85">
        <v>115.8</v>
      </c>
      <c r="D33" s="36">
        <v>49.7</v>
      </c>
      <c r="E33" s="36">
        <v>56.8</v>
      </c>
      <c r="F33" s="10">
        <f t="shared" si="21"/>
        <v>114.28571428571428</v>
      </c>
      <c r="G33" s="36">
        <v>53.9</v>
      </c>
      <c r="H33" s="36">
        <v>58.9</v>
      </c>
      <c r="I33" s="10">
        <f t="shared" si="0"/>
        <v>109.27643784786642</v>
      </c>
      <c r="J33" s="36">
        <v>53.9</v>
      </c>
      <c r="K33" s="36">
        <v>16.1</v>
      </c>
      <c r="L33" s="10">
        <f t="shared" si="23"/>
        <v>29.870129870129876</v>
      </c>
      <c r="M33" s="72">
        <f t="shared" si="12"/>
        <v>157.5</v>
      </c>
      <c r="N33" s="72">
        <f t="shared" si="13"/>
        <v>131.79999999999998</v>
      </c>
      <c r="O33" s="10">
        <f t="shared" si="5"/>
        <v>83.68253968253967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4"/>
        <v>#DIV/0!</v>
      </c>
      <c r="Y33" s="72">
        <f t="shared" si="25"/>
        <v>0</v>
      </c>
      <c r="Z33" s="72">
        <f t="shared" si="26"/>
        <v>0</v>
      </c>
      <c r="AA33" s="10" t="e">
        <f t="shared" si="27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6"/>
        <v>0</v>
      </c>
      <c r="AK33" s="72">
        <f t="shared" si="17"/>
        <v>0</v>
      </c>
      <c r="AL33" s="10" t="e">
        <f t="shared" si="28"/>
        <v>#DIV/0!</v>
      </c>
      <c r="AM33" s="36"/>
      <c r="AN33" s="36"/>
      <c r="AO33" s="36"/>
      <c r="AP33" s="36"/>
      <c r="AQ33" s="36"/>
      <c r="AR33" s="36"/>
      <c r="AS33" s="59">
        <f t="shared" si="18"/>
        <v>157.5</v>
      </c>
      <c r="AT33" s="59">
        <f t="shared" si="19"/>
        <v>131.79999999999998</v>
      </c>
      <c r="AU33" s="10">
        <f t="shared" si="4"/>
        <v>83.68253968253967</v>
      </c>
      <c r="AV33" s="59">
        <f t="shared" si="20"/>
        <v>25.700000000000017</v>
      </c>
      <c r="AW33" s="16">
        <f t="shared" si="29"/>
        <v>141.50000000000003</v>
      </c>
      <c r="AX33" s="21">
        <f t="shared" si="9"/>
        <v>157.5</v>
      </c>
      <c r="AY33" s="21">
        <f t="shared" si="10"/>
        <v>131.79999999999998</v>
      </c>
      <c r="AZ33" s="40">
        <f t="shared" si="11"/>
        <v>141.50000000000003</v>
      </c>
    </row>
    <row r="34" spans="1:52" ht="34.5" customHeight="1">
      <c r="A34" s="57"/>
      <c r="B34" s="62" t="s">
        <v>103</v>
      </c>
      <c r="C34" s="89">
        <v>26.6</v>
      </c>
      <c r="D34" s="36">
        <v>15.3</v>
      </c>
      <c r="E34" s="36">
        <v>24.7</v>
      </c>
      <c r="F34" s="10">
        <f t="shared" si="21"/>
        <v>161.437908496732</v>
      </c>
      <c r="G34" s="36">
        <v>14.5</v>
      </c>
      <c r="H34" s="36">
        <v>0.1</v>
      </c>
      <c r="I34" s="10">
        <f t="shared" si="0"/>
        <v>0.6896551724137931</v>
      </c>
      <c r="J34" s="36">
        <v>14.7</v>
      </c>
      <c r="K34" s="36">
        <v>14.1</v>
      </c>
      <c r="L34" s="10">
        <f t="shared" si="23"/>
        <v>95.91836734693878</v>
      </c>
      <c r="M34" s="72">
        <f t="shared" si="12"/>
        <v>44.5</v>
      </c>
      <c r="N34" s="72">
        <f t="shared" si="13"/>
        <v>38.9</v>
      </c>
      <c r="O34" s="10">
        <f t="shared" si="5"/>
        <v>87.41573033707864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4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6"/>
        <v>0</v>
      </c>
      <c r="AK34" s="72">
        <f t="shared" si="17"/>
        <v>0</v>
      </c>
      <c r="AL34" s="10" t="e">
        <f t="shared" si="28"/>
        <v>#DIV/0!</v>
      </c>
      <c r="AM34" s="36"/>
      <c r="AN34" s="36"/>
      <c r="AO34" s="36"/>
      <c r="AP34" s="36"/>
      <c r="AQ34" s="36"/>
      <c r="AR34" s="36"/>
      <c r="AS34" s="59">
        <f t="shared" si="18"/>
        <v>44.5</v>
      </c>
      <c r="AT34" s="59">
        <f t="shared" si="19"/>
        <v>38.9</v>
      </c>
      <c r="AU34" s="10">
        <f t="shared" si="4"/>
        <v>87.41573033707864</v>
      </c>
      <c r="AV34" s="59">
        <f t="shared" si="20"/>
        <v>5.600000000000001</v>
      </c>
      <c r="AW34" s="16">
        <f t="shared" si="29"/>
        <v>32.199999999999996</v>
      </c>
      <c r="AX34" s="21">
        <f t="shared" si="9"/>
        <v>44.5</v>
      </c>
      <c r="AY34" s="21">
        <f t="shared" si="10"/>
        <v>38.9</v>
      </c>
      <c r="AZ34" s="40">
        <f t="shared" si="11"/>
        <v>32.199999999999996</v>
      </c>
    </row>
    <row r="35" spans="1:52" ht="34.5" customHeight="1">
      <c r="A35" s="57">
        <v>26</v>
      </c>
      <c r="B35" s="62" t="s">
        <v>60</v>
      </c>
      <c r="C35" s="89">
        <v>39.1</v>
      </c>
      <c r="D35" s="35">
        <v>29.7</v>
      </c>
      <c r="E35" s="35">
        <v>35.4</v>
      </c>
      <c r="F35" s="10">
        <f>E35/D35*100</f>
        <v>119.19191919191918</v>
      </c>
      <c r="G35" s="36">
        <v>32.1</v>
      </c>
      <c r="H35" s="36">
        <v>38.9</v>
      </c>
      <c r="I35" s="10">
        <f t="shared" si="0"/>
        <v>121.18380062305295</v>
      </c>
      <c r="J35" s="36">
        <v>28.6</v>
      </c>
      <c r="K35" s="36">
        <v>15.3</v>
      </c>
      <c r="L35" s="10">
        <f t="shared" si="23"/>
        <v>53.4965034965035</v>
      </c>
      <c r="M35" s="72">
        <f t="shared" si="12"/>
        <v>90.4</v>
      </c>
      <c r="N35" s="72">
        <f t="shared" si="13"/>
        <v>89.6</v>
      </c>
      <c r="O35" s="10">
        <f t="shared" si="5"/>
        <v>99.1150442477876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4"/>
        <v>#DIV/0!</v>
      </c>
      <c r="Y35" s="72">
        <f t="shared" si="25"/>
        <v>0</v>
      </c>
      <c r="Z35" s="72">
        <f t="shared" si="26"/>
        <v>0</v>
      </c>
      <c r="AA35" s="10" t="e">
        <f t="shared" si="27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6"/>
        <v>0</v>
      </c>
      <c r="AK35" s="72">
        <f t="shared" si="17"/>
        <v>0</v>
      </c>
      <c r="AL35" s="10" t="e">
        <f t="shared" si="28"/>
        <v>#DIV/0!</v>
      </c>
      <c r="AM35" s="36"/>
      <c r="AN35" s="36"/>
      <c r="AO35" s="36"/>
      <c r="AP35" s="36"/>
      <c r="AQ35" s="36"/>
      <c r="AR35" s="36"/>
      <c r="AS35" s="59">
        <f t="shared" si="18"/>
        <v>90.4</v>
      </c>
      <c r="AT35" s="59">
        <f t="shared" si="19"/>
        <v>89.6</v>
      </c>
      <c r="AU35" s="10">
        <f t="shared" si="4"/>
        <v>99.1150442477876</v>
      </c>
      <c r="AV35" s="59">
        <f t="shared" si="20"/>
        <v>0.8000000000000114</v>
      </c>
      <c r="AW35" s="16">
        <f t="shared" si="29"/>
        <v>39.900000000000006</v>
      </c>
      <c r="AX35" s="21">
        <f t="shared" si="9"/>
        <v>90.4</v>
      </c>
      <c r="AY35" s="21">
        <f t="shared" si="10"/>
        <v>89.6</v>
      </c>
      <c r="AZ35" s="40">
        <f t="shared" si="11"/>
        <v>39.900000000000006</v>
      </c>
    </row>
    <row r="36" spans="1:52" ht="34.5" customHeight="1">
      <c r="A36" s="57">
        <v>27</v>
      </c>
      <c r="B36" s="116" t="s">
        <v>61</v>
      </c>
      <c r="C36" s="85">
        <v>26</v>
      </c>
      <c r="D36" s="65">
        <v>12.4</v>
      </c>
      <c r="E36" s="65">
        <v>10.1</v>
      </c>
      <c r="F36" s="10">
        <f t="shared" si="21"/>
        <v>81.4516129032258</v>
      </c>
      <c r="G36" s="36">
        <v>12.6</v>
      </c>
      <c r="H36" s="36">
        <v>15.8</v>
      </c>
      <c r="I36" s="10">
        <f t="shared" si="0"/>
        <v>125.39682539682539</v>
      </c>
      <c r="J36" s="36">
        <v>11.7</v>
      </c>
      <c r="K36" s="36">
        <v>3.8</v>
      </c>
      <c r="L36" s="61">
        <f t="shared" si="23"/>
        <v>32.47863247863248</v>
      </c>
      <c r="M36" s="72">
        <f t="shared" si="12"/>
        <v>36.7</v>
      </c>
      <c r="N36" s="72">
        <f t="shared" si="13"/>
        <v>29.7</v>
      </c>
      <c r="O36" s="10">
        <f t="shared" si="5"/>
        <v>80.92643051771117</v>
      </c>
      <c r="P36" s="36"/>
      <c r="Q36" s="36"/>
      <c r="R36" s="104"/>
      <c r="S36" s="36"/>
      <c r="T36" s="36"/>
      <c r="U36" s="104"/>
      <c r="V36" s="36"/>
      <c r="W36" s="36"/>
      <c r="X36" s="104" t="e">
        <f t="shared" si="24"/>
        <v>#DIV/0!</v>
      </c>
      <c r="Y36" s="72">
        <f t="shared" si="25"/>
        <v>0</v>
      </c>
      <c r="Z36" s="72">
        <f t="shared" si="26"/>
        <v>0</v>
      </c>
      <c r="AA36" s="10" t="e">
        <f t="shared" si="27"/>
        <v>#DIV/0!</v>
      </c>
      <c r="AB36" s="36"/>
      <c r="AC36" s="36"/>
      <c r="AD36" s="104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28"/>
        <v>#DIV/0!</v>
      </c>
      <c r="AM36" s="36"/>
      <c r="AN36" s="36"/>
      <c r="AO36" s="36"/>
      <c r="AP36" s="36"/>
      <c r="AQ36" s="36"/>
      <c r="AR36" s="36"/>
      <c r="AS36" s="59">
        <f t="shared" si="18"/>
        <v>36.7</v>
      </c>
      <c r="AT36" s="59">
        <f t="shared" si="19"/>
        <v>29.7</v>
      </c>
      <c r="AU36" s="10">
        <f t="shared" si="4"/>
        <v>80.92643051771117</v>
      </c>
      <c r="AV36" s="59">
        <f t="shared" si="20"/>
        <v>7.0000000000000036</v>
      </c>
      <c r="AW36" s="16">
        <f t="shared" si="29"/>
        <v>33</v>
      </c>
      <c r="AX36" s="21">
        <f t="shared" si="9"/>
        <v>36.7</v>
      </c>
      <c r="AY36" s="21">
        <f t="shared" si="10"/>
        <v>29.7</v>
      </c>
      <c r="AZ36" s="40">
        <f t="shared" si="11"/>
        <v>33</v>
      </c>
    </row>
    <row r="37" spans="1:52" ht="34.5" customHeight="1">
      <c r="A37" s="57">
        <v>28</v>
      </c>
      <c r="B37" s="117" t="s">
        <v>62</v>
      </c>
      <c r="C37" s="85">
        <v>164.9</v>
      </c>
      <c r="D37" s="36">
        <v>79</v>
      </c>
      <c r="E37" s="36">
        <v>80.9</v>
      </c>
      <c r="F37" s="10">
        <f t="shared" si="21"/>
        <v>102.40506329113926</v>
      </c>
      <c r="G37" s="36">
        <v>78.6</v>
      </c>
      <c r="H37" s="36">
        <v>84</v>
      </c>
      <c r="I37" s="10">
        <f t="shared" si="0"/>
        <v>106.87022900763358</v>
      </c>
      <c r="J37" s="36">
        <v>86.6</v>
      </c>
      <c r="K37" s="36">
        <v>76.5</v>
      </c>
      <c r="L37" s="10">
        <f t="shared" si="23"/>
        <v>88.33718244803696</v>
      </c>
      <c r="M37" s="72">
        <f t="shared" si="12"/>
        <v>244.2</v>
      </c>
      <c r="N37" s="72">
        <f t="shared" si="13"/>
        <v>241.4</v>
      </c>
      <c r="O37" s="10">
        <f t="shared" si="5"/>
        <v>98.85339885339886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4"/>
        <v>#DIV/0!</v>
      </c>
      <c r="Y37" s="72">
        <f t="shared" si="25"/>
        <v>0</v>
      </c>
      <c r="Z37" s="72">
        <f t="shared" si="26"/>
        <v>0</v>
      </c>
      <c r="AA37" s="10" t="e">
        <f t="shared" si="27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6"/>
        <v>0</v>
      </c>
      <c r="AK37" s="72">
        <f t="shared" si="17"/>
        <v>0</v>
      </c>
      <c r="AL37" s="10" t="e">
        <f t="shared" si="28"/>
        <v>#DIV/0!</v>
      </c>
      <c r="AM37" s="36"/>
      <c r="AN37" s="36"/>
      <c r="AO37" s="36"/>
      <c r="AP37" s="36"/>
      <c r="AQ37" s="36"/>
      <c r="AR37" s="36"/>
      <c r="AS37" s="59">
        <f t="shared" si="18"/>
        <v>244.2</v>
      </c>
      <c r="AT37" s="59">
        <f t="shared" si="19"/>
        <v>241.4</v>
      </c>
      <c r="AU37" s="10">
        <f t="shared" si="4"/>
        <v>98.85339885339886</v>
      </c>
      <c r="AV37" s="59">
        <f t="shared" si="20"/>
        <v>2.799999999999983</v>
      </c>
      <c r="AW37" s="16">
        <f t="shared" si="29"/>
        <v>167.70000000000002</v>
      </c>
      <c r="AX37" s="21">
        <f t="shared" si="9"/>
        <v>244.2</v>
      </c>
      <c r="AY37" s="21">
        <f t="shared" si="10"/>
        <v>241.4</v>
      </c>
      <c r="AZ37" s="40">
        <f t="shared" si="11"/>
        <v>167.70000000000002</v>
      </c>
    </row>
    <row r="38" spans="1:52" ht="34.5" customHeight="1">
      <c r="A38" s="57">
        <v>29</v>
      </c>
      <c r="B38" s="117" t="s">
        <v>104</v>
      </c>
      <c r="C38" s="85">
        <v>175.8</v>
      </c>
      <c r="D38" s="36">
        <v>84.7</v>
      </c>
      <c r="E38" s="36">
        <v>55.2</v>
      </c>
      <c r="F38" s="10">
        <f t="shared" si="21"/>
        <v>65.17119244391972</v>
      </c>
      <c r="G38" s="36">
        <v>79.4</v>
      </c>
      <c r="H38" s="36">
        <v>74.2</v>
      </c>
      <c r="I38" s="10">
        <f t="shared" si="0"/>
        <v>93.45088161209067</v>
      </c>
      <c r="J38" s="36">
        <v>78.9</v>
      </c>
      <c r="K38" s="36">
        <v>45.3</v>
      </c>
      <c r="L38" s="10">
        <f t="shared" si="23"/>
        <v>57.41444866920151</v>
      </c>
      <c r="M38" s="72">
        <f t="shared" si="12"/>
        <v>243.00000000000003</v>
      </c>
      <c r="N38" s="72">
        <f t="shared" si="13"/>
        <v>174.7</v>
      </c>
      <c r="O38" s="10">
        <f t="shared" si="5"/>
        <v>71.89300411522632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4"/>
        <v>#DIV/0!</v>
      </c>
      <c r="Y38" s="72">
        <f t="shared" si="25"/>
        <v>0</v>
      </c>
      <c r="Z38" s="72">
        <f t="shared" si="26"/>
        <v>0</v>
      </c>
      <c r="AA38" s="10" t="e">
        <f t="shared" si="27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6"/>
        <v>0</v>
      </c>
      <c r="AK38" s="72">
        <f t="shared" si="17"/>
        <v>0</v>
      </c>
      <c r="AL38" s="10" t="e">
        <f t="shared" si="28"/>
        <v>#DIV/0!</v>
      </c>
      <c r="AM38" s="36"/>
      <c r="AN38" s="36"/>
      <c r="AO38" s="36"/>
      <c r="AP38" s="36"/>
      <c r="AQ38" s="36"/>
      <c r="AR38" s="36"/>
      <c r="AS38" s="59">
        <f t="shared" si="18"/>
        <v>243.00000000000003</v>
      </c>
      <c r="AT38" s="59">
        <f t="shared" si="19"/>
        <v>174.7</v>
      </c>
      <c r="AU38" s="10">
        <f t="shared" si="4"/>
        <v>71.89300411522632</v>
      </c>
      <c r="AV38" s="59">
        <f t="shared" si="20"/>
        <v>68.30000000000004</v>
      </c>
      <c r="AW38" s="16">
        <f t="shared" si="29"/>
        <v>244.10000000000008</v>
      </c>
      <c r="AX38" s="21">
        <f t="shared" si="9"/>
        <v>243.00000000000003</v>
      </c>
      <c r="AY38" s="21">
        <f t="shared" si="10"/>
        <v>174.7</v>
      </c>
      <c r="AZ38" s="40">
        <f t="shared" si="11"/>
        <v>244.10000000000008</v>
      </c>
    </row>
    <row r="39" spans="1:52" ht="34.5" customHeight="1">
      <c r="A39" s="57">
        <v>30</v>
      </c>
      <c r="B39" s="117" t="s">
        <v>4</v>
      </c>
      <c r="C39" s="85">
        <v>96.4</v>
      </c>
      <c r="D39" s="36">
        <v>137.7</v>
      </c>
      <c r="E39" s="36">
        <v>0</v>
      </c>
      <c r="F39" s="10">
        <f t="shared" si="21"/>
        <v>0</v>
      </c>
      <c r="G39" s="36">
        <v>133.2</v>
      </c>
      <c r="H39" s="36">
        <v>97.7</v>
      </c>
      <c r="I39" s="10">
        <f t="shared" si="0"/>
        <v>73.34834834834835</v>
      </c>
      <c r="J39" s="36">
        <v>136.6</v>
      </c>
      <c r="K39" s="36">
        <v>65.3</v>
      </c>
      <c r="L39" s="10">
        <f t="shared" si="23"/>
        <v>47.803806734992676</v>
      </c>
      <c r="M39" s="72">
        <f t="shared" si="12"/>
        <v>407.5</v>
      </c>
      <c r="N39" s="72">
        <f t="shared" si="13"/>
        <v>163</v>
      </c>
      <c r="O39" s="10">
        <f t="shared" si="5"/>
        <v>40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24"/>
        <v>#DIV/0!</v>
      </c>
      <c r="Y39" s="72">
        <f t="shared" si="25"/>
        <v>0</v>
      </c>
      <c r="Z39" s="72">
        <f t="shared" si="26"/>
        <v>0</v>
      </c>
      <c r="AA39" s="10" t="e">
        <f t="shared" si="27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6"/>
        <v>0</v>
      </c>
      <c r="AK39" s="72">
        <f t="shared" si="17"/>
        <v>0</v>
      </c>
      <c r="AL39" s="10" t="e">
        <f t="shared" si="28"/>
        <v>#DIV/0!</v>
      </c>
      <c r="AM39" s="36"/>
      <c r="AN39" s="36"/>
      <c r="AO39" s="36"/>
      <c r="AP39" s="36"/>
      <c r="AQ39" s="36"/>
      <c r="AR39" s="36"/>
      <c r="AS39" s="59">
        <f t="shared" si="18"/>
        <v>407.5</v>
      </c>
      <c r="AT39" s="59">
        <f t="shared" si="19"/>
        <v>163</v>
      </c>
      <c r="AU39" s="10">
        <f t="shared" si="4"/>
        <v>40</v>
      </c>
      <c r="AV39" s="59">
        <f t="shared" si="20"/>
        <v>244.5</v>
      </c>
      <c r="AW39" s="16">
        <f t="shared" si="29"/>
        <v>340.9</v>
      </c>
      <c r="AX39" s="21">
        <f t="shared" si="9"/>
        <v>407.5</v>
      </c>
      <c r="AY39" s="21">
        <f t="shared" si="10"/>
        <v>163</v>
      </c>
      <c r="AZ39" s="40">
        <f t="shared" si="11"/>
        <v>340.9</v>
      </c>
    </row>
    <row r="40" spans="1:52" ht="34.5" customHeight="1">
      <c r="A40" s="57">
        <v>31</v>
      </c>
      <c r="B40" s="117" t="s">
        <v>63</v>
      </c>
      <c r="C40" s="85">
        <v>45.8</v>
      </c>
      <c r="D40" s="36">
        <v>18.9</v>
      </c>
      <c r="E40" s="36">
        <v>22.6</v>
      </c>
      <c r="F40" s="10">
        <f t="shared" si="21"/>
        <v>119.5767195767196</v>
      </c>
      <c r="G40" s="36">
        <v>19.9</v>
      </c>
      <c r="H40" s="36">
        <v>21.2</v>
      </c>
      <c r="I40" s="10">
        <f t="shared" si="0"/>
        <v>106.53266331658291</v>
      </c>
      <c r="J40" s="36">
        <v>18.8</v>
      </c>
      <c r="K40" s="36">
        <v>4.9</v>
      </c>
      <c r="L40" s="10">
        <f t="shared" si="23"/>
        <v>26.063829787234045</v>
      </c>
      <c r="M40" s="72">
        <f t="shared" si="12"/>
        <v>57.599999999999994</v>
      </c>
      <c r="N40" s="72">
        <f t="shared" si="13"/>
        <v>48.699999999999996</v>
      </c>
      <c r="O40" s="10">
        <f t="shared" si="5"/>
        <v>84.54861111111111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4"/>
        <v>#DIV/0!</v>
      </c>
      <c r="Y40" s="72">
        <f t="shared" si="25"/>
        <v>0</v>
      </c>
      <c r="Z40" s="72">
        <f t="shared" si="26"/>
        <v>0</v>
      </c>
      <c r="AA40" s="10" t="e">
        <f t="shared" si="27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6"/>
        <v>0</v>
      </c>
      <c r="AK40" s="72">
        <f t="shared" si="17"/>
        <v>0</v>
      </c>
      <c r="AL40" s="10" t="e">
        <f t="shared" si="28"/>
        <v>#DIV/0!</v>
      </c>
      <c r="AM40" s="36"/>
      <c r="AN40" s="36"/>
      <c r="AO40" s="36"/>
      <c r="AP40" s="36"/>
      <c r="AQ40" s="36"/>
      <c r="AR40" s="36"/>
      <c r="AS40" s="59">
        <f t="shared" si="18"/>
        <v>57.599999999999994</v>
      </c>
      <c r="AT40" s="59">
        <f t="shared" si="19"/>
        <v>48.699999999999996</v>
      </c>
      <c r="AU40" s="10">
        <f t="shared" si="4"/>
        <v>84.54861111111111</v>
      </c>
      <c r="AV40" s="59">
        <f t="shared" si="20"/>
        <v>8.899999999999999</v>
      </c>
      <c r="AW40" s="16">
        <f t="shared" si="29"/>
        <v>54.699999999999996</v>
      </c>
      <c r="AX40" s="21">
        <f t="shared" si="9"/>
        <v>57.599999999999994</v>
      </c>
      <c r="AY40" s="21">
        <f t="shared" si="10"/>
        <v>48.699999999999996</v>
      </c>
      <c r="AZ40" s="40">
        <f t="shared" si="11"/>
        <v>54.699999999999996</v>
      </c>
    </row>
    <row r="41" spans="1:52" ht="34.5" customHeight="1">
      <c r="A41" s="57">
        <v>32</v>
      </c>
      <c r="B41" s="60" t="s">
        <v>64</v>
      </c>
      <c r="C41" s="85">
        <v>57.1</v>
      </c>
      <c r="D41" s="36">
        <v>61.6</v>
      </c>
      <c r="E41" s="36">
        <v>57.1</v>
      </c>
      <c r="F41" s="10">
        <f t="shared" si="21"/>
        <v>92.6948051948052</v>
      </c>
      <c r="G41" s="36">
        <v>66.2</v>
      </c>
      <c r="H41" s="36">
        <v>61.6</v>
      </c>
      <c r="I41" s="10">
        <f t="shared" si="0"/>
        <v>93.05135951661632</v>
      </c>
      <c r="J41" s="36">
        <v>67.6</v>
      </c>
      <c r="K41" s="36">
        <v>113.1</v>
      </c>
      <c r="L41" s="102">
        <f t="shared" si="23"/>
        <v>167.30769230769232</v>
      </c>
      <c r="M41" s="72">
        <f t="shared" si="12"/>
        <v>195.4</v>
      </c>
      <c r="N41" s="72">
        <f t="shared" si="13"/>
        <v>231.8</v>
      </c>
      <c r="O41" s="10">
        <f t="shared" si="5"/>
        <v>118.62845445240534</v>
      </c>
      <c r="P41" s="36"/>
      <c r="Q41" s="36"/>
      <c r="R41" s="104"/>
      <c r="S41" s="36"/>
      <c r="T41" s="36"/>
      <c r="U41" s="104"/>
      <c r="V41" s="36"/>
      <c r="W41" s="36"/>
      <c r="X41" s="104" t="e">
        <f t="shared" si="24"/>
        <v>#DIV/0!</v>
      </c>
      <c r="Y41" s="72">
        <f t="shared" si="25"/>
        <v>0</v>
      </c>
      <c r="Z41" s="72">
        <f t="shared" si="26"/>
        <v>0</v>
      </c>
      <c r="AA41" s="10" t="e">
        <f t="shared" si="27"/>
        <v>#DIV/0!</v>
      </c>
      <c r="AB41" s="36"/>
      <c r="AC41" s="36"/>
      <c r="AD41" s="104"/>
      <c r="AE41" s="36"/>
      <c r="AF41" s="36"/>
      <c r="AG41" s="10"/>
      <c r="AH41" s="36"/>
      <c r="AI41" s="36"/>
      <c r="AJ41" s="72">
        <f t="shared" si="16"/>
        <v>0</v>
      </c>
      <c r="AK41" s="72">
        <f t="shared" si="17"/>
        <v>0</v>
      </c>
      <c r="AL41" s="10" t="e">
        <f t="shared" si="28"/>
        <v>#DIV/0!</v>
      </c>
      <c r="AM41" s="36"/>
      <c r="AN41" s="36"/>
      <c r="AO41" s="36"/>
      <c r="AP41" s="36"/>
      <c r="AQ41" s="36"/>
      <c r="AR41" s="36"/>
      <c r="AS41" s="59">
        <f t="shared" si="18"/>
        <v>195.4</v>
      </c>
      <c r="AT41" s="59">
        <f t="shared" si="19"/>
        <v>231.8</v>
      </c>
      <c r="AU41" s="10">
        <f t="shared" si="4"/>
        <v>118.62845445240534</v>
      </c>
      <c r="AV41" s="59">
        <f t="shared" si="20"/>
        <v>-36.400000000000006</v>
      </c>
      <c r="AW41" s="16">
        <f t="shared" si="29"/>
        <v>20.69999999999999</v>
      </c>
      <c r="AX41" s="21">
        <f t="shared" si="9"/>
        <v>195.4</v>
      </c>
      <c r="AY41" s="21">
        <f t="shared" si="10"/>
        <v>231.8</v>
      </c>
      <c r="AZ41" s="40">
        <f t="shared" si="11"/>
        <v>20.69999999999999</v>
      </c>
    </row>
    <row r="42" spans="1:52" ht="34.5" customHeight="1">
      <c r="A42" s="57">
        <v>33</v>
      </c>
      <c r="B42" s="117" t="s">
        <v>48</v>
      </c>
      <c r="C42" s="85">
        <v>256.1</v>
      </c>
      <c r="D42" s="36">
        <v>130.1</v>
      </c>
      <c r="E42" s="36">
        <v>132.8</v>
      </c>
      <c r="F42" s="10">
        <f>E42/D42*100</f>
        <v>102.07532667179093</v>
      </c>
      <c r="G42" s="36">
        <v>129.4</v>
      </c>
      <c r="H42" s="36">
        <v>123.5</v>
      </c>
      <c r="I42" s="10">
        <f t="shared" si="0"/>
        <v>95.4404945904173</v>
      </c>
      <c r="J42" s="36">
        <v>127</v>
      </c>
      <c r="K42" s="36">
        <v>54.4</v>
      </c>
      <c r="L42" s="102">
        <f t="shared" si="23"/>
        <v>42.83464566929134</v>
      </c>
      <c r="M42" s="72">
        <f t="shared" si="12"/>
        <v>386.5</v>
      </c>
      <c r="N42" s="72">
        <f t="shared" si="13"/>
        <v>310.7</v>
      </c>
      <c r="O42" s="10">
        <f t="shared" si="5"/>
        <v>80.38809831824062</v>
      </c>
      <c r="P42" s="36"/>
      <c r="Q42" s="36"/>
      <c r="R42" s="104"/>
      <c r="S42" s="36"/>
      <c r="T42" s="36"/>
      <c r="U42" s="104"/>
      <c r="V42" s="36"/>
      <c r="W42" s="36"/>
      <c r="X42" s="104" t="e">
        <f t="shared" si="24"/>
        <v>#DIV/0!</v>
      </c>
      <c r="Y42" s="72">
        <f t="shared" si="25"/>
        <v>0</v>
      </c>
      <c r="Z42" s="72">
        <f t="shared" si="26"/>
        <v>0</v>
      </c>
      <c r="AA42" s="10" t="e">
        <f t="shared" si="27"/>
        <v>#DIV/0!</v>
      </c>
      <c r="AB42" s="36"/>
      <c r="AC42" s="36"/>
      <c r="AD42" s="104"/>
      <c r="AE42" s="36"/>
      <c r="AF42" s="36"/>
      <c r="AG42" s="10"/>
      <c r="AH42" s="36"/>
      <c r="AI42" s="36"/>
      <c r="AJ42" s="72">
        <f t="shared" si="16"/>
        <v>0</v>
      </c>
      <c r="AK42" s="72">
        <f t="shared" si="17"/>
        <v>0</v>
      </c>
      <c r="AL42" s="10" t="e">
        <f t="shared" si="28"/>
        <v>#DIV/0!</v>
      </c>
      <c r="AM42" s="36"/>
      <c r="AN42" s="36"/>
      <c r="AO42" s="36"/>
      <c r="AP42" s="36"/>
      <c r="AQ42" s="36"/>
      <c r="AR42" s="36"/>
      <c r="AS42" s="59">
        <f>M42+Y42+AJ42+AM42+AO42+AQ42</f>
        <v>386.5</v>
      </c>
      <c r="AT42" s="59">
        <f t="shared" si="19"/>
        <v>310.7</v>
      </c>
      <c r="AU42" s="10">
        <f t="shared" si="4"/>
        <v>80.38809831824062</v>
      </c>
      <c r="AV42" s="59">
        <f t="shared" si="20"/>
        <v>75.80000000000001</v>
      </c>
      <c r="AW42" s="16">
        <f>C42+AS42-AT42</f>
        <v>331.90000000000003</v>
      </c>
      <c r="AX42" s="21">
        <f t="shared" si="9"/>
        <v>386.5</v>
      </c>
      <c r="AY42" s="21">
        <f t="shared" si="10"/>
        <v>310.7</v>
      </c>
      <c r="AZ42" s="40">
        <f t="shared" si="11"/>
        <v>331.90000000000003</v>
      </c>
    </row>
    <row r="43" spans="1:52" s="11" customFormat="1" ht="34.5" customHeight="1">
      <c r="A43" s="57">
        <v>34</v>
      </c>
      <c r="B43" s="14" t="s">
        <v>66</v>
      </c>
      <c r="C43" s="68">
        <f>SUM(C44:C44)</f>
        <v>4591.8</v>
      </c>
      <c r="D43" s="16">
        <f>SUM(D44:D44)</f>
        <v>1566.8</v>
      </c>
      <c r="E43" s="16">
        <f>SUM(E44:E44)</f>
        <v>3419.1</v>
      </c>
      <c r="F43" s="10">
        <f t="shared" si="21"/>
        <v>218.22185345928006</v>
      </c>
      <c r="G43" s="16">
        <f>SUM(G44:G44)</f>
        <v>1652.1</v>
      </c>
      <c r="H43" s="16">
        <f>SUM(H44:H44)</f>
        <v>501</v>
      </c>
      <c r="I43" s="10">
        <f t="shared" si="0"/>
        <v>30.32504085709098</v>
      </c>
      <c r="J43" s="16">
        <f>SUM(J44:J44)</f>
        <v>1605.3</v>
      </c>
      <c r="K43" s="16">
        <f>SUM(K44:K44)</f>
        <v>409.7</v>
      </c>
      <c r="L43" s="102">
        <f t="shared" si="23"/>
        <v>25.52170933781848</v>
      </c>
      <c r="M43" s="16">
        <f>SUM(M44:M44)</f>
        <v>4824.2</v>
      </c>
      <c r="N43" s="16">
        <f>SUM(N44:N44)</f>
        <v>4329.8</v>
      </c>
      <c r="O43" s="10">
        <f t="shared" si="5"/>
        <v>89.75166867045314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4"/>
        <v>#DIV/0!</v>
      </c>
      <c r="Y43" s="16">
        <f>SUM(Y44:Y44)</f>
        <v>0</v>
      </c>
      <c r="Z43" s="16">
        <f>SUM(Z44:Z44)</f>
        <v>0</v>
      </c>
      <c r="AA43" s="10" t="e">
        <f t="shared" si="27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8"/>
        <v>#DIV/0!</v>
      </c>
      <c r="AM43" s="16">
        <f aca="true" t="shared" si="30" ref="AM43:AT43">SUM(AM44:AM44)</f>
        <v>0</v>
      </c>
      <c r="AN43" s="16">
        <f t="shared" si="30"/>
        <v>0</v>
      </c>
      <c r="AO43" s="16">
        <f t="shared" si="30"/>
        <v>0</v>
      </c>
      <c r="AP43" s="16">
        <f t="shared" si="30"/>
        <v>0</v>
      </c>
      <c r="AQ43" s="16">
        <f t="shared" si="30"/>
        <v>0</v>
      </c>
      <c r="AR43" s="16">
        <f t="shared" si="30"/>
        <v>0</v>
      </c>
      <c r="AS43" s="16">
        <f t="shared" si="30"/>
        <v>4824.2</v>
      </c>
      <c r="AT43" s="16">
        <f t="shared" si="30"/>
        <v>4329.8</v>
      </c>
      <c r="AU43" s="10">
        <f t="shared" si="4"/>
        <v>89.75166867045314</v>
      </c>
      <c r="AV43" s="16">
        <f>SUM(AV44:AV44)</f>
        <v>494.39999999999964</v>
      </c>
      <c r="AW43" s="16">
        <f>SUM(AW44:AW44)</f>
        <v>5086.2</v>
      </c>
      <c r="AX43" s="21">
        <f t="shared" si="9"/>
        <v>4824.2</v>
      </c>
      <c r="AY43" s="21">
        <f t="shared" si="10"/>
        <v>4329.8</v>
      </c>
      <c r="AZ43" s="40">
        <f t="shared" si="11"/>
        <v>5086.2</v>
      </c>
    </row>
    <row r="44" spans="1:52" s="11" customFormat="1" ht="34.5" customHeight="1">
      <c r="A44" s="66"/>
      <c r="B44" s="39" t="s">
        <v>67</v>
      </c>
      <c r="C44" s="85">
        <v>4591.8</v>
      </c>
      <c r="D44" s="67">
        <v>1566.8</v>
      </c>
      <c r="E44" s="67">
        <v>3419.1</v>
      </c>
      <c r="F44" s="10">
        <f t="shared" si="21"/>
        <v>218.22185345928006</v>
      </c>
      <c r="G44" s="36">
        <v>1652.1</v>
      </c>
      <c r="H44" s="36">
        <v>501</v>
      </c>
      <c r="I44" s="10">
        <f t="shared" si="0"/>
        <v>30.32504085709098</v>
      </c>
      <c r="J44" s="36">
        <v>1605.3</v>
      </c>
      <c r="K44" s="36">
        <v>409.7</v>
      </c>
      <c r="L44" s="102">
        <f t="shared" si="23"/>
        <v>25.52170933781848</v>
      </c>
      <c r="M44" s="72">
        <f t="shared" si="12"/>
        <v>4824.2</v>
      </c>
      <c r="N44" s="72">
        <f t="shared" si="13"/>
        <v>4329.8</v>
      </c>
      <c r="O44" s="10">
        <f t="shared" si="5"/>
        <v>89.75166867045314</v>
      </c>
      <c r="P44" s="36"/>
      <c r="Q44" s="36"/>
      <c r="R44" s="10"/>
      <c r="S44" s="36"/>
      <c r="T44" s="36"/>
      <c r="U44" s="10"/>
      <c r="V44" s="36"/>
      <c r="W44" s="36"/>
      <c r="X44" s="10" t="e">
        <f t="shared" si="24"/>
        <v>#DIV/0!</v>
      </c>
      <c r="Y44" s="72">
        <f>P44+S44+V44</f>
        <v>0</v>
      </c>
      <c r="Z44" s="72">
        <f>Q44+T44+W44</f>
        <v>0</v>
      </c>
      <c r="AA44" s="10" t="e">
        <f t="shared" si="27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8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4824.2</v>
      </c>
      <c r="AT44" s="59">
        <f>N44+Z44+AK44+AN44+AP44+AR44</f>
        <v>4329.8</v>
      </c>
      <c r="AU44" s="10">
        <f t="shared" si="4"/>
        <v>89.75166867045314</v>
      </c>
      <c r="AV44" s="59">
        <f t="shared" si="20"/>
        <v>494.39999999999964</v>
      </c>
      <c r="AW44" s="16">
        <f>C44+AS44-AT44</f>
        <v>5086.2</v>
      </c>
      <c r="AX44" s="21">
        <f t="shared" si="9"/>
        <v>4824.2</v>
      </c>
      <c r="AY44" s="21">
        <f t="shared" si="10"/>
        <v>4329.8</v>
      </c>
      <c r="AZ44" s="40">
        <f t="shared" si="11"/>
        <v>5086.2</v>
      </c>
    </row>
    <row r="45" spans="1:52" s="11" customFormat="1" ht="34.5" customHeight="1">
      <c r="A45" s="66"/>
      <c r="B45" s="14" t="s">
        <v>105</v>
      </c>
      <c r="C45" s="68">
        <f>C7+C43</f>
        <v>6324.3</v>
      </c>
      <c r="D45" s="16">
        <f>D7+D43</f>
        <v>2603.8</v>
      </c>
      <c r="E45" s="16">
        <f>E7+E43</f>
        <v>4376.7</v>
      </c>
      <c r="F45" s="10">
        <f t="shared" si="21"/>
        <v>168.08894692372684</v>
      </c>
      <c r="G45" s="16">
        <f>G7+G43</f>
        <v>2693.5</v>
      </c>
      <c r="H45" s="16">
        <f>H7+H43</f>
        <v>1518.7000000000003</v>
      </c>
      <c r="I45" s="10">
        <f t="shared" si="0"/>
        <v>56.383887135697066</v>
      </c>
      <c r="J45" s="16">
        <f>J7+J43</f>
        <v>2670.4</v>
      </c>
      <c r="K45" s="16">
        <f>K7+K43</f>
        <v>1143.6</v>
      </c>
      <c r="L45" s="102">
        <f t="shared" si="23"/>
        <v>42.825044937088066</v>
      </c>
      <c r="M45" s="16">
        <f>M7+M43</f>
        <v>7967.700000000001</v>
      </c>
      <c r="N45" s="16">
        <f>N7+N43</f>
        <v>7039</v>
      </c>
      <c r="O45" s="10">
        <f t="shared" si="5"/>
        <v>88.34418966577556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4"/>
        <v>#DIV/0!</v>
      </c>
      <c r="Y45" s="16">
        <f>Y7+Y43</f>
        <v>0</v>
      </c>
      <c r="Z45" s="16">
        <f>Z7+Z43</f>
        <v>0</v>
      </c>
      <c r="AA45" s="10" t="e">
        <f t="shared" si="27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8"/>
        <v>#DIV/0!</v>
      </c>
      <c r="AM45" s="16">
        <f aca="true" t="shared" si="31" ref="AM45:AR45">AM43+AM7</f>
        <v>0</v>
      </c>
      <c r="AN45" s="16">
        <f t="shared" si="31"/>
        <v>0</v>
      </c>
      <c r="AO45" s="16">
        <f t="shared" si="31"/>
        <v>0</v>
      </c>
      <c r="AP45" s="16">
        <f t="shared" si="31"/>
        <v>0</v>
      </c>
      <c r="AQ45" s="16">
        <f t="shared" si="31"/>
        <v>0</v>
      </c>
      <c r="AR45" s="16">
        <f t="shared" si="31"/>
        <v>0</v>
      </c>
      <c r="AS45" s="68">
        <f>AS7+AS43</f>
        <v>7967.7</v>
      </c>
      <c r="AT45" s="68">
        <f>AT7+AT43</f>
        <v>7039</v>
      </c>
      <c r="AU45" s="10">
        <f>AT45/AS45*100</f>
        <v>88.34418966577557</v>
      </c>
      <c r="AV45" s="16">
        <f>AV7+AV43</f>
        <v>928.6999999999997</v>
      </c>
      <c r="AW45" s="16">
        <f>AW7+AW43</f>
        <v>7253</v>
      </c>
      <c r="AX45" s="21">
        <f t="shared" si="9"/>
        <v>7967.700000000001</v>
      </c>
      <c r="AY45" s="21">
        <f t="shared" si="10"/>
        <v>7039</v>
      </c>
      <c r="AZ45" s="40">
        <f t="shared" si="11"/>
        <v>7253</v>
      </c>
    </row>
    <row r="46" spans="1:52" s="134" customFormat="1" ht="54.75" customHeight="1">
      <c r="A46" s="163" t="s">
        <v>110</v>
      </c>
      <c r="B46" s="163"/>
      <c r="C46" s="163"/>
      <c r="D46" s="128"/>
      <c r="E46" s="128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109</v>
      </c>
      <c r="AX46" s="132"/>
      <c r="AY46" s="133"/>
      <c r="AZ46" s="133"/>
    </row>
    <row r="47" spans="1:50" s="30" customFormat="1" ht="96.75" customHeight="1">
      <c r="A47" s="27"/>
      <c r="B47" s="173" t="s">
        <v>74</v>
      </c>
      <c r="C47" s="173"/>
      <c r="D47" s="173"/>
      <c r="E47" s="173"/>
      <c r="F47" s="173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7" t="s">
        <v>75</v>
      </c>
      <c r="AW47" s="178"/>
      <c r="AX47" s="90"/>
    </row>
    <row r="48" spans="1:49" ht="73.5" customHeight="1" hidden="1">
      <c r="A48" s="172" t="s">
        <v>72</v>
      </c>
      <c r="B48" s="172"/>
      <c r="C48" s="31"/>
      <c r="D48" s="31"/>
      <c r="E48" s="31"/>
      <c r="F48" s="31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W48" s="4" t="s">
        <v>73</v>
      </c>
    </row>
    <row r="49" spans="2:48" ht="32.25" customHeight="1" hidden="1">
      <c r="B49" s="176" t="s">
        <v>44</v>
      </c>
      <c r="C49" s="176"/>
      <c r="D49" s="176"/>
      <c r="E49" s="176"/>
      <c r="F49" s="176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S49" s="11"/>
      <c r="AT49" s="11"/>
      <c r="AV49" s="11"/>
    </row>
    <row r="50" spans="31:44" ht="18.75"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</row>
    <row r="51" spans="31:44" ht="18.75">
      <c r="AE51" s="50"/>
      <c r="AF51" s="50"/>
      <c r="AG51" s="50"/>
      <c r="AH51" s="50"/>
      <c r="AI51" s="50"/>
      <c r="AM51" s="50"/>
      <c r="AN51" s="50"/>
      <c r="AO51" s="50"/>
      <c r="AP51" s="50"/>
      <c r="AQ51" s="50"/>
      <c r="AR51" s="50"/>
    </row>
    <row r="52" spans="3:49" ht="18.75">
      <c r="C52" s="25"/>
      <c r="D52" s="18"/>
      <c r="E52" s="18"/>
      <c r="F52" s="49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3:49" ht="18.75">
      <c r="C53" s="25"/>
      <c r="D53" s="18"/>
      <c r="E53" s="18"/>
      <c r="F53" s="49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3:49" ht="18.75">
      <c r="C54" s="25"/>
      <c r="D54" s="18"/>
      <c r="E54" s="18"/>
      <c r="F54" s="49"/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3:49" ht="18.75">
      <c r="C55" s="25"/>
      <c r="D55" s="18"/>
      <c r="E55" s="18"/>
      <c r="F55" s="49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3:49" ht="18.75">
      <c r="C56" s="25"/>
      <c r="D56" s="18"/>
      <c r="E56" s="18"/>
      <c r="F56" s="49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3:49" ht="18.75">
      <c r="C57" s="25"/>
      <c r="D57" s="18"/>
      <c r="E57" s="18"/>
      <c r="F57" s="49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3:49" ht="18.75">
      <c r="C58" s="25"/>
      <c r="D58" s="18"/>
      <c r="E58" s="18"/>
      <c r="F58" s="49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3:49" ht="18.75">
      <c r="C59" s="25"/>
      <c r="D59" s="18"/>
      <c r="E59" s="18"/>
      <c r="F59" s="49"/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3:49" ht="18.75">
      <c r="C60" s="25"/>
      <c r="D60" s="18"/>
      <c r="E60" s="18"/>
      <c r="F60" s="49"/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3:49" ht="18.75">
      <c r="C61" s="25"/>
      <c r="D61" s="18"/>
      <c r="E61" s="18"/>
      <c r="F61" s="49"/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3:49" ht="18.75">
      <c r="C62" s="25"/>
      <c r="D62" s="18"/>
      <c r="E62" s="18"/>
      <c r="F62" s="49"/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3:49" ht="18.75">
      <c r="C63" s="25"/>
      <c r="D63" s="18"/>
      <c r="E63" s="18"/>
      <c r="F63" s="49"/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3:49" ht="18.75">
      <c r="C64" s="25"/>
      <c r="D64" s="18"/>
      <c r="E64" s="18"/>
      <c r="F64" s="49"/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3:49" ht="18.75">
      <c r="C65" s="25"/>
      <c r="D65" s="18"/>
      <c r="E65" s="18"/>
      <c r="F65" s="49"/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3:49" ht="18.75">
      <c r="C66" s="25"/>
      <c r="D66" s="18"/>
      <c r="E66" s="18"/>
      <c r="F66" s="49"/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3:49" ht="18.75">
      <c r="C67" s="25"/>
      <c r="D67" s="18"/>
      <c r="E67" s="18"/>
      <c r="F67" s="49"/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3:49" ht="18.75">
      <c r="C68" s="25"/>
      <c r="D68" s="18"/>
      <c r="E68" s="18"/>
      <c r="F68" s="49"/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3:49" ht="18.75">
      <c r="C69" s="25"/>
      <c r="D69" s="18"/>
      <c r="E69" s="18"/>
      <c r="F69" s="49"/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3:49" ht="18.75">
      <c r="C70" s="25"/>
      <c r="D70" s="18"/>
      <c r="E70" s="18"/>
      <c r="F70" s="49"/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3:49" ht="18.75">
      <c r="C71" s="25"/>
      <c r="D71" s="18"/>
      <c r="E71" s="18"/>
      <c r="F71" s="49"/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3:49" ht="18.75">
      <c r="C72" s="25"/>
      <c r="D72" s="18"/>
      <c r="E72" s="18"/>
      <c r="F72" s="49"/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3:49" ht="18.75">
      <c r="C73" s="25"/>
      <c r="D73" s="18"/>
      <c r="E73" s="18"/>
      <c r="F73" s="49"/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3:49" ht="18.75">
      <c r="C74" s="25"/>
      <c r="D74" s="18"/>
      <c r="E74" s="18"/>
      <c r="F74" s="49"/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3:49" ht="18.75">
      <c r="C75" s="25"/>
      <c r="D75" s="18"/>
      <c r="E75" s="18"/>
      <c r="F75" s="49"/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3:49" ht="18.75">
      <c r="C76" s="25"/>
      <c r="D76" s="18"/>
      <c r="E76" s="18"/>
      <c r="F76" s="49"/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3:49" ht="18.75">
      <c r="C77" s="25"/>
      <c r="D77" s="18"/>
      <c r="E77" s="18"/>
      <c r="F77" s="49"/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3:49" ht="18.75">
      <c r="C78" s="25"/>
      <c r="D78" s="18"/>
      <c r="E78" s="18"/>
      <c r="F78" s="49"/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3:49" ht="18.75">
      <c r="C79" s="25"/>
      <c r="D79" s="18"/>
      <c r="E79" s="18"/>
      <c r="F79" s="49"/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3:49" ht="18.75">
      <c r="C80" s="25"/>
      <c r="D80" s="18"/>
      <c r="E80" s="18"/>
      <c r="F80" s="49"/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3:49" ht="18.75">
      <c r="C81" s="25"/>
      <c r="D81" s="18"/>
      <c r="E81" s="18"/>
      <c r="F81" s="49"/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3:49" ht="18.75">
      <c r="C82" s="25"/>
      <c r="D82" s="18"/>
      <c r="E82" s="18"/>
      <c r="F82" s="49"/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3:49" ht="18.75">
      <c r="C83" s="25"/>
      <c r="D83" s="18"/>
      <c r="E83" s="18"/>
      <c r="F83" s="49"/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3:49" ht="18.75">
      <c r="C84" s="25"/>
      <c r="D84" s="18"/>
      <c r="E84" s="18"/>
      <c r="F84" s="49"/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3:49" ht="18.75">
      <c r="C85" s="25"/>
      <c r="D85" s="18"/>
      <c r="E85" s="18"/>
      <c r="F85" s="49"/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3:49" ht="18.75">
      <c r="C86" s="25"/>
      <c r="D86" s="18"/>
      <c r="E86" s="18"/>
      <c r="F86" s="49"/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3:49" ht="18.75">
      <c r="C87" s="25"/>
      <c r="D87" s="18"/>
      <c r="E87" s="18"/>
      <c r="F87" s="49"/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3:49" ht="18.75">
      <c r="C88" s="25"/>
      <c r="D88" s="18"/>
      <c r="E88" s="18"/>
      <c r="F88" s="49"/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3:49" ht="18.75">
      <c r="C89" s="25"/>
      <c r="D89" s="18"/>
      <c r="E89" s="18"/>
      <c r="F89" s="49"/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3:49" ht="18.75">
      <c r="C90" s="25"/>
      <c r="D90" s="18"/>
      <c r="E90" s="18"/>
      <c r="F90" s="49"/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3:49" ht="18.75">
      <c r="C91" s="25"/>
      <c r="D91" s="18"/>
      <c r="E91" s="18"/>
      <c r="F91" s="49"/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3:49" ht="18.75">
      <c r="C92" s="25"/>
      <c r="D92" s="18"/>
      <c r="E92" s="18"/>
      <c r="F92" s="49"/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3:49" ht="18.75">
      <c r="C93" s="25"/>
      <c r="D93" s="18"/>
      <c r="E93" s="18"/>
      <c r="F93" s="49"/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3:49" ht="18.75">
      <c r="C94" s="25"/>
      <c r="D94" s="18"/>
      <c r="E94" s="18"/>
      <c r="F94" s="49"/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3:49" ht="18.75">
      <c r="C95" s="25"/>
      <c r="D95" s="18"/>
      <c r="E95" s="18"/>
      <c r="F95" s="49"/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3:49" ht="18.75">
      <c r="C96" s="25"/>
      <c r="D96" s="18"/>
      <c r="E96" s="18"/>
      <c r="F96" s="49"/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3:49" ht="18.75">
      <c r="C97" s="25"/>
      <c r="D97" s="18"/>
      <c r="E97" s="18"/>
      <c r="F97" s="49"/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6">
    <mergeCell ref="I1:AW1"/>
    <mergeCell ref="B4:F4"/>
    <mergeCell ref="G5:I5"/>
    <mergeCell ref="AS5:AU5"/>
    <mergeCell ref="AM5:AN5"/>
    <mergeCell ref="AJ5:AL5"/>
    <mergeCell ref="AO5:AP5"/>
    <mergeCell ref="AQ5:AR5"/>
    <mergeCell ref="B2:AW3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  <mergeCell ref="A46:C4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view="pageBreakPreview" zoomScale="80" zoomScaleNormal="50" zoomScaleSheetLayoutView="80" zoomScalePageLayoutView="0" workbookViewId="0" topLeftCell="A3">
      <pane xSplit="5" ySplit="4" topLeftCell="F16" activePane="bottomRight" state="frozen"/>
      <selection pane="topLeft" activeCell="A3" sqref="A3"/>
      <selection pane="topRight" activeCell="F3" sqref="F3"/>
      <selection pane="bottomLeft" activeCell="A7" sqref="A7"/>
      <selection pane="bottomRight" activeCell="B21" sqref="B21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47" customWidth="1"/>
    <col min="4" max="4" width="17.00390625" style="2" customWidth="1"/>
    <col min="5" max="5" width="15.75390625" style="2" customWidth="1"/>
    <col min="6" max="6" width="11.875" style="11" customWidth="1"/>
    <col min="7" max="7" width="14.75390625" style="2" customWidth="1"/>
    <col min="8" max="8" width="16.00390625" style="2" customWidth="1"/>
    <col min="9" max="9" width="12.875" style="11" customWidth="1"/>
    <col min="10" max="10" width="14.75390625" style="2" customWidth="1"/>
    <col min="11" max="11" width="16.00390625" style="2" customWidth="1"/>
    <col min="12" max="12" width="11.875" style="11" customWidth="1"/>
    <col min="13" max="13" width="13.87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3.375" style="11" hidden="1" customWidth="1"/>
    <col min="22" max="22" width="15.75390625" style="11" hidden="1" customWidth="1"/>
    <col min="23" max="23" width="13.25390625" style="11" hidden="1" customWidth="1"/>
    <col min="24" max="24" width="11.125" style="11" hidden="1" customWidth="1"/>
    <col min="25" max="25" width="13.875" style="11" hidden="1" customWidth="1"/>
    <col min="26" max="26" width="12.375" style="11" hidden="1" customWidth="1"/>
    <col min="27" max="27" width="11.125" style="11" hidden="1" customWidth="1"/>
    <col min="28" max="28" width="15.75390625" style="11" hidden="1" customWidth="1"/>
    <col min="29" max="29" width="13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875" style="11" hidden="1" customWidth="1"/>
    <col min="35" max="35" width="11.875" style="11" hidden="1" customWidth="1"/>
    <col min="36" max="36" width="13.875" style="11" hidden="1" customWidth="1"/>
    <col min="37" max="37" width="12.375" style="11" hidden="1" customWidth="1"/>
    <col min="38" max="38" width="11.125" style="11" hidden="1" customWidth="1"/>
    <col min="39" max="39" width="12.875" style="11" hidden="1" customWidth="1"/>
    <col min="40" max="40" width="11.875" style="11" hidden="1" customWidth="1"/>
    <col min="41" max="41" width="12.875" style="11" hidden="1" customWidth="1"/>
    <col min="42" max="42" width="12.375" style="11" hidden="1" customWidth="1"/>
    <col min="43" max="43" width="12.875" style="11" hidden="1" customWidth="1"/>
    <col min="44" max="44" width="11.875" style="11" hidden="1" customWidth="1"/>
    <col min="45" max="46" width="14.75390625" style="2" customWidth="1"/>
    <col min="47" max="47" width="11.125" style="11" customWidth="1"/>
    <col min="48" max="48" width="20.625" style="2" customWidth="1"/>
    <col min="49" max="49" width="28.125" style="2" customWidth="1"/>
    <col min="50" max="51" width="11.875" style="2" customWidth="1"/>
    <col min="52" max="52" width="12.125" style="2" customWidth="1"/>
    <col min="53" max="16384" width="7.875" style="2" customWidth="1"/>
  </cols>
  <sheetData>
    <row r="1" spans="9:49" ht="22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2" customFormat="1" ht="60" customHeight="1">
      <c r="A2" s="162" t="s">
        <v>121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</row>
    <row r="3" spans="1:49" s="52" customFormat="1" ht="60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</row>
    <row r="4" spans="2:49" ht="49.5" customHeight="1">
      <c r="B4" s="179"/>
      <c r="C4" s="179"/>
      <c r="D4" s="179"/>
      <c r="E4" s="179"/>
      <c r="F4" s="179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94</v>
      </c>
    </row>
    <row r="5" spans="1:49" ht="58.5" customHeight="1">
      <c r="A5" s="42" t="s">
        <v>46</v>
      </c>
      <c r="B5" s="43"/>
      <c r="C5" s="44" t="s">
        <v>1</v>
      </c>
      <c r="D5" s="169" t="s">
        <v>111</v>
      </c>
      <c r="E5" s="170"/>
      <c r="F5" s="171"/>
      <c r="G5" s="159" t="s">
        <v>114</v>
      </c>
      <c r="H5" s="160"/>
      <c r="I5" s="161"/>
      <c r="J5" s="159" t="s">
        <v>118</v>
      </c>
      <c r="K5" s="160"/>
      <c r="L5" s="161"/>
      <c r="M5" s="159" t="s">
        <v>90</v>
      </c>
      <c r="N5" s="160"/>
      <c r="O5" s="161"/>
      <c r="P5" s="159" t="s">
        <v>79</v>
      </c>
      <c r="Q5" s="160"/>
      <c r="R5" s="161"/>
      <c r="S5" s="159" t="s">
        <v>80</v>
      </c>
      <c r="T5" s="160"/>
      <c r="U5" s="161"/>
      <c r="V5" s="159" t="s">
        <v>81</v>
      </c>
      <c r="W5" s="160"/>
      <c r="X5" s="161"/>
      <c r="Y5" s="159" t="s">
        <v>91</v>
      </c>
      <c r="Z5" s="160"/>
      <c r="AA5" s="161"/>
      <c r="AB5" s="159" t="s">
        <v>82</v>
      </c>
      <c r="AC5" s="160"/>
      <c r="AD5" s="161"/>
      <c r="AE5" s="159" t="s">
        <v>83</v>
      </c>
      <c r="AF5" s="160"/>
      <c r="AG5" s="161"/>
      <c r="AH5" s="159" t="s">
        <v>84</v>
      </c>
      <c r="AI5" s="161"/>
      <c r="AJ5" s="159" t="s">
        <v>92</v>
      </c>
      <c r="AK5" s="160"/>
      <c r="AL5" s="161"/>
      <c r="AM5" s="159" t="s">
        <v>85</v>
      </c>
      <c r="AN5" s="161"/>
      <c r="AO5" s="159" t="s">
        <v>86</v>
      </c>
      <c r="AP5" s="161"/>
      <c r="AQ5" s="159" t="s">
        <v>87</v>
      </c>
      <c r="AR5" s="161"/>
      <c r="AS5" s="169" t="s">
        <v>112</v>
      </c>
      <c r="AT5" s="170"/>
      <c r="AU5" s="171"/>
      <c r="AV5" s="167" t="s">
        <v>116</v>
      </c>
      <c r="AW5" s="167" t="s">
        <v>117</v>
      </c>
    </row>
    <row r="6" spans="1:49" ht="49.5" customHeight="1">
      <c r="A6" s="45" t="s">
        <v>47</v>
      </c>
      <c r="B6" s="46" t="s">
        <v>106</v>
      </c>
      <c r="C6" s="41" t="s">
        <v>113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93</v>
      </c>
      <c r="AT6" s="46" t="s">
        <v>69</v>
      </c>
      <c r="AU6" s="48" t="s">
        <v>0</v>
      </c>
      <c r="AV6" s="168"/>
      <c r="AW6" s="168"/>
    </row>
    <row r="7" spans="1:52" s="11" customFormat="1" ht="34.5" customHeight="1">
      <c r="A7" s="48"/>
      <c r="B7" s="114" t="s">
        <v>107</v>
      </c>
      <c r="C7" s="10">
        <f>SUM(C8:C42)-C33-C34</f>
        <v>8376.6</v>
      </c>
      <c r="D7" s="10">
        <f>SUM(D8:D42)-D33-D34</f>
        <v>12104.899999999998</v>
      </c>
      <c r="E7" s="10">
        <f>SUM(E8:E42)-E33-E34</f>
        <v>6128.600000000001</v>
      </c>
      <c r="F7" s="10">
        <f aca="true" t="shared" si="0" ref="F7:F45">E7/D7*100</f>
        <v>50.62908408991402</v>
      </c>
      <c r="G7" s="10">
        <f>SUM(G8:G42)-G33-G34</f>
        <v>-2151.5</v>
      </c>
      <c r="H7" s="10">
        <f>SUM(H8:H42)-H33-H34</f>
        <v>8966.6</v>
      </c>
      <c r="I7" s="10">
        <f aca="true" t="shared" si="1" ref="I7:I45">H7/G7*100</f>
        <v>-416.7603997211248</v>
      </c>
      <c r="J7" s="10">
        <f>SUM(J8:J42)-J33-J34</f>
        <v>-1317.2000000000003</v>
      </c>
      <c r="K7" s="10">
        <f>SUM(K8:K42)-K33-K34</f>
        <v>1071.8999999999999</v>
      </c>
      <c r="L7" s="10">
        <f aca="true" t="shared" si="2" ref="L7:L28">K7/J7*100</f>
        <v>-81.37716368053444</v>
      </c>
      <c r="M7" s="10">
        <f>SUM(M8:M42)</f>
        <v>8636.199999999999</v>
      </c>
      <c r="N7" s="10">
        <f>SUM(N8:N42)</f>
        <v>16167.1</v>
      </c>
      <c r="O7" s="10">
        <f>N7/M7*100</f>
        <v>187.2015469766796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3" ref="X7:X28"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4" ref="AM7:AR7">SUM(AM8:AM42)</f>
        <v>0</v>
      </c>
      <c r="AN7" s="10">
        <f t="shared" si="4"/>
        <v>0</v>
      </c>
      <c r="AO7" s="10">
        <f t="shared" si="4"/>
        <v>0</v>
      </c>
      <c r="AP7" s="10">
        <f t="shared" si="4"/>
        <v>0</v>
      </c>
      <c r="AQ7" s="10">
        <f t="shared" si="4"/>
        <v>0</v>
      </c>
      <c r="AR7" s="10">
        <f t="shared" si="4"/>
        <v>0</v>
      </c>
      <c r="AS7" s="10">
        <f>SUM(AS8:AS42)-AS33-AS34</f>
        <v>8636.199999999999</v>
      </c>
      <c r="AT7" s="10">
        <f>SUM(AT8:AT42)-AT33-AT34</f>
        <v>16167.100000000002</v>
      </c>
      <c r="AU7" s="10">
        <f aca="true" t="shared" si="5" ref="AU7:AU44">AT7/AS7*100</f>
        <v>187.20154697667962</v>
      </c>
      <c r="AV7" s="10">
        <f>SUM(AV8:AV42)-AV33-AV34</f>
        <v>-7530.9</v>
      </c>
      <c r="AW7" s="10">
        <f>SUM(AW8:AW42)-AW33-AW34</f>
        <v>845.7000000000003</v>
      </c>
      <c r="AX7" s="21">
        <f>D7+G7+J7</f>
        <v>8636.199999999997</v>
      </c>
      <c r="AY7" s="21">
        <f>E7+H7+K7</f>
        <v>16167.1</v>
      </c>
      <c r="AZ7" s="40">
        <f>C7+AX7-AY7</f>
        <v>845.6999999999953</v>
      </c>
    </row>
    <row r="8" spans="1:52" ht="34.5" customHeight="1">
      <c r="A8" s="57">
        <v>1</v>
      </c>
      <c r="B8" s="58" t="s">
        <v>49</v>
      </c>
      <c r="C8" s="13">
        <v>712.5</v>
      </c>
      <c r="D8" s="36">
        <v>936.7</v>
      </c>
      <c r="E8" s="36">
        <v>613.2</v>
      </c>
      <c r="F8" s="10">
        <f t="shared" si="0"/>
        <v>65.46386249599658</v>
      </c>
      <c r="G8" s="36">
        <v>76.9</v>
      </c>
      <c r="H8" s="36">
        <v>938.4</v>
      </c>
      <c r="I8" s="10">
        <f t="shared" si="1"/>
        <v>1220.2860858257477</v>
      </c>
      <c r="J8" s="36">
        <v>3.6</v>
      </c>
      <c r="K8" s="36">
        <v>22.3</v>
      </c>
      <c r="L8" s="10">
        <f t="shared" si="2"/>
        <v>619.4444444444445</v>
      </c>
      <c r="M8" s="72">
        <f>D8+G8+J8</f>
        <v>1017.2</v>
      </c>
      <c r="N8" s="72">
        <f>E8+H8+K8</f>
        <v>1573.8999999999999</v>
      </c>
      <c r="O8" s="10">
        <f aca="true" t="shared" si="6" ref="O8:O45">N8/M8*100</f>
        <v>154.7286669288242</v>
      </c>
      <c r="P8" s="36"/>
      <c r="Q8" s="36"/>
      <c r="R8" s="10"/>
      <c r="S8" s="36"/>
      <c r="T8" s="36"/>
      <c r="U8" s="10"/>
      <c r="V8" s="36"/>
      <c r="W8" s="36"/>
      <c r="X8" s="10" t="e">
        <f t="shared" si="3"/>
        <v>#DIV/0!</v>
      </c>
      <c r="Y8" s="72">
        <f>P8+S8+V8</f>
        <v>0</v>
      </c>
      <c r="Z8" s="72">
        <f>Q8+T8+W8</f>
        <v>0</v>
      </c>
      <c r="AA8" s="10" t="e">
        <f aca="true" t="shared" si="7" ref="AA8:AA28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aca="true" t="shared" si="8" ref="AL8:AL28"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1017.2</v>
      </c>
      <c r="AT8" s="59">
        <f>N8+Z8+AK8+AN8+AP8+AR8</f>
        <v>1573.8999999999999</v>
      </c>
      <c r="AU8" s="10">
        <f t="shared" si="5"/>
        <v>154.7286669288242</v>
      </c>
      <c r="AV8" s="59">
        <f>AS8-AT8</f>
        <v>-556.6999999999998</v>
      </c>
      <c r="AW8" s="16">
        <f>C8+AS8-AT8</f>
        <v>155.80000000000018</v>
      </c>
      <c r="AX8" s="21">
        <f aca="true" t="shared" si="9" ref="AX8:AX45">D8+G8+J8</f>
        <v>1017.2</v>
      </c>
      <c r="AY8" s="21">
        <f aca="true" t="shared" si="10" ref="AY8:AY45">E8+H8+K8</f>
        <v>1573.8999999999999</v>
      </c>
      <c r="AZ8" s="40">
        <f aca="true" t="shared" si="11" ref="AZ8:AZ45">C8+AX8-AY8</f>
        <v>155.80000000000018</v>
      </c>
    </row>
    <row r="9" spans="1:52" ht="34.5" customHeight="1">
      <c r="A9" s="57">
        <v>2</v>
      </c>
      <c r="B9" s="60" t="s">
        <v>65</v>
      </c>
      <c r="C9" s="13">
        <v>395.6</v>
      </c>
      <c r="D9" s="36">
        <v>260.3</v>
      </c>
      <c r="E9" s="36">
        <v>337.7</v>
      </c>
      <c r="F9" s="10">
        <f>E9/D9*100</f>
        <v>129.7349212447176</v>
      </c>
      <c r="G9" s="36">
        <v>-0.1</v>
      </c>
      <c r="H9" s="36">
        <v>292.1</v>
      </c>
      <c r="I9" s="86">
        <f t="shared" si="1"/>
        <v>-292100</v>
      </c>
      <c r="J9" s="36">
        <v>2.1</v>
      </c>
      <c r="K9" s="36">
        <v>16</v>
      </c>
      <c r="L9" s="10">
        <f t="shared" si="2"/>
        <v>761.9047619047618</v>
      </c>
      <c r="M9" s="72">
        <f aca="true" t="shared" si="12" ref="M9:M44">D9+G9+J9</f>
        <v>262.3</v>
      </c>
      <c r="N9" s="72">
        <f aca="true" t="shared" si="13" ref="N9:N44">E9+H9+K9</f>
        <v>645.8</v>
      </c>
      <c r="O9" s="10">
        <f t="shared" si="6"/>
        <v>246.2066336256195</v>
      </c>
      <c r="P9" s="36"/>
      <c r="Q9" s="36"/>
      <c r="R9" s="10"/>
      <c r="S9" s="36"/>
      <c r="T9" s="36"/>
      <c r="U9" s="10"/>
      <c r="V9" s="36"/>
      <c r="W9" s="36"/>
      <c r="X9" s="10" t="e">
        <f t="shared" si="3"/>
        <v>#DIV/0!</v>
      </c>
      <c r="Y9" s="72">
        <f aca="true" t="shared" si="14" ref="Y9:Y28">P9+S9+V9</f>
        <v>0</v>
      </c>
      <c r="Z9" s="72">
        <f aca="true" t="shared" si="15" ref="Z9:Z28">Q9+T9+W9</f>
        <v>0</v>
      </c>
      <c r="AA9" s="10" t="e">
        <f t="shared" si="7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6" ref="AJ9:AJ36">AB9+AE9+AH9</f>
        <v>0</v>
      </c>
      <c r="AK9" s="72">
        <f aca="true" t="shared" si="17" ref="AK9:AK36">AC9+AF9+AI9</f>
        <v>0</v>
      </c>
      <c r="AL9" s="10" t="e">
        <f t="shared" si="8"/>
        <v>#DIV/0!</v>
      </c>
      <c r="AM9" s="36"/>
      <c r="AN9" s="36"/>
      <c r="AO9" s="36"/>
      <c r="AP9" s="36"/>
      <c r="AQ9" s="36"/>
      <c r="AR9" s="36"/>
      <c r="AS9" s="59">
        <f aca="true" t="shared" si="18" ref="AS9:AS42">M9+Y9+AJ9+AM9+AO9+AQ9</f>
        <v>262.3</v>
      </c>
      <c r="AT9" s="59">
        <f aca="true" t="shared" si="19" ref="AT9:AT42">N9+Z9+AK9+AN9+AP9+AR9</f>
        <v>645.8</v>
      </c>
      <c r="AU9" s="10">
        <f t="shared" si="5"/>
        <v>246.2066336256195</v>
      </c>
      <c r="AV9" s="59">
        <f aca="true" t="shared" si="20" ref="AV9:AV44">AS9-AT9</f>
        <v>-383.49999999999994</v>
      </c>
      <c r="AW9" s="16">
        <f aca="true" t="shared" si="21" ref="AW9:AW44">C9+AS9-AT9</f>
        <v>12.100000000000136</v>
      </c>
      <c r="AX9" s="21">
        <f t="shared" si="9"/>
        <v>262.3</v>
      </c>
      <c r="AY9" s="21">
        <f t="shared" si="10"/>
        <v>645.8</v>
      </c>
      <c r="AZ9" s="40">
        <f t="shared" si="11"/>
        <v>12.100000000000136</v>
      </c>
    </row>
    <row r="10" spans="1:52" ht="34.5" customHeight="1">
      <c r="A10" s="57">
        <v>3</v>
      </c>
      <c r="B10" s="62" t="s">
        <v>95</v>
      </c>
      <c r="C10" s="13">
        <v>15.8</v>
      </c>
      <c r="D10" s="36">
        <v>101.2</v>
      </c>
      <c r="E10" s="36">
        <v>0</v>
      </c>
      <c r="F10" s="10">
        <f>E10/D10*100</f>
        <v>0</v>
      </c>
      <c r="G10" s="36">
        <v>99.7</v>
      </c>
      <c r="H10" s="36">
        <v>311.9</v>
      </c>
      <c r="I10" s="10">
        <f t="shared" si="1"/>
        <v>312.8385155466399</v>
      </c>
      <c r="J10" s="36">
        <v>101.5</v>
      </c>
      <c r="K10" s="36">
        <v>0</v>
      </c>
      <c r="L10" s="10">
        <f t="shared" si="2"/>
        <v>0</v>
      </c>
      <c r="M10" s="72">
        <f t="shared" si="12"/>
        <v>302.4</v>
      </c>
      <c r="N10" s="72">
        <f t="shared" si="13"/>
        <v>311.9</v>
      </c>
      <c r="O10" s="10">
        <f t="shared" si="6"/>
        <v>103.14153439153439</v>
      </c>
      <c r="P10" s="36"/>
      <c r="Q10" s="36"/>
      <c r="R10" s="103"/>
      <c r="S10" s="36"/>
      <c r="T10" s="36"/>
      <c r="U10" s="103"/>
      <c r="V10" s="36"/>
      <c r="W10" s="36"/>
      <c r="X10" s="103" t="e">
        <f t="shared" si="3"/>
        <v>#DIV/0!</v>
      </c>
      <c r="Y10" s="72">
        <f t="shared" si="14"/>
        <v>0</v>
      </c>
      <c r="Z10" s="72">
        <f t="shared" si="15"/>
        <v>0</v>
      </c>
      <c r="AA10" s="10" t="e">
        <f t="shared" si="7"/>
        <v>#DIV/0!</v>
      </c>
      <c r="AB10" s="36"/>
      <c r="AC10" s="36"/>
      <c r="AD10" s="10"/>
      <c r="AE10" s="36"/>
      <c r="AF10" s="36"/>
      <c r="AG10" s="10"/>
      <c r="AH10" s="36"/>
      <c r="AI10" s="36"/>
      <c r="AJ10" s="72">
        <f t="shared" si="16"/>
        <v>0</v>
      </c>
      <c r="AK10" s="72">
        <f t="shared" si="17"/>
        <v>0</v>
      </c>
      <c r="AL10" s="10" t="e">
        <f t="shared" si="8"/>
        <v>#DIV/0!</v>
      </c>
      <c r="AM10" s="36"/>
      <c r="AN10" s="36"/>
      <c r="AO10" s="36"/>
      <c r="AP10" s="36"/>
      <c r="AQ10" s="36"/>
      <c r="AR10" s="36"/>
      <c r="AS10" s="59">
        <f t="shared" si="18"/>
        <v>302.4</v>
      </c>
      <c r="AT10" s="59">
        <f t="shared" si="19"/>
        <v>311.9</v>
      </c>
      <c r="AU10" s="10">
        <f t="shared" si="5"/>
        <v>103.14153439153439</v>
      </c>
      <c r="AV10" s="59">
        <f t="shared" si="20"/>
        <v>-9.5</v>
      </c>
      <c r="AW10" s="16">
        <f t="shared" si="21"/>
        <v>6.300000000000011</v>
      </c>
      <c r="AX10" s="21">
        <f t="shared" si="9"/>
        <v>302.4</v>
      </c>
      <c r="AY10" s="21">
        <f t="shared" si="10"/>
        <v>311.9</v>
      </c>
      <c r="AZ10" s="40">
        <f t="shared" si="11"/>
        <v>6.300000000000011</v>
      </c>
    </row>
    <row r="11" spans="1:52" ht="34.5" customHeight="1">
      <c r="A11" s="57">
        <v>4</v>
      </c>
      <c r="B11" s="58" t="s">
        <v>50</v>
      </c>
      <c r="C11" s="13">
        <v>175.8</v>
      </c>
      <c r="D11" s="36">
        <v>246.3</v>
      </c>
      <c r="E11" s="36">
        <v>160.5</v>
      </c>
      <c r="F11" s="10">
        <f>E11/D11*100</f>
        <v>65.16443361753959</v>
      </c>
      <c r="G11" s="36">
        <v>11.4</v>
      </c>
      <c r="H11" s="36">
        <v>212.3</v>
      </c>
      <c r="I11" s="10">
        <f t="shared" si="1"/>
        <v>1862.280701754386</v>
      </c>
      <c r="J11" s="36">
        <v>0.7</v>
      </c>
      <c r="K11" s="36">
        <v>0.4</v>
      </c>
      <c r="L11" s="10">
        <f t="shared" si="2"/>
        <v>57.14285714285715</v>
      </c>
      <c r="M11" s="72">
        <f t="shared" si="12"/>
        <v>258.4</v>
      </c>
      <c r="N11" s="72">
        <f t="shared" si="13"/>
        <v>373.2</v>
      </c>
      <c r="O11" s="10">
        <f t="shared" si="6"/>
        <v>144.42724458204336</v>
      </c>
      <c r="P11" s="36"/>
      <c r="Q11" s="36"/>
      <c r="R11" s="10"/>
      <c r="S11" s="36"/>
      <c r="T11" s="36"/>
      <c r="U11" s="10"/>
      <c r="V11" s="36"/>
      <c r="W11" s="36"/>
      <c r="X11" s="10" t="e">
        <f t="shared" si="3"/>
        <v>#DIV/0!</v>
      </c>
      <c r="Y11" s="72">
        <f t="shared" si="14"/>
        <v>0</v>
      </c>
      <c r="Z11" s="72">
        <f t="shared" si="15"/>
        <v>0</v>
      </c>
      <c r="AA11" s="10" t="e">
        <f t="shared" si="7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6"/>
        <v>0</v>
      </c>
      <c r="AK11" s="72">
        <f t="shared" si="17"/>
        <v>0</v>
      </c>
      <c r="AL11" s="10" t="e">
        <f t="shared" si="8"/>
        <v>#DIV/0!</v>
      </c>
      <c r="AM11" s="36"/>
      <c r="AN11" s="36"/>
      <c r="AO11" s="36"/>
      <c r="AP11" s="36"/>
      <c r="AQ11" s="36"/>
      <c r="AR11" s="36"/>
      <c r="AS11" s="59">
        <f t="shared" si="18"/>
        <v>258.4</v>
      </c>
      <c r="AT11" s="59">
        <f t="shared" si="19"/>
        <v>373.2</v>
      </c>
      <c r="AU11" s="10">
        <f t="shared" si="5"/>
        <v>144.42724458204336</v>
      </c>
      <c r="AV11" s="59">
        <f t="shared" si="20"/>
        <v>-114.80000000000001</v>
      </c>
      <c r="AW11" s="16">
        <f t="shared" si="21"/>
        <v>61</v>
      </c>
      <c r="AX11" s="21">
        <f t="shared" si="9"/>
        <v>258.4</v>
      </c>
      <c r="AY11" s="21">
        <f t="shared" si="10"/>
        <v>373.2</v>
      </c>
      <c r="AZ11" s="40">
        <f t="shared" si="11"/>
        <v>61</v>
      </c>
    </row>
    <row r="12" spans="1:52" ht="34.5" customHeight="1">
      <c r="A12" s="57">
        <v>5</v>
      </c>
      <c r="B12" s="58" t="s">
        <v>51</v>
      </c>
      <c r="C12" s="13">
        <v>39.6</v>
      </c>
      <c r="D12" s="36">
        <v>195.6</v>
      </c>
      <c r="E12" s="36">
        <v>33.4</v>
      </c>
      <c r="F12" s="10">
        <f>E12/D12*100</f>
        <v>17.075664621676893</v>
      </c>
      <c r="G12" s="36">
        <v>0.7</v>
      </c>
      <c r="H12" s="36">
        <v>190.3</v>
      </c>
      <c r="I12" s="10">
        <f t="shared" si="1"/>
        <v>27185.71428571429</v>
      </c>
      <c r="J12" s="36">
        <v>0.4</v>
      </c>
      <c r="K12" s="36">
        <v>11.5</v>
      </c>
      <c r="L12" s="10">
        <f t="shared" si="2"/>
        <v>2875</v>
      </c>
      <c r="M12" s="72">
        <f t="shared" si="12"/>
        <v>196.7</v>
      </c>
      <c r="N12" s="72">
        <f t="shared" si="13"/>
        <v>235.20000000000002</v>
      </c>
      <c r="O12" s="10">
        <f t="shared" si="6"/>
        <v>119.57295373665482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3"/>
        <v>#DIV/0!</v>
      </c>
      <c r="Y12" s="72">
        <f t="shared" si="14"/>
        <v>0</v>
      </c>
      <c r="Z12" s="72">
        <f t="shared" si="15"/>
        <v>0</v>
      </c>
      <c r="AA12" s="10" t="e">
        <f t="shared" si="7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6"/>
        <v>0</v>
      </c>
      <c r="AK12" s="72">
        <f t="shared" si="17"/>
        <v>0</v>
      </c>
      <c r="AL12" s="10" t="e">
        <f t="shared" si="8"/>
        <v>#DIV/0!</v>
      </c>
      <c r="AM12" s="36"/>
      <c r="AN12" s="36"/>
      <c r="AO12" s="36"/>
      <c r="AP12" s="36"/>
      <c r="AQ12" s="36"/>
      <c r="AR12" s="36"/>
      <c r="AS12" s="59">
        <f t="shared" si="18"/>
        <v>196.7</v>
      </c>
      <c r="AT12" s="59">
        <f t="shared" si="19"/>
        <v>235.20000000000002</v>
      </c>
      <c r="AU12" s="10">
        <f t="shared" si="5"/>
        <v>119.57295373665482</v>
      </c>
      <c r="AV12" s="59">
        <f t="shared" si="20"/>
        <v>-38.50000000000003</v>
      </c>
      <c r="AW12" s="16">
        <f t="shared" si="21"/>
        <v>1.099999999999966</v>
      </c>
      <c r="AX12" s="21">
        <f t="shared" si="9"/>
        <v>196.7</v>
      </c>
      <c r="AY12" s="21">
        <f t="shared" si="10"/>
        <v>235.20000000000002</v>
      </c>
      <c r="AZ12" s="40">
        <f t="shared" si="11"/>
        <v>1.099999999999966</v>
      </c>
    </row>
    <row r="13" spans="1:52" ht="34.5" customHeight="1">
      <c r="A13" s="57">
        <v>6</v>
      </c>
      <c r="B13" s="58" t="s">
        <v>52</v>
      </c>
      <c r="C13" s="13">
        <v>263.7</v>
      </c>
      <c r="D13" s="36">
        <v>253.6</v>
      </c>
      <c r="E13" s="36">
        <v>227.4</v>
      </c>
      <c r="F13" s="10">
        <f t="shared" si="0"/>
        <v>89.66876971608833</v>
      </c>
      <c r="G13" s="36">
        <v>1.1</v>
      </c>
      <c r="H13" s="36">
        <v>130.6</v>
      </c>
      <c r="I13" s="10">
        <f t="shared" si="1"/>
        <v>11872.727272727272</v>
      </c>
      <c r="J13" s="36">
        <v>-0.2</v>
      </c>
      <c r="K13" s="36">
        <v>97.5</v>
      </c>
      <c r="L13" s="86">
        <f t="shared" si="2"/>
        <v>-48750</v>
      </c>
      <c r="M13" s="72">
        <f t="shared" si="12"/>
        <v>254.5</v>
      </c>
      <c r="N13" s="72">
        <f t="shared" si="13"/>
        <v>455.5</v>
      </c>
      <c r="O13" s="10">
        <f t="shared" si="6"/>
        <v>178.97838899803534</v>
      </c>
      <c r="P13" s="36"/>
      <c r="Q13" s="36"/>
      <c r="R13" s="103"/>
      <c r="S13" s="36"/>
      <c r="T13" s="36"/>
      <c r="U13" s="103"/>
      <c r="V13" s="36"/>
      <c r="W13" s="36"/>
      <c r="X13" s="103" t="e">
        <f t="shared" si="3"/>
        <v>#DIV/0!</v>
      </c>
      <c r="Y13" s="72">
        <f t="shared" si="14"/>
        <v>0</v>
      </c>
      <c r="Z13" s="72">
        <f t="shared" si="15"/>
        <v>0</v>
      </c>
      <c r="AA13" s="10" t="e">
        <f t="shared" si="7"/>
        <v>#DIV/0!</v>
      </c>
      <c r="AB13" s="36"/>
      <c r="AC13" s="36"/>
      <c r="AD13" s="103"/>
      <c r="AE13" s="36"/>
      <c r="AF13" s="36"/>
      <c r="AG13" s="10"/>
      <c r="AH13" s="36"/>
      <c r="AI13" s="36"/>
      <c r="AJ13" s="72">
        <f t="shared" si="16"/>
        <v>0</v>
      </c>
      <c r="AK13" s="72">
        <f t="shared" si="17"/>
        <v>0</v>
      </c>
      <c r="AL13" s="10" t="e">
        <f t="shared" si="8"/>
        <v>#DIV/0!</v>
      </c>
      <c r="AM13" s="36"/>
      <c r="AN13" s="36"/>
      <c r="AO13" s="36"/>
      <c r="AP13" s="36"/>
      <c r="AQ13" s="36"/>
      <c r="AR13" s="36"/>
      <c r="AS13" s="59">
        <f t="shared" si="18"/>
        <v>254.5</v>
      </c>
      <c r="AT13" s="59">
        <f t="shared" si="19"/>
        <v>455.5</v>
      </c>
      <c r="AU13" s="10">
        <f t="shared" si="5"/>
        <v>178.97838899803534</v>
      </c>
      <c r="AV13" s="59">
        <f t="shared" si="20"/>
        <v>-201</v>
      </c>
      <c r="AW13" s="16">
        <f t="shared" si="21"/>
        <v>62.700000000000045</v>
      </c>
      <c r="AX13" s="21">
        <f t="shared" si="9"/>
        <v>254.5</v>
      </c>
      <c r="AY13" s="21">
        <f t="shared" si="10"/>
        <v>455.5</v>
      </c>
      <c r="AZ13" s="40">
        <f t="shared" si="11"/>
        <v>62.700000000000045</v>
      </c>
    </row>
    <row r="14" spans="1:52" ht="34.5" customHeight="1">
      <c r="A14" s="57">
        <v>7</v>
      </c>
      <c r="B14" s="58" t="s">
        <v>96</v>
      </c>
      <c r="C14" s="13">
        <v>87.4</v>
      </c>
      <c r="D14" s="36">
        <v>74.1</v>
      </c>
      <c r="E14" s="36">
        <v>75.1</v>
      </c>
      <c r="F14" s="10">
        <f t="shared" si="0"/>
        <v>101.34952766531713</v>
      </c>
      <c r="G14" s="36">
        <v>0</v>
      </c>
      <c r="H14" s="36">
        <v>78.8</v>
      </c>
      <c r="I14" s="86" t="e">
        <f t="shared" si="1"/>
        <v>#DIV/0!</v>
      </c>
      <c r="J14" s="36">
        <v>0</v>
      </c>
      <c r="K14" s="36">
        <v>0</v>
      </c>
      <c r="L14" s="86" t="e">
        <f t="shared" si="2"/>
        <v>#DIV/0!</v>
      </c>
      <c r="M14" s="72">
        <f t="shared" si="12"/>
        <v>74.1</v>
      </c>
      <c r="N14" s="72">
        <f t="shared" si="13"/>
        <v>153.89999999999998</v>
      </c>
      <c r="O14" s="10">
        <f t="shared" si="6"/>
        <v>207.69230769230768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3"/>
        <v>#DIV/0!</v>
      </c>
      <c r="Y14" s="72">
        <f t="shared" si="14"/>
        <v>0</v>
      </c>
      <c r="Z14" s="72">
        <f t="shared" si="15"/>
        <v>0</v>
      </c>
      <c r="AA14" s="10" t="e">
        <f t="shared" si="7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6"/>
        <v>0</v>
      </c>
      <c r="AK14" s="72">
        <f t="shared" si="17"/>
        <v>0</v>
      </c>
      <c r="AL14" s="10" t="e">
        <f t="shared" si="8"/>
        <v>#DIV/0!</v>
      </c>
      <c r="AM14" s="36"/>
      <c r="AN14" s="36"/>
      <c r="AO14" s="36"/>
      <c r="AP14" s="36"/>
      <c r="AQ14" s="36"/>
      <c r="AR14" s="36"/>
      <c r="AS14" s="59">
        <f t="shared" si="18"/>
        <v>74.1</v>
      </c>
      <c r="AT14" s="59">
        <f t="shared" si="19"/>
        <v>153.89999999999998</v>
      </c>
      <c r="AU14" s="10">
        <f t="shared" si="5"/>
        <v>207.69230769230768</v>
      </c>
      <c r="AV14" s="59">
        <f t="shared" si="20"/>
        <v>-79.79999999999998</v>
      </c>
      <c r="AW14" s="16">
        <f t="shared" si="21"/>
        <v>7.600000000000023</v>
      </c>
      <c r="AX14" s="21">
        <f t="shared" si="9"/>
        <v>74.1</v>
      </c>
      <c r="AY14" s="21">
        <f t="shared" si="10"/>
        <v>153.89999999999998</v>
      </c>
      <c r="AZ14" s="40">
        <f t="shared" si="11"/>
        <v>7.600000000000023</v>
      </c>
    </row>
    <row r="15" spans="1:52" ht="34.5" customHeight="1">
      <c r="A15" s="57">
        <v>8</v>
      </c>
      <c r="B15" s="58" t="s">
        <v>53</v>
      </c>
      <c r="C15" s="13">
        <v>349.7</v>
      </c>
      <c r="D15" s="36">
        <v>377</v>
      </c>
      <c r="E15" s="36">
        <v>296.4</v>
      </c>
      <c r="F15" s="10">
        <f t="shared" si="0"/>
        <v>78.6206896551724</v>
      </c>
      <c r="G15" s="36">
        <v>54.1</v>
      </c>
      <c r="H15" s="36">
        <v>281.5</v>
      </c>
      <c r="I15" s="10">
        <f t="shared" si="1"/>
        <v>520.3327171903882</v>
      </c>
      <c r="J15" s="36">
        <v>61.6</v>
      </c>
      <c r="K15" s="36">
        <v>91</v>
      </c>
      <c r="L15" s="10">
        <f t="shared" si="2"/>
        <v>147.72727272727272</v>
      </c>
      <c r="M15" s="72">
        <f t="shared" si="12"/>
        <v>492.70000000000005</v>
      </c>
      <c r="N15" s="72">
        <f t="shared" si="13"/>
        <v>668.9</v>
      </c>
      <c r="O15" s="10">
        <f t="shared" si="6"/>
        <v>135.76212705500302</v>
      </c>
      <c r="P15" s="36"/>
      <c r="Q15" s="36"/>
      <c r="R15" s="103"/>
      <c r="S15" s="36"/>
      <c r="T15" s="36"/>
      <c r="U15" s="103"/>
      <c r="V15" s="36"/>
      <c r="W15" s="36"/>
      <c r="X15" s="103" t="e">
        <f t="shared" si="3"/>
        <v>#DIV/0!</v>
      </c>
      <c r="Y15" s="72">
        <f t="shared" si="14"/>
        <v>0</v>
      </c>
      <c r="Z15" s="72">
        <f t="shared" si="15"/>
        <v>0</v>
      </c>
      <c r="AA15" s="10" t="e">
        <f t="shared" si="7"/>
        <v>#DIV/0!</v>
      </c>
      <c r="AB15" s="36"/>
      <c r="AC15" s="36"/>
      <c r="AD15" s="103"/>
      <c r="AE15" s="36"/>
      <c r="AF15" s="36"/>
      <c r="AG15" s="10"/>
      <c r="AH15" s="36"/>
      <c r="AI15" s="36"/>
      <c r="AJ15" s="72">
        <f t="shared" si="16"/>
        <v>0</v>
      </c>
      <c r="AK15" s="72">
        <f t="shared" si="17"/>
        <v>0</v>
      </c>
      <c r="AL15" s="10" t="e">
        <f t="shared" si="8"/>
        <v>#DIV/0!</v>
      </c>
      <c r="AM15" s="36"/>
      <c r="AN15" s="36"/>
      <c r="AO15" s="36"/>
      <c r="AP15" s="36"/>
      <c r="AQ15" s="36"/>
      <c r="AR15" s="36"/>
      <c r="AS15" s="59">
        <f t="shared" si="18"/>
        <v>492.70000000000005</v>
      </c>
      <c r="AT15" s="59">
        <f t="shared" si="19"/>
        <v>668.9</v>
      </c>
      <c r="AU15" s="10">
        <f t="shared" si="5"/>
        <v>135.76212705500302</v>
      </c>
      <c r="AV15" s="59">
        <f t="shared" si="20"/>
        <v>-176.19999999999993</v>
      </c>
      <c r="AW15" s="16">
        <f t="shared" si="21"/>
        <v>173.5000000000001</v>
      </c>
      <c r="AX15" s="21">
        <f t="shared" si="9"/>
        <v>492.70000000000005</v>
      </c>
      <c r="AY15" s="21">
        <f t="shared" si="10"/>
        <v>668.9</v>
      </c>
      <c r="AZ15" s="40">
        <f t="shared" si="11"/>
        <v>173.5000000000001</v>
      </c>
    </row>
    <row r="16" spans="1:52" ht="34.5" customHeight="1">
      <c r="A16" s="57">
        <v>9</v>
      </c>
      <c r="B16" s="58" t="s">
        <v>54</v>
      </c>
      <c r="C16" s="13">
        <v>-48</v>
      </c>
      <c r="D16" s="36">
        <v>17.3</v>
      </c>
      <c r="E16" s="36">
        <v>0</v>
      </c>
      <c r="F16" s="10">
        <f t="shared" si="0"/>
        <v>0</v>
      </c>
      <c r="G16" s="36">
        <v>2.4</v>
      </c>
      <c r="H16" s="36">
        <v>0</v>
      </c>
      <c r="I16" s="10">
        <f t="shared" si="1"/>
        <v>0</v>
      </c>
      <c r="J16" s="36">
        <v>0.4</v>
      </c>
      <c r="K16" s="36">
        <v>0</v>
      </c>
      <c r="L16" s="10">
        <f t="shared" si="2"/>
        <v>0</v>
      </c>
      <c r="M16" s="72">
        <f t="shared" si="12"/>
        <v>20.099999999999998</v>
      </c>
      <c r="N16" s="72">
        <f t="shared" si="13"/>
        <v>0</v>
      </c>
      <c r="O16" s="10">
        <f t="shared" si="6"/>
        <v>0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3"/>
        <v>#DIV/0!</v>
      </c>
      <c r="Y16" s="72">
        <f t="shared" si="14"/>
        <v>0</v>
      </c>
      <c r="Z16" s="72">
        <f t="shared" si="15"/>
        <v>0</v>
      </c>
      <c r="AA16" s="10" t="e">
        <f t="shared" si="7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6"/>
        <v>0</v>
      </c>
      <c r="AK16" s="72">
        <f t="shared" si="17"/>
        <v>0</v>
      </c>
      <c r="AL16" s="10" t="e">
        <f t="shared" si="8"/>
        <v>#DIV/0!</v>
      </c>
      <c r="AM16" s="36"/>
      <c r="AN16" s="36"/>
      <c r="AO16" s="36"/>
      <c r="AP16" s="36"/>
      <c r="AQ16" s="36"/>
      <c r="AR16" s="36"/>
      <c r="AS16" s="59">
        <f t="shared" si="18"/>
        <v>20.099999999999998</v>
      </c>
      <c r="AT16" s="59">
        <f t="shared" si="19"/>
        <v>0</v>
      </c>
      <c r="AU16" s="10">
        <f t="shared" si="5"/>
        <v>0</v>
      </c>
      <c r="AV16" s="59">
        <f t="shared" si="20"/>
        <v>20.099999999999998</v>
      </c>
      <c r="AW16" s="16">
        <f t="shared" si="21"/>
        <v>-27.900000000000002</v>
      </c>
      <c r="AX16" s="21">
        <f t="shared" si="9"/>
        <v>20.099999999999998</v>
      </c>
      <c r="AY16" s="21">
        <f t="shared" si="10"/>
        <v>0</v>
      </c>
      <c r="AZ16" s="40">
        <f t="shared" si="11"/>
        <v>-27.900000000000002</v>
      </c>
    </row>
    <row r="17" spans="1:52" ht="34.5" customHeight="1">
      <c r="A17" s="57">
        <v>10</v>
      </c>
      <c r="B17" s="62" t="s">
        <v>97</v>
      </c>
      <c r="C17" s="13">
        <f>36.8+80.1</f>
        <v>116.89999999999999</v>
      </c>
      <c r="D17" s="36">
        <f>18+71.1</f>
        <v>89.1</v>
      </c>
      <c r="E17" s="36">
        <f>44.5+94.8</f>
        <v>139.3</v>
      </c>
      <c r="F17" s="10">
        <f t="shared" si="0"/>
        <v>156.34118967452304</v>
      </c>
      <c r="G17" s="36">
        <f>0.2+0.5</f>
        <v>0.7</v>
      </c>
      <c r="H17" s="36">
        <f>6.9+63.1</f>
        <v>70</v>
      </c>
      <c r="I17" s="10">
        <f t="shared" si="1"/>
        <v>10000</v>
      </c>
      <c r="J17" s="36">
        <f>-0.3+1.1</f>
        <v>0.8</v>
      </c>
      <c r="K17" s="36">
        <f>3.6+6.7</f>
        <v>10.3</v>
      </c>
      <c r="L17" s="10">
        <f t="shared" si="2"/>
        <v>1287.5</v>
      </c>
      <c r="M17" s="72">
        <f t="shared" si="12"/>
        <v>90.6</v>
      </c>
      <c r="N17" s="72">
        <f t="shared" si="13"/>
        <v>219.60000000000002</v>
      </c>
      <c r="O17" s="10">
        <f t="shared" si="6"/>
        <v>242.38410596026495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3"/>
        <v>#DIV/0!</v>
      </c>
      <c r="Y17" s="72">
        <f t="shared" si="14"/>
        <v>0</v>
      </c>
      <c r="Z17" s="72">
        <f t="shared" si="15"/>
        <v>0</v>
      </c>
      <c r="AA17" s="10" t="e">
        <f t="shared" si="7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6"/>
        <v>0</v>
      </c>
      <c r="AK17" s="72">
        <f t="shared" si="17"/>
        <v>0</v>
      </c>
      <c r="AL17" s="10" t="e">
        <f t="shared" si="8"/>
        <v>#DIV/0!</v>
      </c>
      <c r="AM17" s="36"/>
      <c r="AN17" s="36"/>
      <c r="AO17" s="36"/>
      <c r="AP17" s="36"/>
      <c r="AQ17" s="36"/>
      <c r="AR17" s="36"/>
      <c r="AS17" s="59">
        <f t="shared" si="18"/>
        <v>90.6</v>
      </c>
      <c r="AT17" s="59">
        <f t="shared" si="19"/>
        <v>219.60000000000002</v>
      </c>
      <c r="AU17" s="10">
        <f t="shared" si="5"/>
        <v>242.38410596026495</v>
      </c>
      <c r="AV17" s="59">
        <f t="shared" si="20"/>
        <v>-129.00000000000003</v>
      </c>
      <c r="AW17" s="16">
        <f t="shared" si="21"/>
        <v>-12.100000000000023</v>
      </c>
      <c r="AX17" s="21">
        <f t="shared" si="9"/>
        <v>90.6</v>
      </c>
      <c r="AY17" s="21">
        <f t="shared" si="10"/>
        <v>219.60000000000002</v>
      </c>
      <c r="AZ17" s="40">
        <f t="shared" si="11"/>
        <v>-12.100000000000023</v>
      </c>
    </row>
    <row r="18" spans="1:52" ht="34.5" customHeight="1">
      <c r="A18" s="57">
        <v>11</v>
      </c>
      <c r="B18" s="62" t="s">
        <v>55</v>
      </c>
      <c r="C18" s="13">
        <v>164.5</v>
      </c>
      <c r="D18" s="36">
        <v>144.1</v>
      </c>
      <c r="E18" s="36">
        <v>141</v>
      </c>
      <c r="F18" s="10">
        <f t="shared" si="0"/>
        <v>97.84871616932685</v>
      </c>
      <c r="G18" s="36">
        <v>0.6</v>
      </c>
      <c r="H18" s="36">
        <v>152.4</v>
      </c>
      <c r="I18" s="10">
        <f t="shared" si="1"/>
        <v>25400.000000000004</v>
      </c>
      <c r="J18" s="36">
        <v>0</v>
      </c>
      <c r="K18" s="36">
        <v>15.3</v>
      </c>
      <c r="L18" s="86" t="e">
        <f t="shared" si="2"/>
        <v>#DIV/0!</v>
      </c>
      <c r="M18" s="72">
        <f t="shared" si="12"/>
        <v>144.7</v>
      </c>
      <c r="N18" s="72">
        <f t="shared" si="13"/>
        <v>308.7</v>
      </c>
      <c r="O18" s="10">
        <f t="shared" si="6"/>
        <v>213.33794056668972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3"/>
        <v>#DIV/0!</v>
      </c>
      <c r="Y18" s="72">
        <f t="shared" si="14"/>
        <v>0</v>
      </c>
      <c r="Z18" s="72">
        <f t="shared" si="15"/>
        <v>0</v>
      </c>
      <c r="AA18" s="10" t="e">
        <f t="shared" si="7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6"/>
        <v>0</v>
      </c>
      <c r="AK18" s="72">
        <f t="shared" si="17"/>
        <v>0</v>
      </c>
      <c r="AL18" s="10" t="e">
        <f t="shared" si="8"/>
        <v>#DIV/0!</v>
      </c>
      <c r="AM18" s="36"/>
      <c r="AN18" s="36"/>
      <c r="AO18" s="36"/>
      <c r="AP18" s="36"/>
      <c r="AQ18" s="36"/>
      <c r="AR18" s="36"/>
      <c r="AS18" s="59">
        <f t="shared" si="18"/>
        <v>144.7</v>
      </c>
      <c r="AT18" s="59">
        <f t="shared" si="19"/>
        <v>308.7</v>
      </c>
      <c r="AU18" s="10">
        <f t="shared" si="5"/>
        <v>213.33794056668972</v>
      </c>
      <c r="AV18" s="59">
        <f t="shared" si="20"/>
        <v>-164</v>
      </c>
      <c r="AW18" s="16">
        <f t="shared" si="21"/>
        <v>0.5</v>
      </c>
      <c r="AX18" s="21">
        <f t="shared" si="9"/>
        <v>144.7</v>
      </c>
      <c r="AY18" s="21">
        <f t="shared" si="10"/>
        <v>308.7</v>
      </c>
      <c r="AZ18" s="40">
        <f t="shared" si="11"/>
        <v>0.5</v>
      </c>
    </row>
    <row r="19" spans="1:52" ht="34.5" customHeight="1">
      <c r="A19" s="57">
        <v>12</v>
      </c>
      <c r="B19" s="58" t="s">
        <v>56</v>
      </c>
      <c r="C19" s="13">
        <v>-427.1</v>
      </c>
      <c r="D19" s="36">
        <v>427.2</v>
      </c>
      <c r="E19" s="36">
        <v>0</v>
      </c>
      <c r="F19" s="10">
        <f t="shared" si="0"/>
        <v>0</v>
      </c>
      <c r="G19" s="36">
        <v>59</v>
      </c>
      <c r="H19" s="36">
        <v>231.4</v>
      </c>
      <c r="I19" s="10">
        <f t="shared" si="1"/>
        <v>392.2033898305085</v>
      </c>
      <c r="J19" s="36">
        <v>13.1</v>
      </c>
      <c r="K19" s="36">
        <v>14.8</v>
      </c>
      <c r="L19" s="10">
        <f t="shared" si="2"/>
        <v>112.97709923664124</v>
      </c>
      <c r="M19" s="72">
        <f t="shared" si="12"/>
        <v>499.3</v>
      </c>
      <c r="N19" s="72">
        <f t="shared" si="13"/>
        <v>246.20000000000002</v>
      </c>
      <c r="O19" s="10">
        <f t="shared" si="6"/>
        <v>49.30903264570399</v>
      </c>
      <c r="P19" s="36"/>
      <c r="Q19" s="36"/>
      <c r="R19" s="103"/>
      <c r="S19" s="36"/>
      <c r="T19" s="36"/>
      <c r="U19" s="103"/>
      <c r="V19" s="36"/>
      <c r="W19" s="36"/>
      <c r="X19" s="103" t="e">
        <f t="shared" si="3"/>
        <v>#DIV/0!</v>
      </c>
      <c r="Y19" s="72">
        <f t="shared" si="14"/>
        <v>0</v>
      </c>
      <c r="Z19" s="72">
        <f t="shared" si="15"/>
        <v>0</v>
      </c>
      <c r="AA19" s="10" t="e">
        <f t="shared" si="7"/>
        <v>#DIV/0!</v>
      </c>
      <c r="AB19" s="36"/>
      <c r="AC19" s="36"/>
      <c r="AD19" s="103"/>
      <c r="AE19" s="36"/>
      <c r="AF19" s="36"/>
      <c r="AG19" s="104"/>
      <c r="AH19" s="36"/>
      <c r="AI19" s="36"/>
      <c r="AJ19" s="72">
        <f t="shared" si="16"/>
        <v>0</v>
      </c>
      <c r="AK19" s="72">
        <f t="shared" si="17"/>
        <v>0</v>
      </c>
      <c r="AL19" s="10" t="e">
        <f t="shared" si="8"/>
        <v>#DIV/0!</v>
      </c>
      <c r="AM19" s="36"/>
      <c r="AN19" s="36"/>
      <c r="AO19" s="36"/>
      <c r="AP19" s="36"/>
      <c r="AQ19" s="36"/>
      <c r="AR19" s="36"/>
      <c r="AS19" s="59">
        <f t="shared" si="18"/>
        <v>499.3</v>
      </c>
      <c r="AT19" s="59">
        <f t="shared" si="19"/>
        <v>246.20000000000002</v>
      </c>
      <c r="AU19" s="10">
        <f t="shared" si="5"/>
        <v>49.30903264570399</v>
      </c>
      <c r="AV19" s="59">
        <f t="shared" si="20"/>
        <v>253.1</v>
      </c>
      <c r="AW19" s="16">
        <f t="shared" si="21"/>
        <v>-174.00000000000003</v>
      </c>
      <c r="AX19" s="21">
        <f t="shared" si="9"/>
        <v>499.3</v>
      </c>
      <c r="AY19" s="21">
        <f t="shared" si="10"/>
        <v>246.20000000000002</v>
      </c>
      <c r="AZ19" s="40">
        <f t="shared" si="11"/>
        <v>-174.00000000000003</v>
      </c>
    </row>
    <row r="20" spans="1:52" ht="34.5" customHeight="1">
      <c r="A20" s="57">
        <v>13</v>
      </c>
      <c r="B20" s="62" t="s">
        <v>57</v>
      </c>
      <c r="C20" s="13">
        <v>97.4</v>
      </c>
      <c r="D20" s="36">
        <v>95.8</v>
      </c>
      <c r="E20" s="36">
        <v>82.6</v>
      </c>
      <c r="F20" s="10">
        <f t="shared" si="0"/>
        <v>86.22129436325679</v>
      </c>
      <c r="G20" s="36">
        <v>-0.8</v>
      </c>
      <c r="H20" s="36">
        <v>100.7</v>
      </c>
      <c r="I20" s="10">
        <f t="shared" si="1"/>
        <v>-12587.5</v>
      </c>
      <c r="J20" s="36">
        <v>0</v>
      </c>
      <c r="K20" s="36">
        <v>9.1</v>
      </c>
      <c r="L20" s="86" t="e">
        <f t="shared" si="2"/>
        <v>#DIV/0!</v>
      </c>
      <c r="M20" s="72">
        <f t="shared" si="12"/>
        <v>95</v>
      </c>
      <c r="N20" s="72">
        <f t="shared" si="13"/>
        <v>192.4</v>
      </c>
      <c r="O20" s="10">
        <f t="shared" si="6"/>
        <v>202.5263157894737</v>
      </c>
      <c r="P20" s="36"/>
      <c r="Q20" s="36"/>
      <c r="R20" s="103"/>
      <c r="S20" s="36"/>
      <c r="T20" s="36"/>
      <c r="U20" s="103"/>
      <c r="V20" s="36"/>
      <c r="W20" s="36"/>
      <c r="X20" s="103" t="e">
        <f t="shared" si="3"/>
        <v>#DIV/0!</v>
      </c>
      <c r="Y20" s="72">
        <f t="shared" si="14"/>
        <v>0</v>
      </c>
      <c r="Z20" s="72">
        <f t="shared" si="15"/>
        <v>0</v>
      </c>
      <c r="AA20" s="10" t="e">
        <f t="shared" si="7"/>
        <v>#DIV/0!</v>
      </c>
      <c r="AB20" s="36"/>
      <c r="AC20" s="36"/>
      <c r="AD20" s="103"/>
      <c r="AE20" s="36"/>
      <c r="AF20" s="36"/>
      <c r="AG20" s="10"/>
      <c r="AH20" s="36"/>
      <c r="AI20" s="36"/>
      <c r="AJ20" s="72">
        <f t="shared" si="16"/>
        <v>0</v>
      </c>
      <c r="AK20" s="72">
        <f t="shared" si="17"/>
        <v>0</v>
      </c>
      <c r="AL20" s="10" t="e">
        <f t="shared" si="8"/>
        <v>#DIV/0!</v>
      </c>
      <c r="AM20" s="36"/>
      <c r="AN20" s="36"/>
      <c r="AO20" s="36"/>
      <c r="AP20" s="36"/>
      <c r="AQ20" s="36"/>
      <c r="AR20" s="36"/>
      <c r="AS20" s="59">
        <f t="shared" si="18"/>
        <v>95</v>
      </c>
      <c r="AT20" s="59">
        <f t="shared" si="19"/>
        <v>192.4</v>
      </c>
      <c r="AU20" s="10">
        <f t="shared" si="5"/>
        <v>202.5263157894737</v>
      </c>
      <c r="AV20" s="59">
        <f t="shared" si="20"/>
        <v>-97.4</v>
      </c>
      <c r="AW20" s="16">
        <f t="shared" si="21"/>
        <v>0</v>
      </c>
      <c r="AX20" s="21">
        <f t="shared" si="9"/>
        <v>95</v>
      </c>
      <c r="AY20" s="21">
        <f t="shared" si="10"/>
        <v>192.4</v>
      </c>
      <c r="AZ20" s="40">
        <f t="shared" si="11"/>
        <v>0</v>
      </c>
    </row>
    <row r="21" spans="1:52" ht="34.5" customHeight="1">
      <c r="A21" s="57">
        <v>14</v>
      </c>
      <c r="B21" s="62" t="s">
        <v>58</v>
      </c>
      <c r="C21" s="13">
        <v>70.7</v>
      </c>
      <c r="D21" s="36">
        <v>35.4</v>
      </c>
      <c r="E21" s="36">
        <v>22.3</v>
      </c>
      <c r="F21" s="55">
        <f t="shared" si="0"/>
        <v>62.994350282485875</v>
      </c>
      <c r="G21" s="36">
        <v>-33.9</v>
      </c>
      <c r="H21" s="36">
        <v>31.6</v>
      </c>
      <c r="I21" s="10">
        <f t="shared" si="1"/>
        <v>-93.21533923303835</v>
      </c>
      <c r="J21" s="36">
        <v>0</v>
      </c>
      <c r="K21" s="36">
        <v>3.3</v>
      </c>
      <c r="L21" s="86" t="e">
        <f t="shared" si="2"/>
        <v>#DIV/0!</v>
      </c>
      <c r="M21" s="72">
        <f t="shared" si="12"/>
        <v>1.5</v>
      </c>
      <c r="N21" s="72">
        <f t="shared" si="13"/>
        <v>57.2</v>
      </c>
      <c r="O21" s="10">
        <f t="shared" si="6"/>
        <v>3813.3333333333335</v>
      </c>
      <c r="P21" s="36"/>
      <c r="Q21" s="36"/>
      <c r="R21" s="103"/>
      <c r="S21" s="36"/>
      <c r="T21" s="36"/>
      <c r="U21" s="103"/>
      <c r="V21" s="36"/>
      <c r="W21" s="36"/>
      <c r="X21" s="103" t="e">
        <f t="shared" si="3"/>
        <v>#DIV/0!</v>
      </c>
      <c r="Y21" s="72">
        <f t="shared" si="14"/>
        <v>0</v>
      </c>
      <c r="Z21" s="72">
        <f t="shared" si="15"/>
        <v>0</v>
      </c>
      <c r="AA21" s="10" t="e">
        <f t="shared" si="7"/>
        <v>#DIV/0!</v>
      </c>
      <c r="AB21" s="36"/>
      <c r="AC21" s="36"/>
      <c r="AD21" s="103"/>
      <c r="AE21" s="36"/>
      <c r="AF21" s="36"/>
      <c r="AG21" s="10"/>
      <c r="AH21" s="36"/>
      <c r="AI21" s="36"/>
      <c r="AJ21" s="72">
        <f t="shared" si="16"/>
        <v>0</v>
      </c>
      <c r="AK21" s="72">
        <f t="shared" si="17"/>
        <v>0</v>
      </c>
      <c r="AL21" s="10" t="e">
        <f t="shared" si="8"/>
        <v>#DIV/0!</v>
      </c>
      <c r="AM21" s="36"/>
      <c r="AN21" s="36"/>
      <c r="AO21" s="36"/>
      <c r="AP21" s="36"/>
      <c r="AQ21" s="36"/>
      <c r="AR21" s="36"/>
      <c r="AS21" s="59">
        <f t="shared" si="18"/>
        <v>1.5</v>
      </c>
      <c r="AT21" s="59">
        <f t="shared" si="19"/>
        <v>57.2</v>
      </c>
      <c r="AU21" s="10">
        <f t="shared" si="5"/>
        <v>3813.3333333333335</v>
      </c>
      <c r="AV21" s="59">
        <f t="shared" si="20"/>
        <v>-55.7</v>
      </c>
      <c r="AW21" s="16">
        <f t="shared" si="21"/>
        <v>15</v>
      </c>
      <c r="AX21" s="21">
        <f t="shared" si="9"/>
        <v>1.5</v>
      </c>
      <c r="AY21" s="21">
        <f t="shared" si="10"/>
        <v>57.2</v>
      </c>
      <c r="AZ21" s="40">
        <f t="shared" si="11"/>
        <v>15</v>
      </c>
    </row>
    <row r="22" spans="1:52" ht="34.5" customHeight="1">
      <c r="A22" s="57">
        <v>15</v>
      </c>
      <c r="B22" s="62" t="s">
        <v>41</v>
      </c>
      <c r="C22" s="13">
        <v>130.2</v>
      </c>
      <c r="D22" s="36">
        <v>107.6</v>
      </c>
      <c r="E22" s="36">
        <v>112</v>
      </c>
      <c r="F22" s="55">
        <f t="shared" si="0"/>
        <v>104.08921933085502</v>
      </c>
      <c r="G22" s="36">
        <v>6.3</v>
      </c>
      <c r="H22" s="36">
        <v>120.8</v>
      </c>
      <c r="I22" s="10">
        <f t="shared" si="1"/>
        <v>1917.4603174603174</v>
      </c>
      <c r="J22" s="36">
        <v>0</v>
      </c>
      <c r="K22" s="36">
        <v>-6.3</v>
      </c>
      <c r="L22" s="86" t="e">
        <f t="shared" si="2"/>
        <v>#DIV/0!</v>
      </c>
      <c r="M22" s="72">
        <f t="shared" si="12"/>
        <v>113.89999999999999</v>
      </c>
      <c r="N22" s="72">
        <f t="shared" si="13"/>
        <v>226.5</v>
      </c>
      <c r="O22" s="10">
        <f t="shared" si="6"/>
        <v>198.85864793678667</v>
      </c>
      <c r="P22" s="36"/>
      <c r="Q22" s="36"/>
      <c r="R22" s="103"/>
      <c r="S22" s="36"/>
      <c r="T22" s="36"/>
      <c r="U22" s="103"/>
      <c r="V22" s="36"/>
      <c r="W22" s="36"/>
      <c r="X22" s="103" t="e">
        <f t="shared" si="3"/>
        <v>#DIV/0!</v>
      </c>
      <c r="Y22" s="72">
        <f t="shared" si="14"/>
        <v>0</v>
      </c>
      <c r="Z22" s="72">
        <f t="shared" si="15"/>
        <v>0</v>
      </c>
      <c r="AA22" s="10" t="e">
        <f t="shared" si="7"/>
        <v>#DIV/0!</v>
      </c>
      <c r="AB22" s="36"/>
      <c r="AC22" s="36"/>
      <c r="AD22" s="103"/>
      <c r="AE22" s="36"/>
      <c r="AF22" s="36"/>
      <c r="AG22" s="105"/>
      <c r="AH22" s="36"/>
      <c r="AI22" s="36"/>
      <c r="AJ22" s="72">
        <f t="shared" si="16"/>
        <v>0</v>
      </c>
      <c r="AK22" s="72">
        <f t="shared" si="17"/>
        <v>0</v>
      </c>
      <c r="AL22" s="10" t="e">
        <f t="shared" si="8"/>
        <v>#DIV/0!</v>
      </c>
      <c r="AM22" s="36"/>
      <c r="AN22" s="36"/>
      <c r="AO22" s="36"/>
      <c r="AP22" s="36"/>
      <c r="AQ22" s="36"/>
      <c r="AR22" s="36"/>
      <c r="AS22" s="59">
        <f t="shared" si="18"/>
        <v>113.89999999999999</v>
      </c>
      <c r="AT22" s="59">
        <f t="shared" si="19"/>
        <v>226.5</v>
      </c>
      <c r="AU22" s="10">
        <f t="shared" si="5"/>
        <v>198.85864793678667</v>
      </c>
      <c r="AV22" s="59">
        <f t="shared" si="20"/>
        <v>-112.60000000000001</v>
      </c>
      <c r="AW22" s="16">
        <f t="shared" si="21"/>
        <v>17.599999999999966</v>
      </c>
      <c r="AX22" s="21">
        <f t="shared" si="9"/>
        <v>113.89999999999999</v>
      </c>
      <c r="AY22" s="21">
        <f t="shared" si="10"/>
        <v>226.5</v>
      </c>
      <c r="AZ22" s="40">
        <f t="shared" si="11"/>
        <v>17.599999999999966</v>
      </c>
    </row>
    <row r="23" spans="1:52" ht="34.5" customHeight="1">
      <c r="A23" s="57">
        <v>16</v>
      </c>
      <c r="B23" s="62" t="s">
        <v>98</v>
      </c>
      <c r="C23" s="13">
        <v>-9.4</v>
      </c>
      <c r="D23" s="36">
        <v>15.6</v>
      </c>
      <c r="E23" s="36">
        <v>0</v>
      </c>
      <c r="F23" s="10">
        <f t="shared" si="0"/>
        <v>0</v>
      </c>
      <c r="G23" s="36">
        <v>0</v>
      </c>
      <c r="H23" s="36">
        <v>5.5</v>
      </c>
      <c r="I23" s="86" t="e">
        <f t="shared" si="1"/>
        <v>#DIV/0!</v>
      </c>
      <c r="J23" s="36">
        <v>0</v>
      </c>
      <c r="K23" s="36">
        <v>0.7</v>
      </c>
      <c r="L23" s="86" t="e">
        <f t="shared" si="2"/>
        <v>#DIV/0!</v>
      </c>
      <c r="M23" s="72">
        <f t="shared" si="12"/>
        <v>15.6</v>
      </c>
      <c r="N23" s="72">
        <f t="shared" si="13"/>
        <v>6.2</v>
      </c>
      <c r="O23" s="10">
        <f t="shared" si="6"/>
        <v>39.743589743589745</v>
      </c>
      <c r="P23" s="36"/>
      <c r="Q23" s="36"/>
      <c r="R23" s="10"/>
      <c r="S23" s="36"/>
      <c r="T23" s="36"/>
      <c r="U23" s="10"/>
      <c r="V23" s="36"/>
      <c r="W23" s="36"/>
      <c r="X23" s="10" t="e">
        <f t="shared" si="3"/>
        <v>#DIV/0!</v>
      </c>
      <c r="Y23" s="72">
        <f t="shared" si="14"/>
        <v>0</v>
      </c>
      <c r="Z23" s="72">
        <f t="shared" si="15"/>
        <v>0</v>
      </c>
      <c r="AA23" s="10" t="e">
        <f t="shared" si="7"/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6"/>
        <v>0</v>
      </c>
      <c r="AK23" s="72">
        <f t="shared" si="17"/>
        <v>0</v>
      </c>
      <c r="AL23" s="10" t="e">
        <f t="shared" si="8"/>
        <v>#DIV/0!</v>
      </c>
      <c r="AM23" s="36"/>
      <c r="AN23" s="36"/>
      <c r="AO23" s="36"/>
      <c r="AP23" s="36"/>
      <c r="AQ23" s="36"/>
      <c r="AR23" s="36"/>
      <c r="AS23" s="59">
        <f t="shared" si="18"/>
        <v>15.6</v>
      </c>
      <c r="AT23" s="59">
        <f t="shared" si="19"/>
        <v>6.2</v>
      </c>
      <c r="AU23" s="10">
        <f t="shared" si="5"/>
        <v>39.743589743589745</v>
      </c>
      <c r="AV23" s="59">
        <f t="shared" si="20"/>
        <v>9.399999999999999</v>
      </c>
      <c r="AW23" s="16">
        <f t="shared" si="21"/>
        <v>0</v>
      </c>
      <c r="AX23" s="21">
        <f t="shared" si="9"/>
        <v>15.6</v>
      </c>
      <c r="AY23" s="21">
        <f t="shared" si="10"/>
        <v>6.2</v>
      </c>
      <c r="AZ23" s="40">
        <f t="shared" si="11"/>
        <v>0</v>
      </c>
    </row>
    <row r="24" spans="1:52" ht="34.5" customHeight="1">
      <c r="A24" s="57">
        <v>17</v>
      </c>
      <c r="B24" s="62" t="s">
        <v>40</v>
      </c>
      <c r="C24" s="13">
        <v>731.6</v>
      </c>
      <c r="D24" s="36">
        <v>582.2</v>
      </c>
      <c r="E24" s="36">
        <v>657</v>
      </c>
      <c r="F24" s="10">
        <f t="shared" si="0"/>
        <v>112.84781861903126</v>
      </c>
      <c r="G24" s="36">
        <v>27.4</v>
      </c>
      <c r="H24" s="36">
        <v>626.5</v>
      </c>
      <c r="I24" s="10">
        <f t="shared" si="1"/>
        <v>2286.4963503649637</v>
      </c>
      <c r="J24" s="36">
        <v>10.6</v>
      </c>
      <c r="K24" s="36">
        <v>52.7</v>
      </c>
      <c r="L24" s="10">
        <f t="shared" si="2"/>
        <v>497.1698113207547</v>
      </c>
      <c r="M24" s="72">
        <f t="shared" si="12"/>
        <v>620.2</v>
      </c>
      <c r="N24" s="72">
        <f t="shared" si="13"/>
        <v>1336.2</v>
      </c>
      <c r="O24" s="10">
        <f t="shared" si="6"/>
        <v>215.44663011931635</v>
      </c>
      <c r="P24" s="36"/>
      <c r="Q24" s="36"/>
      <c r="R24" s="10"/>
      <c r="S24" s="36"/>
      <c r="T24" s="36"/>
      <c r="U24" s="10"/>
      <c r="V24" s="36"/>
      <c r="W24" s="36"/>
      <c r="X24" s="10" t="e">
        <f t="shared" si="3"/>
        <v>#DIV/0!</v>
      </c>
      <c r="Y24" s="72">
        <f t="shared" si="14"/>
        <v>0</v>
      </c>
      <c r="Z24" s="72">
        <f t="shared" si="15"/>
        <v>0</v>
      </c>
      <c r="AA24" s="10" t="e">
        <f t="shared" si="7"/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6"/>
        <v>0</v>
      </c>
      <c r="AK24" s="72">
        <f t="shared" si="17"/>
        <v>0</v>
      </c>
      <c r="AL24" s="10" t="e">
        <f t="shared" si="8"/>
        <v>#DIV/0!</v>
      </c>
      <c r="AM24" s="36"/>
      <c r="AN24" s="36"/>
      <c r="AO24" s="36"/>
      <c r="AP24" s="36"/>
      <c r="AQ24" s="36"/>
      <c r="AR24" s="36"/>
      <c r="AS24" s="59">
        <f t="shared" si="18"/>
        <v>620.2</v>
      </c>
      <c r="AT24" s="59">
        <f t="shared" si="19"/>
        <v>1336.2</v>
      </c>
      <c r="AU24" s="10">
        <f t="shared" si="5"/>
        <v>215.44663011931635</v>
      </c>
      <c r="AV24" s="59">
        <f t="shared" si="20"/>
        <v>-716</v>
      </c>
      <c r="AW24" s="16">
        <f t="shared" si="21"/>
        <v>15.600000000000136</v>
      </c>
      <c r="AX24" s="21">
        <f t="shared" si="9"/>
        <v>620.2</v>
      </c>
      <c r="AY24" s="21">
        <f t="shared" si="10"/>
        <v>1336.2</v>
      </c>
      <c r="AZ24" s="40">
        <f t="shared" si="11"/>
        <v>15.600000000000136</v>
      </c>
    </row>
    <row r="25" spans="1:52" ht="34.5" customHeight="1">
      <c r="A25" s="57">
        <v>18</v>
      </c>
      <c r="B25" s="58" t="s">
        <v>43</v>
      </c>
      <c r="C25" s="13">
        <v>164.1</v>
      </c>
      <c r="D25" s="36">
        <v>273.7</v>
      </c>
      <c r="E25" s="36">
        <v>149.1</v>
      </c>
      <c r="F25" s="10">
        <f t="shared" si="0"/>
        <v>54.47570332480819</v>
      </c>
      <c r="G25" s="36">
        <v>6.7</v>
      </c>
      <c r="H25" s="36">
        <v>270</v>
      </c>
      <c r="I25" s="10">
        <f t="shared" si="1"/>
        <v>4029.8507462686566</v>
      </c>
      <c r="J25" s="36">
        <v>1.3</v>
      </c>
      <c r="K25" s="36">
        <v>22.5</v>
      </c>
      <c r="L25" s="10">
        <f t="shared" si="2"/>
        <v>1730.7692307692307</v>
      </c>
      <c r="M25" s="72">
        <f t="shared" si="12"/>
        <v>281.7</v>
      </c>
      <c r="N25" s="72">
        <f t="shared" si="13"/>
        <v>441.6</v>
      </c>
      <c r="O25" s="10">
        <f t="shared" si="6"/>
        <v>156.76251331203412</v>
      </c>
      <c r="P25" s="36"/>
      <c r="Q25" s="36"/>
      <c r="R25" s="10"/>
      <c r="S25" s="36"/>
      <c r="T25" s="36"/>
      <c r="U25" s="10"/>
      <c r="V25" s="36"/>
      <c r="W25" s="36"/>
      <c r="X25" s="10" t="e">
        <f t="shared" si="3"/>
        <v>#DIV/0!</v>
      </c>
      <c r="Y25" s="72">
        <f t="shared" si="14"/>
        <v>0</v>
      </c>
      <c r="Z25" s="72">
        <f t="shared" si="15"/>
        <v>0</v>
      </c>
      <c r="AA25" s="10" t="e">
        <f t="shared" si="7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6"/>
        <v>0</v>
      </c>
      <c r="AK25" s="72">
        <f t="shared" si="17"/>
        <v>0</v>
      </c>
      <c r="AL25" s="10" t="e">
        <f t="shared" si="8"/>
        <v>#DIV/0!</v>
      </c>
      <c r="AM25" s="36"/>
      <c r="AN25" s="36"/>
      <c r="AO25" s="36"/>
      <c r="AP25" s="36"/>
      <c r="AQ25" s="36"/>
      <c r="AR25" s="36"/>
      <c r="AS25" s="59">
        <f t="shared" si="18"/>
        <v>281.7</v>
      </c>
      <c r="AT25" s="59">
        <f t="shared" si="19"/>
        <v>441.6</v>
      </c>
      <c r="AU25" s="10">
        <f t="shared" si="5"/>
        <v>156.76251331203412</v>
      </c>
      <c r="AV25" s="59">
        <f t="shared" si="20"/>
        <v>-159.90000000000003</v>
      </c>
      <c r="AW25" s="16">
        <f t="shared" si="21"/>
        <v>4.199999999999932</v>
      </c>
      <c r="AX25" s="21">
        <f t="shared" si="9"/>
        <v>281.7</v>
      </c>
      <c r="AY25" s="21">
        <f t="shared" si="10"/>
        <v>441.6</v>
      </c>
      <c r="AZ25" s="40">
        <f t="shared" si="11"/>
        <v>4.199999999999932</v>
      </c>
    </row>
    <row r="26" spans="1:52" ht="34.5" customHeight="1">
      <c r="A26" s="57">
        <v>19</v>
      </c>
      <c r="B26" s="62" t="s">
        <v>99</v>
      </c>
      <c r="C26" s="13">
        <v>21.3</v>
      </c>
      <c r="D26" s="36">
        <v>9.9</v>
      </c>
      <c r="E26" s="36">
        <v>8.1</v>
      </c>
      <c r="F26" s="10">
        <f t="shared" si="0"/>
        <v>81.81818181818181</v>
      </c>
      <c r="G26" s="36">
        <v>0</v>
      </c>
      <c r="H26" s="36">
        <v>7.4</v>
      </c>
      <c r="I26" s="86" t="e">
        <f t="shared" si="1"/>
        <v>#DIV/0!</v>
      </c>
      <c r="J26" s="36">
        <v>0</v>
      </c>
      <c r="K26" s="36">
        <v>0.4</v>
      </c>
      <c r="L26" s="86" t="e">
        <f t="shared" si="2"/>
        <v>#DIV/0!</v>
      </c>
      <c r="M26" s="72">
        <f t="shared" si="12"/>
        <v>9.9</v>
      </c>
      <c r="N26" s="72">
        <f t="shared" si="13"/>
        <v>15.9</v>
      </c>
      <c r="O26" s="10">
        <f t="shared" si="6"/>
        <v>160.6060606060606</v>
      </c>
      <c r="P26" s="36"/>
      <c r="Q26" s="36"/>
      <c r="R26" s="10"/>
      <c r="S26" s="36"/>
      <c r="T26" s="36"/>
      <c r="U26" s="10"/>
      <c r="V26" s="36"/>
      <c r="W26" s="36"/>
      <c r="X26" s="10" t="e">
        <f t="shared" si="3"/>
        <v>#DIV/0!</v>
      </c>
      <c r="Y26" s="72">
        <f t="shared" si="14"/>
        <v>0</v>
      </c>
      <c r="Z26" s="72">
        <f t="shared" si="15"/>
        <v>0</v>
      </c>
      <c r="AA26" s="10" t="e">
        <f t="shared" si="7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6"/>
        <v>0</v>
      </c>
      <c r="AK26" s="72">
        <f t="shared" si="17"/>
        <v>0</v>
      </c>
      <c r="AL26" s="10" t="e">
        <f t="shared" si="8"/>
        <v>#DIV/0!</v>
      </c>
      <c r="AM26" s="36"/>
      <c r="AN26" s="36"/>
      <c r="AO26" s="36"/>
      <c r="AP26" s="36"/>
      <c r="AQ26" s="36"/>
      <c r="AR26" s="36"/>
      <c r="AS26" s="59">
        <f t="shared" si="18"/>
        <v>9.9</v>
      </c>
      <c r="AT26" s="59">
        <f t="shared" si="19"/>
        <v>15.9</v>
      </c>
      <c r="AU26" s="10">
        <f t="shared" si="5"/>
        <v>160.6060606060606</v>
      </c>
      <c r="AV26" s="59">
        <f t="shared" si="20"/>
        <v>-6</v>
      </c>
      <c r="AW26" s="16">
        <f t="shared" si="21"/>
        <v>15.300000000000002</v>
      </c>
      <c r="AX26" s="21">
        <f t="shared" si="9"/>
        <v>9.9</v>
      </c>
      <c r="AY26" s="21">
        <f t="shared" si="10"/>
        <v>15.9</v>
      </c>
      <c r="AZ26" s="40">
        <f t="shared" si="11"/>
        <v>15.300000000000002</v>
      </c>
    </row>
    <row r="27" spans="1:52" ht="34.5" customHeight="1">
      <c r="A27" s="57">
        <v>20</v>
      </c>
      <c r="B27" s="62" t="s">
        <v>59</v>
      </c>
      <c r="C27" s="13">
        <v>465.4</v>
      </c>
      <c r="D27" s="36">
        <v>676.1</v>
      </c>
      <c r="E27" s="36">
        <v>398.1</v>
      </c>
      <c r="F27" s="10">
        <f t="shared" si="0"/>
        <v>58.88182221564857</v>
      </c>
      <c r="G27" s="36">
        <v>54</v>
      </c>
      <c r="H27" s="36">
        <v>673.2</v>
      </c>
      <c r="I27" s="10">
        <f t="shared" si="1"/>
        <v>1246.6666666666667</v>
      </c>
      <c r="J27" s="36">
        <v>2.6</v>
      </c>
      <c r="K27" s="36">
        <v>89.7</v>
      </c>
      <c r="L27" s="10">
        <f t="shared" si="2"/>
        <v>3450</v>
      </c>
      <c r="M27" s="72">
        <f t="shared" si="12"/>
        <v>732.7</v>
      </c>
      <c r="N27" s="72">
        <f t="shared" si="13"/>
        <v>1161.0000000000002</v>
      </c>
      <c r="O27" s="10">
        <f t="shared" si="6"/>
        <v>158.455029343524</v>
      </c>
      <c r="P27" s="36"/>
      <c r="Q27" s="36"/>
      <c r="R27" s="10"/>
      <c r="S27" s="36"/>
      <c r="T27" s="36"/>
      <c r="U27" s="10"/>
      <c r="V27" s="36"/>
      <c r="W27" s="36"/>
      <c r="X27" s="10" t="e">
        <f t="shared" si="3"/>
        <v>#DIV/0!</v>
      </c>
      <c r="Y27" s="72">
        <f t="shared" si="14"/>
        <v>0</v>
      </c>
      <c r="Z27" s="72">
        <f t="shared" si="15"/>
        <v>0</v>
      </c>
      <c r="AA27" s="10" t="e">
        <f t="shared" si="7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6"/>
        <v>0</v>
      </c>
      <c r="AK27" s="72">
        <f t="shared" si="17"/>
        <v>0</v>
      </c>
      <c r="AL27" s="10" t="e">
        <f t="shared" si="8"/>
        <v>#DIV/0!</v>
      </c>
      <c r="AM27" s="36"/>
      <c r="AN27" s="36"/>
      <c r="AO27" s="36"/>
      <c r="AP27" s="36"/>
      <c r="AQ27" s="36"/>
      <c r="AR27" s="36"/>
      <c r="AS27" s="59">
        <f t="shared" si="18"/>
        <v>732.7</v>
      </c>
      <c r="AT27" s="59">
        <f t="shared" si="19"/>
        <v>1161.0000000000002</v>
      </c>
      <c r="AU27" s="10">
        <f t="shared" si="5"/>
        <v>158.455029343524</v>
      </c>
      <c r="AV27" s="59">
        <f t="shared" si="20"/>
        <v>-428.3000000000002</v>
      </c>
      <c r="AW27" s="16">
        <f t="shared" si="21"/>
        <v>37.09999999999968</v>
      </c>
      <c r="AX27" s="21">
        <f t="shared" si="9"/>
        <v>732.7</v>
      </c>
      <c r="AY27" s="21">
        <f t="shared" si="10"/>
        <v>1161.0000000000002</v>
      </c>
      <c r="AZ27" s="40">
        <f t="shared" si="11"/>
        <v>37.09999999999968</v>
      </c>
    </row>
    <row r="28" spans="1:52" ht="34.5" customHeight="1">
      <c r="A28" s="57">
        <v>21</v>
      </c>
      <c r="B28" s="115" t="s">
        <v>100</v>
      </c>
      <c r="C28" s="13">
        <v>-34</v>
      </c>
      <c r="D28" s="36">
        <v>78.4</v>
      </c>
      <c r="E28" s="36">
        <v>0</v>
      </c>
      <c r="F28" s="10">
        <f t="shared" si="0"/>
        <v>0</v>
      </c>
      <c r="G28" s="36">
        <v>13.8</v>
      </c>
      <c r="H28" s="36">
        <v>44.4</v>
      </c>
      <c r="I28" s="10">
        <f t="shared" si="1"/>
        <v>321.73913043478257</v>
      </c>
      <c r="J28" s="36">
        <v>3.7</v>
      </c>
      <c r="K28" s="36">
        <v>0</v>
      </c>
      <c r="L28" s="10">
        <f t="shared" si="2"/>
        <v>0</v>
      </c>
      <c r="M28" s="72">
        <f t="shared" si="12"/>
        <v>95.9</v>
      </c>
      <c r="N28" s="72">
        <f t="shared" si="13"/>
        <v>44.4</v>
      </c>
      <c r="O28" s="10">
        <f t="shared" si="6"/>
        <v>46.29822732012512</v>
      </c>
      <c r="P28" s="36"/>
      <c r="Q28" s="36"/>
      <c r="R28" s="10"/>
      <c r="S28" s="106"/>
      <c r="T28" s="36"/>
      <c r="U28" s="10"/>
      <c r="V28" s="106"/>
      <c r="W28" s="36"/>
      <c r="X28" s="10" t="e">
        <f t="shared" si="3"/>
        <v>#DIV/0!</v>
      </c>
      <c r="Y28" s="72">
        <f t="shared" si="14"/>
        <v>0</v>
      </c>
      <c r="Z28" s="72">
        <f t="shared" si="15"/>
        <v>0</v>
      </c>
      <c r="AA28" s="10" t="e">
        <f t="shared" si="7"/>
        <v>#DIV/0!</v>
      </c>
      <c r="AB28" s="106"/>
      <c r="AC28" s="36"/>
      <c r="AD28" s="10"/>
      <c r="AE28" s="36"/>
      <c r="AF28" s="80"/>
      <c r="AG28" s="76"/>
      <c r="AH28" s="36"/>
      <c r="AI28" s="80"/>
      <c r="AJ28" s="72">
        <f t="shared" si="16"/>
        <v>0</v>
      </c>
      <c r="AK28" s="72">
        <f t="shared" si="17"/>
        <v>0</v>
      </c>
      <c r="AL28" s="10" t="e">
        <f t="shared" si="8"/>
        <v>#DIV/0!</v>
      </c>
      <c r="AM28" s="36"/>
      <c r="AN28" s="80"/>
      <c r="AO28" s="36"/>
      <c r="AP28" s="80"/>
      <c r="AQ28" s="36"/>
      <c r="AR28" s="80"/>
      <c r="AS28" s="59">
        <f t="shared" si="18"/>
        <v>95.9</v>
      </c>
      <c r="AT28" s="59">
        <f t="shared" si="19"/>
        <v>44.4</v>
      </c>
      <c r="AU28" s="10">
        <f t="shared" si="5"/>
        <v>46.29822732012512</v>
      </c>
      <c r="AV28" s="59">
        <f t="shared" si="20"/>
        <v>51.50000000000001</v>
      </c>
      <c r="AW28" s="16">
        <f t="shared" si="21"/>
        <v>17.500000000000007</v>
      </c>
      <c r="AX28" s="21">
        <f t="shared" si="9"/>
        <v>95.9</v>
      </c>
      <c r="AY28" s="21">
        <f t="shared" si="10"/>
        <v>44.4</v>
      </c>
      <c r="AZ28" s="40">
        <f t="shared" si="11"/>
        <v>17.500000000000007</v>
      </c>
    </row>
    <row r="29" spans="1:52" ht="34.5" customHeight="1">
      <c r="A29" s="57">
        <v>22</v>
      </c>
      <c r="B29" s="58" t="s">
        <v>2</v>
      </c>
      <c r="C29" s="54"/>
      <c r="D29" s="63"/>
      <c r="E29" s="63"/>
      <c r="F29" s="63"/>
      <c r="G29" s="63"/>
      <c r="H29" s="63"/>
      <c r="I29" s="86" t="e">
        <f t="shared" si="1"/>
        <v>#DIV/0!</v>
      </c>
      <c r="J29" s="63"/>
      <c r="K29" s="63"/>
      <c r="L29" s="63"/>
      <c r="M29" s="72"/>
      <c r="N29" s="72"/>
      <c r="O29" s="10"/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  <c r="AX29" s="21">
        <f t="shared" si="9"/>
        <v>0</v>
      </c>
      <c r="AY29" s="21">
        <f t="shared" si="10"/>
        <v>0</v>
      </c>
      <c r="AZ29" s="40">
        <f t="shared" si="11"/>
        <v>0</v>
      </c>
    </row>
    <row r="30" spans="1:52" ht="34.5" customHeight="1">
      <c r="A30" s="57">
        <v>23</v>
      </c>
      <c r="B30" s="62" t="s">
        <v>39</v>
      </c>
      <c r="C30" s="13">
        <v>62.5</v>
      </c>
      <c r="D30" s="36">
        <v>46.2</v>
      </c>
      <c r="E30" s="36">
        <v>52.3</v>
      </c>
      <c r="F30" s="10">
        <f t="shared" si="0"/>
        <v>113.2034632034632</v>
      </c>
      <c r="G30" s="36">
        <v>0</v>
      </c>
      <c r="H30" s="36">
        <v>50.7</v>
      </c>
      <c r="I30" s="86" t="e">
        <f t="shared" si="1"/>
        <v>#DIV/0!</v>
      </c>
      <c r="J30" s="36">
        <v>-0.7</v>
      </c>
      <c r="K30" s="36">
        <v>5.7</v>
      </c>
      <c r="L30" s="10">
        <f aca="true" t="shared" si="22" ref="L30:L45">K30/J30*100</f>
        <v>-814.2857142857144</v>
      </c>
      <c r="M30" s="72">
        <f t="shared" si="12"/>
        <v>45.5</v>
      </c>
      <c r="N30" s="72">
        <f t="shared" si="13"/>
        <v>108.7</v>
      </c>
      <c r="O30" s="10">
        <f t="shared" si="6"/>
        <v>238.9010989010989</v>
      </c>
      <c r="P30" s="36"/>
      <c r="Q30" s="36"/>
      <c r="R30" s="103"/>
      <c r="S30" s="36"/>
      <c r="T30" s="36"/>
      <c r="U30" s="103"/>
      <c r="V30" s="36"/>
      <c r="W30" s="36"/>
      <c r="X30" s="103" t="e">
        <f aca="true" t="shared" si="23" ref="X30:X45">W30/V30*100</f>
        <v>#DIV/0!</v>
      </c>
      <c r="Y30" s="72">
        <f aca="true" t="shared" si="24" ref="Y30:Y42">P30+S30+V30</f>
        <v>0</v>
      </c>
      <c r="Z30" s="72">
        <f aca="true" t="shared" si="25" ref="Z30:Z42">Q30+T30+W30</f>
        <v>0</v>
      </c>
      <c r="AA30" s="10" t="e">
        <f aca="true" t="shared" si="26" ref="AA30:AA45">Z30/Y30*100</f>
        <v>#DIV/0!</v>
      </c>
      <c r="AB30" s="36"/>
      <c r="AC30" s="36"/>
      <c r="AD30" s="103"/>
      <c r="AE30" s="36"/>
      <c r="AF30" s="36"/>
      <c r="AG30" s="104"/>
      <c r="AH30" s="36"/>
      <c r="AI30" s="36"/>
      <c r="AJ30" s="72">
        <f t="shared" si="16"/>
        <v>0</v>
      </c>
      <c r="AK30" s="72">
        <f t="shared" si="17"/>
        <v>0</v>
      </c>
      <c r="AL30" s="10" t="e">
        <f aca="true" t="shared" si="27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8"/>
        <v>45.5</v>
      </c>
      <c r="AT30" s="59">
        <f t="shared" si="19"/>
        <v>108.7</v>
      </c>
      <c r="AU30" s="10">
        <f t="shared" si="5"/>
        <v>238.9010989010989</v>
      </c>
      <c r="AV30" s="59">
        <f t="shared" si="20"/>
        <v>-63.2</v>
      </c>
      <c r="AW30" s="16">
        <f t="shared" si="21"/>
        <v>-0.7000000000000028</v>
      </c>
      <c r="AX30" s="21">
        <f t="shared" si="9"/>
        <v>45.5</v>
      </c>
      <c r="AY30" s="21">
        <f t="shared" si="10"/>
        <v>108.7</v>
      </c>
      <c r="AZ30" s="40">
        <f t="shared" si="11"/>
        <v>-0.7000000000000028</v>
      </c>
    </row>
    <row r="31" spans="1:52" ht="34.5" customHeight="1">
      <c r="A31" s="57">
        <v>24</v>
      </c>
      <c r="B31" s="62" t="s">
        <v>3</v>
      </c>
      <c r="C31" s="13">
        <v>277.5</v>
      </c>
      <c r="D31" s="36">
        <v>159.6</v>
      </c>
      <c r="E31" s="36">
        <v>240</v>
      </c>
      <c r="F31" s="10">
        <f t="shared" si="0"/>
        <v>150.37593984962407</v>
      </c>
      <c r="G31" s="36">
        <v>1.5</v>
      </c>
      <c r="H31" s="36">
        <v>37.5</v>
      </c>
      <c r="I31" s="10">
        <f t="shared" si="1"/>
        <v>2500</v>
      </c>
      <c r="J31" s="36">
        <v>-0.8</v>
      </c>
      <c r="K31" s="36">
        <v>78.6</v>
      </c>
      <c r="L31" s="10">
        <f t="shared" si="22"/>
        <v>-9824.999999999998</v>
      </c>
      <c r="M31" s="72">
        <f t="shared" si="12"/>
        <v>160.29999999999998</v>
      </c>
      <c r="N31" s="72">
        <f t="shared" si="13"/>
        <v>356.1</v>
      </c>
      <c r="O31" s="10">
        <f t="shared" si="6"/>
        <v>222.14597629444793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23"/>
        <v>#DIV/0!</v>
      </c>
      <c r="Y31" s="72">
        <f t="shared" si="24"/>
        <v>0</v>
      </c>
      <c r="Z31" s="72">
        <f t="shared" si="25"/>
        <v>0</v>
      </c>
      <c r="AA31" s="10" t="e">
        <f t="shared" si="26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6"/>
        <v>0</v>
      </c>
      <c r="AK31" s="72">
        <f t="shared" si="17"/>
        <v>0</v>
      </c>
      <c r="AL31" s="10" t="e">
        <f t="shared" si="27"/>
        <v>#DIV/0!</v>
      </c>
      <c r="AM31" s="36"/>
      <c r="AN31" s="36"/>
      <c r="AO31" s="36"/>
      <c r="AP31" s="36"/>
      <c r="AQ31" s="36"/>
      <c r="AR31" s="36"/>
      <c r="AS31" s="59">
        <f t="shared" si="18"/>
        <v>160.29999999999998</v>
      </c>
      <c r="AT31" s="59">
        <f t="shared" si="19"/>
        <v>356.1</v>
      </c>
      <c r="AU31" s="10">
        <f t="shared" si="5"/>
        <v>222.14597629444793</v>
      </c>
      <c r="AV31" s="59">
        <f t="shared" si="20"/>
        <v>-195.80000000000004</v>
      </c>
      <c r="AW31" s="16">
        <f t="shared" si="21"/>
        <v>81.69999999999993</v>
      </c>
      <c r="AX31" s="21">
        <f t="shared" si="9"/>
        <v>160.29999999999998</v>
      </c>
      <c r="AY31" s="21">
        <f t="shared" si="10"/>
        <v>356.1</v>
      </c>
      <c r="AZ31" s="40">
        <f t="shared" si="11"/>
        <v>81.69999999999993</v>
      </c>
    </row>
    <row r="32" spans="1:52" ht="34.5" customHeight="1">
      <c r="A32" s="57">
        <v>25</v>
      </c>
      <c r="B32" s="62" t="s">
        <v>101</v>
      </c>
      <c r="C32" s="16">
        <f>SUM(C33:C34)</f>
        <v>172.2</v>
      </c>
      <c r="D32" s="16">
        <f>SUM(D33:D34)</f>
        <v>272.5</v>
      </c>
      <c r="E32" s="16">
        <f>SUM(E33:E34)</f>
        <v>253.3</v>
      </c>
      <c r="F32" s="10">
        <f t="shared" si="0"/>
        <v>92.95412844036697</v>
      </c>
      <c r="G32" s="16">
        <f>SUM(G33:G34)</f>
        <v>84.1</v>
      </c>
      <c r="H32" s="16">
        <f>SUM(H33:H34)</f>
        <v>253.5</v>
      </c>
      <c r="I32" s="10">
        <f t="shared" si="1"/>
        <v>301.4268727705113</v>
      </c>
      <c r="J32" s="16">
        <f>SUM(J33:J34)</f>
        <v>66.1</v>
      </c>
      <c r="K32" s="16">
        <f>SUM(K33:K34)</f>
        <v>14.4</v>
      </c>
      <c r="L32" s="10">
        <f t="shared" si="22"/>
        <v>21.785173978819973</v>
      </c>
      <c r="M32" s="10"/>
      <c r="N32" s="10"/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16">
        <f>SUM(AS33:AS34)</f>
        <v>422.70000000000005</v>
      </c>
      <c r="AT32" s="16">
        <f>SUM(AT33:AT34)</f>
        <v>521.2</v>
      </c>
      <c r="AU32" s="10">
        <f t="shared" si="5"/>
        <v>123.30257866098889</v>
      </c>
      <c r="AV32" s="16">
        <f>SUM(AV33:AV34)</f>
        <v>-98.50000000000003</v>
      </c>
      <c r="AW32" s="16">
        <f>SUM(AW33:AW34)</f>
        <v>73.6999999999999</v>
      </c>
      <c r="AX32" s="21">
        <f t="shared" si="9"/>
        <v>422.70000000000005</v>
      </c>
      <c r="AY32" s="21">
        <f t="shared" si="10"/>
        <v>521.2</v>
      </c>
      <c r="AZ32" s="40">
        <f t="shared" si="11"/>
        <v>73.70000000000005</v>
      </c>
    </row>
    <row r="33" spans="1:52" ht="34.5" customHeight="1">
      <c r="A33" s="57"/>
      <c r="B33" s="62" t="s">
        <v>102</v>
      </c>
      <c r="C33" s="13">
        <v>333.7</v>
      </c>
      <c r="D33" s="36">
        <v>187.4</v>
      </c>
      <c r="E33" s="36">
        <v>253.3</v>
      </c>
      <c r="F33" s="10">
        <f>E33/D33*100</f>
        <v>135.16542155816435</v>
      </c>
      <c r="G33" s="36">
        <v>57.6</v>
      </c>
      <c r="H33" s="36">
        <v>253.5</v>
      </c>
      <c r="I33" s="10">
        <f t="shared" si="1"/>
        <v>440.1041666666667</v>
      </c>
      <c r="J33" s="36">
        <v>57.6</v>
      </c>
      <c r="K33" s="36">
        <v>14.4</v>
      </c>
      <c r="L33" s="10">
        <f t="shared" si="22"/>
        <v>25</v>
      </c>
      <c r="M33" s="72">
        <f t="shared" si="12"/>
        <v>302.6</v>
      </c>
      <c r="N33" s="72">
        <f t="shared" si="13"/>
        <v>521.2</v>
      </c>
      <c r="O33" s="10">
        <f t="shared" si="6"/>
        <v>172.2405816259088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3"/>
        <v>#DIV/0!</v>
      </c>
      <c r="Y33" s="72">
        <f t="shared" si="24"/>
        <v>0</v>
      </c>
      <c r="Z33" s="72">
        <f t="shared" si="25"/>
        <v>0</v>
      </c>
      <c r="AA33" s="10" t="e">
        <f t="shared" si="26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6"/>
        <v>0</v>
      </c>
      <c r="AK33" s="72">
        <f t="shared" si="17"/>
        <v>0</v>
      </c>
      <c r="AL33" s="10" t="e">
        <f t="shared" si="27"/>
        <v>#DIV/0!</v>
      </c>
      <c r="AM33" s="36"/>
      <c r="AN33" s="36"/>
      <c r="AO33" s="36"/>
      <c r="AP33" s="36"/>
      <c r="AQ33" s="36"/>
      <c r="AR33" s="36"/>
      <c r="AS33" s="59">
        <f t="shared" si="18"/>
        <v>302.6</v>
      </c>
      <c r="AT33" s="59">
        <f t="shared" si="19"/>
        <v>521.2</v>
      </c>
      <c r="AU33" s="10">
        <f t="shared" si="5"/>
        <v>172.2405816259088</v>
      </c>
      <c r="AV33" s="59">
        <f t="shared" si="20"/>
        <v>-218.60000000000002</v>
      </c>
      <c r="AW33" s="16">
        <f t="shared" si="21"/>
        <v>115.09999999999991</v>
      </c>
      <c r="AX33" s="21">
        <f t="shared" si="9"/>
        <v>302.6</v>
      </c>
      <c r="AY33" s="21">
        <f t="shared" si="10"/>
        <v>521.2</v>
      </c>
      <c r="AZ33" s="40">
        <f t="shared" si="11"/>
        <v>115.09999999999991</v>
      </c>
    </row>
    <row r="34" spans="1:52" ht="34.5" customHeight="1">
      <c r="A34" s="57"/>
      <c r="B34" s="62" t="s">
        <v>103</v>
      </c>
      <c r="C34" s="64">
        <v>-161.5</v>
      </c>
      <c r="D34" s="36">
        <v>85.1</v>
      </c>
      <c r="E34" s="36">
        <v>0</v>
      </c>
      <c r="F34" s="10">
        <f>E34/D34*100</f>
        <v>0</v>
      </c>
      <c r="G34" s="36">
        <v>26.5</v>
      </c>
      <c r="H34" s="36">
        <v>0</v>
      </c>
      <c r="I34" s="10">
        <f t="shared" si="1"/>
        <v>0</v>
      </c>
      <c r="J34" s="36">
        <v>8.5</v>
      </c>
      <c r="K34" s="36">
        <v>0</v>
      </c>
      <c r="L34" s="10">
        <f t="shared" si="22"/>
        <v>0</v>
      </c>
      <c r="M34" s="72">
        <f t="shared" si="12"/>
        <v>120.1</v>
      </c>
      <c r="N34" s="72">
        <f t="shared" si="13"/>
        <v>0</v>
      </c>
      <c r="O34" s="10">
        <f t="shared" si="6"/>
        <v>0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3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6"/>
        <v>0</v>
      </c>
      <c r="AK34" s="72">
        <f t="shared" si="17"/>
        <v>0</v>
      </c>
      <c r="AL34" s="10" t="e">
        <f t="shared" si="27"/>
        <v>#DIV/0!</v>
      </c>
      <c r="AM34" s="36"/>
      <c r="AN34" s="36"/>
      <c r="AO34" s="36"/>
      <c r="AP34" s="36"/>
      <c r="AQ34" s="36"/>
      <c r="AR34" s="36"/>
      <c r="AS34" s="59">
        <f t="shared" si="18"/>
        <v>120.1</v>
      </c>
      <c r="AT34" s="59">
        <f t="shared" si="19"/>
        <v>0</v>
      </c>
      <c r="AU34" s="10">
        <f t="shared" si="5"/>
        <v>0</v>
      </c>
      <c r="AV34" s="59">
        <f t="shared" si="20"/>
        <v>120.1</v>
      </c>
      <c r="AW34" s="16">
        <f t="shared" si="21"/>
        <v>-41.400000000000006</v>
      </c>
      <c r="AX34" s="21">
        <f t="shared" si="9"/>
        <v>120.1</v>
      </c>
      <c r="AY34" s="21">
        <f t="shared" si="10"/>
        <v>0</v>
      </c>
      <c r="AZ34" s="40">
        <f t="shared" si="11"/>
        <v>-41.400000000000006</v>
      </c>
    </row>
    <row r="35" spans="1:52" ht="34.5" customHeight="1">
      <c r="A35" s="57">
        <v>26</v>
      </c>
      <c r="B35" s="62" t="s">
        <v>60</v>
      </c>
      <c r="C35" s="64">
        <v>-258</v>
      </c>
      <c r="D35" s="35">
        <v>228.5</v>
      </c>
      <c r="E35" s="35">
        <v>16.3</v>
      </c>
      <c r="F35" s="10">
        <f t="shared" si="0"/>
        <v>7.133479212253829</v>
      </c>
      <c r="G35" s="36">
        <v>24.4</v>
      </c>
      <c r="H35" s="36">
        <v>82.3</v>
      </c>
      <c r="I35" s="10">
        <f t="shared" si="1"/>
        <v>337.29508196721315</v>
      </c>
      <c r="J35" s="36">
        <v>-2</v>
      </c>
      <c r="K35" s="36">
        <v>9.9</v>
      </c>
      <c r="L35" s="10">
        <f t="shared" si="22"/>
        <v>-495</v>
      </c>
      <c r="M35" s="72">
        <f t="shared" si="12"/>
        <v>250.9</v>
      </c>
      <c r="N35" s="72">
        <f t="shared" si="13"/>
        <v>108.5</v>
      </c>
      <c r="O35" s="10">
        <f t="shared" si="6"/>
        <v>43.24432044639298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3"/>
        <v>#DIV/0!</v>
      </c>
      <c r="Y35" s="72">
        <f t="shared" si="24"/>
        <v>0</v>
      </c>
      <c r="Z35" s="72">
        <f t="shared" si="25"/>
        <v>0</v>
      </c>
      <c r="AA35" s="10" t="e">
        <f t="shared" si="26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6"/>
        <v>0</v>
      </c>
      <c r="AK35" s="72">
        <f t="shared" si="17"/>
        <v>0</v>
      </c>
      <c r="AL35" s="10" t="e">
        <f t="shared" si="27"/>
        <v>#DIV/0!</v>
      </c>
      <c r="AM35" s="36"/>
      <c r="AN35" s="36"/>
      <c r="AO35" s="36"/>
      <c r="AP35" s="36"/>
      <c r="AQ35" s="36"/>
      <c r="AR35" s="36"/>
      <c r="AS35" s="59">
        <f t="shared" si="18"/>
        <v>250.9</v>
      </c>
      <c r="AT35" s="59">
        <f t="shared" si="19"/>
        <v>108.5</v>
      </c>
      <c r="AU35" s="10">
        <f t="shared" si="5"/>
        <v>43.24432044639298</v>
      </c>
      <c r="AV35" s="59">
        <f t="shared" si="20"/>
        <v>142.4</v>
      </c>
      <c r="AW35" s="16">
        <f t="shared" si="21"/>
        <v>-115.6</v>
      </c>
      <c r="AX35" s="21">
        <f t="shared" si="9"/>
        <v>250.9</v>
      </c>
      <c r="AY35" s="21">
        <f t="shared" si="10"/>
        <v>108.5</v>
      </c>
      <c r="AZ35" s="40">
        <f t="shared" si="11"/>
        <v>-115.6</v>
      </c>
    </row>
    <row r="36" spans="1:52" ht="34.5" customHeight="1">
      <c r="A36" s="57">
        <v>27</v>
      </c>
      <c r="B36" s="116" t="s">
        <v>61</v>
      </c>
      <c r="C36" s="13">
        <v>-107.6</v>
      </c>
      <c r="D36" s="65">
        <v>213.4</v>
      </c>
      <c r="E36" s="65">
        <v>0</v>
      </c>
      <c r="F36" s="10">
        <f t="shared" si="0"/>
        <v>0</v>
      </c>
      <c r="G36" s="36">
        <v>-1.1</v>
      </c>
      <c r="H36" s="36">
        <v>89.8</v>
      </c>
      <c r="I36" s="10">
        <f t="shared" si="1"/>
        <v>-8163.636363636362</v>
      </c>
      <c r="J36" s="36">
        <v>-2.1</v>
      </c>
      <c r="K36" s="36">
        <v>15</v>
      </c>
      <c r="L36" s="61">
        <f t="shared" si="22"/>
        <v>-714.2857142857142</v>
      </c>
      <c r="M36" s="72">
        <f t="shared" si="12"/>
        <v>210.20000000000002</v>
      </c>
      <c r="N36" s="72">
        <f t="shared" si="13"/>
        <v>104.8</v>
      </c>
      <c r="O36" s="10">
        <f t="shared" si="6"/>
        <v>49.85727878211227</v>
      </c>
      <c r="P36" s="36"/>
      <c r="Q36" s="36"/>
      <c r="R36" s="103"/>
      <c r="S36" s="36"/>
      <c r="T36" s="36"/>
      <c r="U36" s="103"/>
      <c r="V36" s="36"/>
      <c r="W36" s="36"/>
      <c r="X36" s="103" t="e">
        <f t="shared" si="23"/>
        <v>#DIV/0!</v>
      </c>
      <c r="Y36" s="72">
        <f t="shared" si="24"/>
        <v>0</v>
      </c>
      <c r="Z36" s="72">
        <f t="shared" si="25"/>
        <v>0</v>
      </c>
      <c r="AA36" s="10" t="e">
        <f t="shared" si="26"/>
        <v>#DIV/0!</v>
      </c>
      <c r="AB36" s="36"/>
      <c r="AC36" s="36"/>
      <c r="AD36" s="103"/>
      <c r="AE36" s="36"/>
      <c r="AF36" s="36"/>
      <c r="AG36" s="10"/>
      <c r="AH36" s="36"/>
      <c r="AI36" s="36"/>
      <c r="AJ36" s="72">
        <f t="shared" si="16"/>
        <v>0</v>
      </c>
      <c r="AK36" s="72">
        <f t="shared" si="17"/>
        <v>0</v>
      </c>
      <c r="AL36" s="10" t="e">
        <f t="shared" si="27"/>
        <v>#DIV/0!</v>
      </c>
      <c r="AM36" s="36"/>
      <c r="AN36" s="36"/>
      <c r="AO36" s="36"/>
      <c r="AP36" s="36"/>
      <c r="AQ36" s="36"/>
      <c r="AR36" s="36"/>
      <c r="AS36" s="59">
        <f t="shared" si="18"/>
        <v>210.20000000000002</v>
      </c>
      <c r="AT36" s="59">
        <f t="shared" si="19"/>
        <v>104.8</v>
      </c>
      <c r="AU36" s="10">
        <f t="shared" si="5"/>
        <v>49.85727878211227</v>
      </c>
      <c r="AV36" s="59">
        <f t="shared" si="20"/>
        <v>105.40000000000002</v>
      </c>
      <c r="AW36" s="16">
        <f t="shared" si="21"/>
        <v>-2.1999999999999744</v>
      </c>
      <c r="AX36" s="21">
        <f t="shared" si="9"/>
        <v>210.20000000000002</v>
      </c>
      <c r="AY36" s="21">
        <f t="shared" si="10"/>
        <v>104.8</v>
      </c>
      <c r="AZ36" s="40">
        <f t="shared" si="11"/>
        <v>-2.1999999999999744</v>
      </c>
    </row>
    <row r="37" spans="1:52" ht="34.5" customHeight="1">
      <c r="A37" s="57">
        <v>28</v>
      </c>
      <c r="B37" s="117" t="s">
        <v>62</v>
      </c>
      <c r="C37" s="13">
        <v>2542</v>
      </c>
      <c r="D37" s="36">
        <v>186.1</v>
      </c>
      <c r="E37" s="36">
        <v>998.6</v>
      </c>
      <c r="F37" s="10">
        <f t="shared" si="0"/>
        <v>536.5932294465342</v>
      </c>
      <c r="G37" s="36">
        <v>77.8</v>
      </c>
      <c r="H37" s="36">
        <v>1401.8</v>
      </c>
      <c r="I37" s="10">
        <f t="shared" si="1"/>
        <v>1801.7994858611826</v>
      </c>
      <c r="J37" s="36">
        <v>4.2</v>
      </c>
      <c r="K37" s="36">
        <v>404</v>
      </c>
      <c r="L37" s="10">
        <f t="shared" si="22"/>
        <v>9619.047619047618</v>
      </c>
      <c r="M37" s="72">
        <f t="shared" si="12"/>
        <v>268.09999999999997</v>
      </c>
      <c r="N37" s="72">
        <f t="shared" si="13"/>
        <v>2804.4</v>
      </c>
      <c r="O37" s="10">
        <f t="shared" si="6"/>
        <v>1046.0276016411788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3"/>
        <v>#DIV/0!</v>
      </c>
      <c r="Y37" s="72">
        <f t="shared" si="24"/>
        <v>0</v>
      </c>
      <c r="Z37" s="72">
        <f t="shared" si="25"/>
        <v>0</v>
      </c>
      <c r="AA37" s="10" t="e">
        <f t="shared" si="26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aca="true" t="shared" si="28" ref="AJ37:AK42">AB37+AE37+AH37</f>
        <v>0</v>
      </c>
      <c r="AK37" s="72">
        <f t="shared" si="28"/>
        <v>0</v>
      </c>
      <c r="AL37" s="10" t="e">
        <f t="shared" si="27"/>
        <v>#DIV/0!</v>
      </c>
      <c r="AM37" s="36"/>
      <c r="AN37" s="36"/>
      <c r="AO37" s="36"/>
      <c r="AP37" s="36"/>
      <c r="AQ37" s="36"/>
      <c r="AR37" s="36"/>
      <c r="AS37" s="59">
        <f t="shared" si="18"/>
        <v>268.09999999999997</v>
      </c>
      <c r="AT37" s="59">
        <f t="shared" si="19"/>
        <v>2804.4</v>
      </c>
      <c r="AU37" s="10">
        <f t="shared" si="5"/>
        <v>1046.0276016411788</v>
      </c>
      <c r="AV37" s="59">
        <f t="shared" si="20"/>
        <v>-2536.3</v>
      </c>
      <c r="AW37" s="16">
        <f t="shared" si="21"/>
        <v>5.699999999999818</v>
      </c>
      <c r="AX37" s="21">
        <f t="shared" si="9"/>
        <v>268.09999999999997</v>
      </c>
      <c r="AY37" s="21">
        <f t="shared" si="10"/>
        <v>2804.4</v>
      </c>
      <c r="AZ37" s="40">
        <f t="shared" si="11"/>
        <v>5.699999999999818</v>
      </c>
    </row>
    <row r="38" spans="1:52" ht="34.5" customHeight="1">
      <c r="A38" s="57">
        <v>29</v>
      </c>
      <c r="B38" s="117" t="s">
        <v>104</v>
      </c>
      <c r="C38" s="13">
        <v>-1421.9</v>
      </c>
      <c r="D38" s="36">
        <v>1387.3</v>
      </c>
      <c r="E38" s="36">
        <v>9</v>
      </c>
      <c r="F38" s="10">
        <f t="shared" si="0"/>
        <v>0.6487421610322208</v>
      </c>
      <c r="G38" s="36">
        <v>24</v>
      </c>
      <c r="H38" s="36">
        <v>19.8</v>
      </c>
      <c r="I38" s="10">
        <f t="shared" si="1"/>
        <v>82.5</v>
      </c>
      <c r="J38" s="36">
        <v>-1612.4</v>
      </c>
      <c r="K38" s="36">
        <v>1.2</v>
      </c>
      <c r="L38" s="10">
        <f t="shared" si="22"/>
        <v>-0.07442322004465393</v>
      </c>
      <c r="M38" s="72">
        <f t="shared" si="12"/>
        <v>-201.10000000000014</v>
      </c>
      <c r="N38" s="72">
        <f t="shared" si="13"/>
        <v>30</v>
      </c>
      <c r="O38" s="10">
        <f t="shared" si="6"/>
        <v>-14.917951268025847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3"/>
        <v>#DIV/0!</v>
      </c>
      <c r="Y38" s="72">
        <f t="shared" si="24"/>
        <v>0</v>
      </c>
      <c r="Z38" s="72">
        <f t="shared" si="25"/>
        <v>0</v>
      </c>
      <c r="AA38" s="10" t="e">
        <f t="shared" si="26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28"/>
        <v>0</v>
      </c>
      <c r="AK38" s="72">
        <f t="shared" si="28"/>
        <v>0</v>
      </c>
      <c r="AL38" s="10" t="e">
        <f t="shared" si="27"/>
        <v>#DIV/0!</v>
      </c>
      <c r="AM38" s="36"/>
      <c r="AN38" s="36"/>
      <c r="AO38" s="36"/>
      <c r="AP38" s="36"/>
      <c r="AQ38" s="36"/>
      <c r="AR38" s="36"/>
      <c r="AS38" s="59">
        <f t="shared" si="18"/>
        <v>-201.10000000000014</v>
      </c>
      <c r="AT38" s="59">
        <f t="shared" si="19"/>
        <v>30</v>
      </c>
      <c r="AU38" s="10">
        <f t="shared" si="5"/>
        <v>-14.917951268025847</v>
      </c>
      <c r="AV38" s="59">
        <f t="shared" si="20"/>
        <v>-231.10000000000014</v>
      </c>
      <c r="AW38" s="16">
        <f t="shared" si="21"/>
        <v>-1653.0000000000002</v>
      </c>
      <c r="AX38" s="21">
        <f t="shared" si="9"/>
        <v>-201.10000000000014</v>
      </c>
      <c r="AY38" s="21">
        <f t="shared" si="10"/>
        <v>30</v>
      </c>
      <c r="AZ38" s="40">
        <f t="shared" si="11"/>
        <v>-1653.0000000000002</v>
      </c>
    </row>
    <row r="39" spans="1:52" ht="34.5" customHeight="1">
      <c r="A39" s="57">
        <v>30</v>
      </c>
      <c r="B39" s="117" t="s">
        <v>4</v>
      </c>
      <c r="C39" s="13">
        <v>2340.1</v>
      </c>
      <c r="D39" s="36">
        <v>2966.3</v>
      </c>
      <c r="E39" s="36">
        <v>0</v>
      </c>
      <c r="F39" s="10">
        <f t="shared" si="0"/>
        <v>0</v>
      </c>
      <c r="G39" s="36">
        <v>-2608.7</v>
      </c>
      <c r="H39" s="36">
        <v>609.2</v>
      </c>
      <c r="I39" s="10">
        <f t="shared" si="1"/>
        <v>-23.352627745620428</v>
      </c>
      <c r="J39" s="36">
        <v>5.5</v>
      </c>
      <c r="K39" s="36">
        <v>0.3</v>
      </c>
      <c r="L39" s="10">
        <f t="shared" si="22"/>
        <v>5.454545454545454</v>
      </c>
      <c r="M39" s="72">
        <f t="shared" si="12"/>
        <v>363.10000000000036</v>
      </c>
      <c r="N39" s="72">
        <f t="shared" si="13"/>
        <v>609.5</v>
      </c>
      <c r="O39" s="10">
        <f t="shared" si="6"/>
        <v>167.86009363811604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23"/>
        <v>#DIV/0!</v>
      </c>
      <c r="Y39" s="72">
        <f t="shared" si="24"/>
        <v>0</v>
      </c>
      <c r="Z39" s="72">
        <f t="shared" si="25"/>
        <v>0</v>
      </c>
      <c r="AA39" s="10" t="e">
        <f t="shared" si="26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28"/>
        <v>0</v>
      </c>
      <c r="AK39" s="72">
        <f t="shared" si="28"/>
        <v>0</v>
      </c>
      <c r="AL39" s="10" t="e">
        <f t="shared" si="27"/>
        <v>#DIV/0!</v>
      </c>
      <c r="AM39" s="36"/>
      <c r="AN39" s="36"/>
      <c r="AO39" s="36"/>
      <c r="AP39" s="36"/>
      <c r="AQ39" s="36"/>
      <c r="AR39" s="36"/>
      <c r="AS39" s="59">
        <f t="shared" si="18"/>
        <v>363.10000000000036</v>
      </c>
      <c r="AT39" s="59">
        <f t="shared" si="19"/>
        <v>609.5</v>
      </c>
      <c r="AU39" s="10">
        <f t="shared" si="5"/>
        <v>167.86009363811604</v>
      </c>
      <c r="AV39" s="59">
        <f t="shared" si="20"/>
        <v>-246.39999999999964</v>
      </c>
      <c r="AW39" s="16">
        <f t="shared" si="21"/>
        <v>2093.7000000000003</v>
      </c>
      <c r="AX39" s="21">
        <f t="shared" si="9"/>
        <v>363.10000000000036</v>
      </c>
      <c r="AY39" s="21">
        <f t="shared" si="10"/>
        <v>609.5</v>
      </c>
      <c r="AZ39" s="40">
        <f t="shared" si="11"/>
        <v>2093.7000000000003</v>
      </c>
    </row>
    <row r="40" spans="1:52" ht="34.5" customHeight="1">
      <c r="A40" s="57">
        <v>31</v>
      </c>
      <c r="B40" s="117" t="s">
        <v>63</v>
      </c>
      <c r="C40" s="13">
        <v>1.5</v>
      </c>
      <c r="D40" s="36">
        <v>165.9</v>
      </c>
      <c r="E40" s="36">
        <v>14.5</v>
      </c>
      <c r="F40" s="10">
        <f t="shared" si="0"/>
        <v>8.740204942736588</v>
      </c>
      <c r="G40" s="36">
        <v>27.9</v>
      </c>
      <c r="H40" s="36">
        <v>138.2</v>
      </c>
      <c r="I40" s="10">
        <f t="shared" si="1"/>
        <v>495.34050179211465</v>
      </c>
      <c r="J40" s="36">
        <v>11.1</v>
      </c>
      <c r="K40" s="36">
        <v>26</v>
      </c>
      <c r="L40" s="10">
        <f t="shared" si="22"/>
        <v>234.23423423423424</v>
      </c>
      <c r="M40" s="72">
        <f t="shared" si="12"/>
        <v>204.9</v>
      </c>
      <c r="N40" s="72">
        <f t="shared" si="13"/>
        <v>178.7</v>
      </c>
      <c r="O40" s="10">
        <f t="shared" si="6"/>
        <v>87.21327476817959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3"/>
        <v>#DIV/0!</v>
      </c>
      <c r="Y40" s="72">
        <f t="shared" si="24"/>
        <v>0</v>
      </c>
      <c r="Z40" s="72">
        <f t="shared" si="25"/>
        <v>0</v>
      </c>
      <c r="AA40" s="10" t="e">
        <f t="shared" si="26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28"/>
        <v>0</v>
      </c>
      <c r="AK40" s="72">
        <f t="shared" si="28"/>
        <v>0</v>
      </c>
      <c r="AL40" s="10" t="e">
        <f t="shared" si="27"/>
        <v>#DIV/0!</v>
      </c>
      <c r="AM40" s="36"/>
      <c r="AN40" s="36"/>
      <c r="AO40" s="36"/>
      <c r="AP40" s="36"/>
      <c r="AQ40" s="36"/>
      <c r="AR40" s="36"/>
      <c r="AS40" s="59">
        <f t="shared" si="18"/>
        <v>204.9</v>
      </c>
      <c r="AT40" s="59">
        <f t="shared" si="19"/>
        <v>178.7</v>
      </c>
      <c r="AU40" s="10">
        <f t="shared" si="5"/>
        <v>87.21327476817959</v>
      </c>
      <c r="AV40" s="59">
        <f t="shared" si="20"/>
        <v>26.200000000000017</v>
      </c>
      <c r="AW40" s="16">
        <f t="shared" si="21"/>
        <v>27.700000000000017</v>
      </c>
      <c r="AX40" s="21">
        <f t="shared" si="9"/>
        <v>204.9</v>
      </c>
      <c r="AY40" s="21">
        <f t="shared" si="10"/>
        <v>178.7</v>
      </c>
      <c r="AZ40" s="40">
        <f t="shared" si="11"/>
        <v>27.700000000000017</v>
      </c>
    </row>
    <row r="41" spans="1:52" ht="34.5" customHeight="1">
      <c r="A41" s="57">
        <v>32</v>
      </c>
      <c r="B41" s="60" t="s">
        <v>64</v>
      </c>
      <c r="C41" s="13">
        <v>905.2</v>
      </c>
      <c r="D41" s="36">
        <v>1108.5</v>
      </c>
      <c r="E41" s="36">
        <v>779.1</v>
      </c>
      <c r="F41" s="10">
        <f t="shared" si="0"/>
        <v>70.28416779431664</v>
      </c>
      <c r="G41" s="36">
        <v>-179</v>
      </c>
      <c r="H41" s="36">
        <v>1121.5</v>
      </c>
      <c r="I41" s="10">
        <f t="shared" si="1"/>
        <v>-626.536312849162</v>
      </c>
      <c r="J41" s="36">
        <v>12.1</v>
      </c>
      <c r="K41" s="36">
        <v>0</v>
      </c>
      <c r="L41" s="10">
        <f t="shared" si="22"/>
        <v>0</v>
      </c>
      <c r="M41" s="72">
        <f t="shared" si="12"/>
        <v>941.6</v>
      </c>
      <c r="N41" s="72">
        <f t="shared" si="13"/>
        <v>1900.6</v>
      </c>
      <c r="O41" s="10">
        <f t="shared" si="6"/>
        <v>201.84791843670348</v>
      </c>
      <c r="P41" s="36"/>
      <c r="Q41" s="36"/>
      <c r="R41" s="103"/>
      <c r="S41" s="36"/>
      <c r="T41" s="36"/>
      <c r="U41" s="103"/>
      <c r="V41" s="36"/>
      <c r="W41" s="36"/>
      <c r="X41" s="103" t="e">
        <f t="shared" si="23"/>
        <v>#DIV/0!</v>
      </c>
      <c r="Y41" s="72">
        <f t="shared" si="24"/>
        <v>0</v>
      </c>
      <c r="Z41" s="72">
        <f t="shared" si="25"/>
        <v>0</v>
      </c>
      <c r="AA41" s="10" t="e">
        <f t="shared" si="26"/>
        <v>#DIV/0!</v>
      </c>
      <c r="AB41" s="36"/>
      <c r="AC41" s="36"/>
      <c r="AD41" s="103"/>
      <c r="AE41" s="36"/>
      <c r="AF41" s="36"/>
      <c r="AG41" s="10"/>
      <c r="AH41" s="36"/>
      <c r="AI41" s="36"/>
      <c r="AJ41" s="72">
        <f t="shared" si="28"/>
        <v>0</v>
      </c>
      <c r="AK41" s="72">
        <f t="shared" si="28"/>
        <v>0</v>
      </c>
      <c r="AL41" s="10" t="e">
        <f t="shared" si="27"/>
        <v>#DIV/0!</v>
      </c>
      <c r="AM41" s="36"/>
      <c r="AN41" s="36"/>
      <c r="AO41" s="36"/>
      <c r="AP41" s="36"/>
      <c r="AQ41" s="36"/>
      <c r="AR41" s="36"/>
      <c r="AS41" s="59">
        <f t="shared" si="18"/>
        <v>941.6</v>
      </c>
      <c r="AT41" s="59">
        <f t="shared" si="19"/>
        <v>1900.6</v>
      </c>
      <c r="AU41" s="10">
        <f t="shared" si="5"/>
        <v>201.84791843670348</v>
      </c>
      <c r="AV41" s="59">
        <f t="shared" si="20"/>
        <v>-958.9999999999999</v>
      </c>
      <c r="AW41" s="16">
        <f t="shared" si="21"/>
        <v>-53.79999999999973</v>
      </c>
      <c r="AX41" s="21">
        <f t="shared" si="9"/>
        <v>941.6</v>
      </c>
      <c r="AY41" s="21">
        <f t="shared" si="10"/>
        <v>1900.6</v>
      </c>
      <c r="AZ41" s="40">
        <f t="shared" si="11"/>
        <v>-53.79999999999973</v>
      </c>
    </row>
    <row r="42" spans="1:52" ht="34.5" customHeight="1">
      <c r="A42" s="57">
        <v>33</v>
      </c>
      <c r="B42" s="117" t="s">
        <v>48</v>
      </c>
      <c r="C42" s="13">
        <v>379.4</v>
      </c>
      <c r="D42" s="36">
        <v>373.4</v>
      </c>
      <c r="E42" s="36">
        <v>312.3</v>
      </c>
      <c r="F42" s="10">
        <f>E42/D42*100</f>
        <v>83.63685056239957</v>
      </c>
      <c r="G42" s="36">
        <v>17.6</v>
      </c>
      <c r="H42" s="36">
        <v>392.5</v>
      </c>
      <c r="I42" s="10">
        <f t="shared" si="1"/>
        <v>2230.1136363636365</v>
      </c>
      <c r="J42" s="36">
        <v>-0.4</v>
      </c>
      <c r="K42" s="36">
        <v>65.6</v>
      </c>
      <c r="L42" s="10">
        <f t="shared" si="22"/>
        <v>-16399.999999999996</v>
      </c>
      <c r="M42" s="72">
        <f t="shared" si="12"/>
        <v>390.6</v>
      </c>
      <c r="N42" s="72">
        <f t="shared" si="13"/>
        <v>770.4</v>
      </c>
      <c r="O42" s="10">
        <f t="shared" si="6"/>
        <v>197.23502304147465</v>
      </c>
      <c r="P42" s="36"/>
      <c r="Q42" s="36"/>
      <c r="R42" s="103"/>
      <c r="S42" s="36"/>
      <c r="T42" s="36"/>
      <c r="U42" s="103"/>
      <c r="V42" s="36"/>
      <c r="W42" s="36"/>
      <c r="X42" s="103" t="e">
        <f t="shared" si="23"/>
        <v>#DIV/0!</v>
      </c>
      <c r="Y42" s="72">
        <f t="shared" si="24"/>
        <v>0</v>
      </c>
      <c r="Z42" s="72">
        <f t="shared" si="25"/>
        <v>0</v>
      </c>
      <c r="AA42" s="10" t="e">
        <f t="shared" si="26"/>
        <v>#DIV/0!</v>
      </c>
      <c r="AB42" s="36"/>
      <c r="AC42" s="36"/>
      <c r="AD42" s="103"/>
      <c r="AE42" s="36"/>
      <c r="AF42" s="36"/>
      <c r="AG42" s="10"/>
      <c r="AH42" s="36"/>
      <c r="AI42" s="36"/>
      <c r="AJ42" s="72">
        <f t="shared" si="28"/>
        <v>0</v>
      </c>
      <c r="AK42" s="72">
        <f t="shared" si="28"/>
        <v>0</v>
      </c>
      <c r="AL42" s="10" t="e">
        <f t="shared" si="27"/>
        <v>#DIV/0!</v>
      </c>
      <c r="AM42" s="36"/>
      <c r="AN42" s="36"/>
      <c r="AO42" s="36"/>
      <c r="AP42" s="36"/>
      <c r="AQ42" s="36"/>
      <c r="AR42" s="36"/>
      <c r="AS42" s="59">
        <f t="shared" si="18"/>
        <v>390.6</v>
      </c>
      <c r="AT42" s="59">
        <f t="shared" si="19"/>
        <v>770.4</v>
      </c>
      <c r="AU42" s="10">
        <f t="shared" si="5"/>
        <v>197.23502304147465</v>
      </c>
      <c r="AV42" s="59">
        <f t="shared" si="20"/>
        <v>-379.79999999999995</v>
      </c>
      <c r="AW42" s="16">
        <f t="shared" si="21"/>
        <v>-0.39999999999997726</v>
      </c>
      <c r="AX42" s="21">
        <f t="shared" si="9"/>
        <v>390.6</v>
      </c>
      <c r="AY42" s="21">
        <f t="shared" si="10"/>
        <v>770.4</v>
      </c>
      <c r="AZ42" s="40">
        <f t="shared" si="11"/>
        <v>-0.39999999999997726</v>
      </c>
    </row>
    <row r="43" spans="1:52" s="11" customFormat="1" ht="34.5" customHeight="1">
      <c r="A43" s="57">
        <v>34</v>
      </c>
      <c r="B43" s="14" t="s">
        <v>66</v>
      </c>
      <c r="C43" s="16">
        <f>SUM(C44:C44)</f>
        <v>5462.8</v>
      </c>
      <c r="D43" s="16">
        <f>SUM(D44:D44)</f>
        <v>6044.8</v>
      </c>
      <c r="E43" s="16">
        <f>SUM(E44:E44)</f>
        <v>4055.1</v>
      </c>
      <c r="F43" s="10">
        <f t="shared" si="0"/>
        <v>67.08410534674431</v>
      </c>
      <c r="G43" s="16">
        <f>SUM(G44:G44)</f>
        <v>1063.9</v>
      </c>
      <c r="H43" s="16">
        <f>SUM(H44:H44)</f>
        <v>5578.5</v>
      </c>
      <c r="I43" s="10">
        <f t="shared" si="1"/>
        <v>524.3443932700442</v>
      </c>
      <c r="J43" s="16">
        <f>SUM(J44:J44)</f>
        <v>600.7</v>
      </c>
      <c r="K43" s="16">
        <f>SUM(K44:K44)</f>
        <v>990.6</v>
      </c>
      <c r="L43" s="10">
        <f t="shared" si="22"/>
        <v>164.90760779091062</v>
      </c>
      <c r="M43" s="16">
        <f>SUM(M44:M44)</f>
        <v>7709.400000000001</v>
      </c>
      <c r="N43" s="16">
        <f>SUM(N44:N44)</f>
        <v>10624.2</v>
      </c>
      <c r="O43" s="10">
        <f t="shared" si="6"/>
        <v>137.80838975795783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3"/>
        <v>#DIV/0!</v>
      </c>
      <c r="Y43" s="16">
        <f>SUM(Y44:Y44)</f>
        <v>0</v>
      </c>
      <c r="Z43" s="16">
        <f>SUM(Z44:Z44)</f>
        <v>0</v>
      </c>
      <c r="AA43" s="10" t="e">
        <f t="shared" si="26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7"/>
        <v>#DIV/0!</v>
      </c>
      <c r="AM43" s="16">
        <f aca="true" t="shared" si="29" ref="AM43:AT43">SUM(AM44:AM44)</f>
        <v>0</v>
      </c>
      <c r="AN43" s="16">
        <f t="shared" si="29"/>
        <v>0</v>
      </c>
      <c r="AO43" s="16">
        <f t="shared" si="29"/>
        <v>0</v>
      </c>
      <c r="AP43" s="16">
        <f t="shared" si="29"/>
        <v>0</v>
      </c>
      <c r="AQ43" s="16">
        <f t="shared" si="29"/>
        <v>0</v>
      </c>
      <c r="AR43" s="16">
        <f t="shared" si="29"/>
        <v>0</v>
      </c>
      <c r="AS43" s="16">
        <f t="shared" si="29"/>
        <v>7709.400000000001</v>
      </c>
      <c r="AT43" s="16">
        <f t="shared" si="29"/>
        <v>10624.2</v>
      </c>
      <c r="AU43" s="10">
        <f t="shared" si="5"/>
        <v>137.80838975795783</v>
      </c>
      <c r="AV43" s="16">
        <f>SUM(AV44:AV44)</f>
        <v>-2914.8</v>
      </c>
      <c r="AW43" s="16">
        <f>SUM(AW44:AW44)</f>
        <v>2548</v>
      </c>
      <c r="AX43" s="21">
        <f t="shared" si="9"/>
        <v>7709.400000000001</v>
      </c>
      <c r="AY43" s="21">
        <f t="shared" si="10"/>
        <v>10624.2</v>
      </c>
      <c r="AZ43" s="40">
        <f t="shared" si="11"/>
        <v>2548</v>
      </c>
    </row>
    <row r="44" spans="1:52" s="11" customFormat="1" ht="34.5" customHeight="1">
      <c r="A44" s="66"/>
      <c r="B44" s="39" t="s">
        <v>67</v>
      </c>
      <c r="C44" s="13">
        <v>5462.8</v>
      </c>
      <c r="D44" s="36">
        <v>6044.8</v>
      </c>
      <c r="E44" s="67">
        <v>4055.1</v>
      </c>
      <c r="F44" s="10">
        <f t="shared" si="0"/>
        <v>67.08410534674431</v>
      </c>
      <c r="G44" s="36">
        <v>1063.9</v>
      </c>
      <c r="H44" s="36">
        <v>5578.5</v>
      </c>
      <c r="I44" s="10">
        <f t="shared" si="1"/>
        <v>524.3443932700442</v>
      </c>
      <c r="J44" s="36">
        <v>600.7</v>
      </c>
      <c r="K44" s="36">
        <v>990.6</v>
      </c>
      <c r="L44" s="10">
        <f t="shared" si="22"/>
        <v>164.90760779091062</v>
      </c>
      <c r="M44" s="72">
        <f t="shared" si="12"/>
        <v>7709.400000000001</v>
      </c>
      <c r="N44" s="72">
        <f t="shared" si="13"/>
        <v>10624.2</v>
      </c>
      <c r="O44" s="10">
        <f t="shared" si="6"/>
        <v>137.80838975795783</v>
      </c>
      <c r="P44" s="36"/>
      <c r="Q44" s="36"/>
      <c r="R44" s="10"/>
      <c r="S44" s="36"/>
      <c r="T44" s="36"/>
      <c r="U44" s="10"/>
      <c r="V44" s="36"/>
      <c r="W44" s="36"/>
      <c r="X44" s="10" t="e">
        <f t="shared" si="23"/>
        <v>#DIV/0!</v>
      </c>
      <c r="Y44" s="72">
        <f>P44+S44+V44</f>
        <v>0</v>
      </c>
      <c r="Z44" s="72">
        <f>Q44+T44+W44</f>
        <v>0</v>
      </c>
      <c r="AA44" s="10" t="e">
        <f t="shared" si="26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7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7709.400000000001</v>
      </c>
      <c r="AT44" s="59">
        <f>N44+Z44+AK44+AN44+AP44+AR44</f>
        <v>10624.2</v>
      </c>
      <c r="AU44" s="10">
        <f t="shared" si="5"/>
        <v>137.80838975795783</v>
      </c>
      <c r="AV44" s="59">
        <f t="shared" si="20"/>
        <v>-2914.8</v>
      </c>
      <c r="AW44" s="16">
        <f t="shared" si="21"/>
        <v>2548</v>
      </c>
      <c r="AX44" s="21">
        <f t="shared" si="9"/>
        <v>7709.400000000001</v>
      </c>
      <c r="AY44" s="21">
        <f t="shared" si="10"/>
        <v>10624.2</v>
      </c>
      <c r="AZ44" s="40">
        <f t="shared" si="11"/>
        <v>2548</v>
      </c>
    </row>
    <row r="45" spans="1:52" s="11" customFormat="1" ht="34.5" customHeight="1">
      <c r="A45" s="66"/>
      <c r="B45" s="14" t="s">
        <v>105</v>
      </c>
      <c r="C45" s="16">
        <f>C7+C43</f>
        <v>13839.400000000001</v>
      </c>
      <c r="D45" s="16">
        <f>D7+D43</f>
        <v>18149.699999999997</v>
      </c>
      <c r="E45" s="16">
        <f>E7+E43</f>
        <v>10183.7</v>
      </c>
      <c r="F45" s="10">
        <f t="shared" si="0"/>
        <v>56.109467374116385</v>
      </c>
      <c r="G45" s="16">
        <f>G7+G43</f>
        <v>-1087.6</v>
      </c>
      <c r="H45" s="16">
        <f>H7+H43</f>
        <v>14545.1</v>
      </c>
      <c r="I45" s="10">
        <f t="shared" si="1"/>
        <v>-1337.3574843692536</v>
      </c>
      <c r="J45" s="16">
        <f>J7+J43</f>
        <v>-716.5000000000002</v>
      </c>
      <c r="K45" s="16">
        <f>K7+K43</f>
        <v>2062.5</v>
      </c>
      <c r="L45" s="10">
        <f t="shared" si="22"/>
        <v>-287.8576413119329</v>
      </c>
      <c r="M45" s="16">
        <f>M7+M43</f>
        <v>16345.599999999999</v>
      </c>
      <c r="N45" s="16">
        <f>N7+N43</f>
        <v>26791.300000000003</v>
      </c>
      <c r="O45" s="10">
        <f t="shared" si="6"/>
        <v>163.90527114330465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3"/>
        <v>#DIV/0!</v>
      </c>
      <c r="Y45" s="16">
        <f>Y7+Y43</f>
        <v>0</v>
      </c>
      <c r="Z45" s="16">
        <f>Z7+Z43</f>
        <v>0</v>
      </c>
      <c r="AA45" s="10" t="e">
        <f t="shared" si="26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7"/>
        <v>#DIV/0!</v>
      </c>
      <c r="AM45" s="16">
        <f aca="true" t="shared" si="30" ref="AM45:AR45">AM43+AM7</f>
        <v>0</v>
      </c>
      <c r="AN45" s="16">
        <f t="shared" si="30"/>
        <v>0</v>
      </c>
      <c r="AO45" s="16">
        <f t="shared" si="30"/>
        <v>0</v>
      </c>
      <c r="AP45" s="16">
        <f t="shared" si="30"/>
        <v>0</v>
      </c>
      <c r="AQ45" s="16">
        <f t="shared" si="30"/>
        <v>0</v>
      </c>
      <c r="AR45" s="16">
        <f t="shared" si="30"/>
        <v>0</v>
      </c>
      <c r="AS45" s="68">
        <f>AS7+AS43</f>
        <v>16345.599999999999</v>
      </c>
      <c r="AT45" s="68">
        <f>AT7+AT43</f>
        <v>26791.300000000003</v>
      </c>
      <c r="AU45" s="10">
        <f>AT45/AS45*100</f>
        <v>163.90527114330465</v>
      </c>
      <c r="AV45" s="16">
        <f>AV7+AV43</f>
        <v>-10445.7</v>
      </c>
      <c r="AW45" s="16">
        <f>AW7+AW43</f>
        <v>3393.7000000000003</v>
      </c>
      <c r="AX45" s="21">
        <f t="shared" si="9"/>
        <v>16345.599999999999</v>
      </c>
      <c r="AY45" s="21">
        <f t="shared" si="10"/>
        <v>26791.300000000003</v>
      </c>
      <c r="AZ45" s="40">
        <f t="shared" si="11"/>
        <v>3393.699999999997</v>
      </c>
    </row>
    <row r="46" spans="1:51" s="113" customFormat="1" ht="54.75" customHeight="1">
      <c r="A46" s="163" t="s">
        <v>110</v>
      </c>
      <c r="B46" s="163"/>
      <c r="C46" s="163"/>
      <c r="D46" s="135"/>
      <c r="E46" s="135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109</v>
      </c>
      <c r="AY46" s="21"/>
    </row>
    <row r="47" spans="7:51" ht="1.5" customHeight="1"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7" t="s">
        <v>75</v>
      </c>
      <c r="AW47" s="178"/>
      <c r="AY47" s="21"/>
    </row>
    <row r="48" spans="2:51" ht="45.75" customHeight="1" hidden="1">
      <c r="B48" s="176" t="s">
        <v>44</v>
      </c>
      <c r="C48" s="176"/>
      <c r="D48" s="176"/>
      <c r="E48" s="176"/>
      <c r="F48" s="176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W48" s="4" t="s">
        <v>73</v>
      </c>
      <c r="AY48" s="21"/>
    </row>
    <row r="49" spans="1:51" ht="12.75" customHeight="1" hidden="1">
      <c r="A49" s="172"/>
      <c r="B49" s="172"/>
      <c r="C49" s="31"/>
      <c r="D49" s="31"/>
      <c r="E49" s="31"/>
      <c r="F49" s="31"/>
      <c r="H49" s="11"/>
      <c r="I49" s="11" t="s">
        <v>45</v>
      </c>
      <c r="K49" s="11"/>
      <c r="L49" s="11" t="s">
        <v>45</v>
      </c>
      <c r="Q49" s="11"/>
      <c r="R49" s="11" t="s">
        <v>45</v>
      </c>
      <c r="T49" s="11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S49" s="11"/>
      <c r="AT49" s="11"/>
      <c r="AV49" s="11"/>
      <c r="AY49" s="21"/>
    </row>
    <row r="50" spans="1:49" s="30" customFormat="1" ht="96.75" customHeight="1">
      <c r="A50" s="27"/>
      <c r="B50" s="173" t="s">
        <v>74</v>
      </c>
      <c r="C50" s="173"/>
      <c r="D50" s="173"/>
      <c r="E50" s="173"/>
      <c r="F50" s="173"/>
      <c r="G50" s="2"/>
      <c r="H50" s="2"/>
      <c r="I50" s="11"/>
      <c r="J50" s="2"/>
      <c r="K50" s="2"/>
      <c r="L50" s="11"/>
      <c r="M50" s="11"/>
      <c r="N50" s="11"/>
      <c r="O50" s="11"/>
      <c r="P50" s="2"/>
      <c r="Q50" s="2"/>
      <c r="R50" s="11"/>
      <c r="S50" s="2"/>
      <c r="T50" s="2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49"/>
      <c r="AF50" s="49"/>
      <c r="AG50" s="49"/>
      <c r="AH50" s="49"/>
      <c r="AI50" s="49"/>
      <c r="AJ50" s="11"/>
      <c r="AK50" s="11"/>
      <c r="AL50" s="11"/>
      <c r="AM50" s="49"/>
      <c r="AN50" s="49"/>
      <c r="AO50" s="49"/>
      <c r="AP50" s="49"/>
      <c r="AQ50" s="49"/>
      <c r="AR50" s="49"/>
      <c r="AS50" s="2"/>
      <c r="AT50" s="2"/>
      <c r="AU50" s="11"/>
      <c r="AV50" s="2"/>
      <c r="AW50" s="2"/>
    </row>
    <row r="51" spans="31:44" ht="18.75">
      <c r="AE51" s="50"/>
      <c r="AF51" s="50"/>
      <c r="AG51" s="50"/>
      <c r="AH51" s="50"/>
      <c r="AI51" s="50"/>
      <c r="AM51" s="50"/>
      <c r="AN51" s="50"/>
      <c r="AO51" s="50"/>
      <c r="AP51" s="50"/>
      <c r="AQ51" s="50"/>
      <c r="AR51" s="50"/>
    </row>
    <row r="52" spans="3:49" ht="18.75">
      <c r="C52" s="111"/>
      <c r="D52" s="18"/>
      <c r="E52" s="18"/>
      <c r="F52" s="49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3:49" ht="18.75">
      <c r="C53" s="111"/>
      <c r="D53" s="18"/>
      <c r="E53" s="18"/>
      <c r="F53" s="49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3:49" ht="18.75">
      <c r="C54" s="111"/>
      <c r="D54" s="18"/>
      <c r="E54" s="18"/>
      <c r="F54" s="49"/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7:49" ht="18.75"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3:49" ht="18.75">
      <c r="C56" s="111"/>
      <c r="D56" s="18"/>
      <c r="E56" s="18"/>
      <c r="F56" s="49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3:49" ht="18.75">
      <c r="C57" s="111"/>
      <c r="D57" s="18"/>
      <c r="E57" s="18"/>
      <c r="F57" s="49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3:49" ht="18.75">
      <c r="C58" s="111"/>
      <c r="D58" s="18"/>
      <c r="E58" s="18"/>
      <c r="F58" s="49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3:49" ht="18.75">
      <c r="C59" s="111"/>
      <c r="D59" s="18"/>
      <c r="E59" s="18"/>
      <c r="F59" s="49"/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3:49" ht="18.75">
      <c r="C60" s="111"/>
      <c r="D60" s="18"/>
      <c r="E60" s="18"/>
      <c r="F60" s="49"/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3:49" ht="18.75">
      <c r="C61" s="111"/>
      <c r="D61" s="18"/>
      <c r="E61" s="18"/>
      <c r="F61" s="49"/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3:49" ht="18.75">
      <c r="C62" s="111"/>
      <c r="D62" s="18"/>
      <c r="E62" s="18"/>
      <c r="F62" s="49"/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3:49" ht="18.75">
      <c r="C63" s="111"/>
      <c r="D63" s="18"/>
      <c r="E63" s="18"/>
      <c r="F63" s="49"/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3:49" ht="18.75">
      <c r="C64" s="111"/>
      <c r="D64" s="18"/>
      <c r="E64" s="18"/>
      <c r="F64" s="49"/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3:49" ht="18.75">
      <c r="C65" s="111"/>
      <c r="D65" s="18"/>
      <c r="E65" s="18"/>
      <c r="F65" s="49"/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3:49" ht="18.75">
      <c r="C66" s="111"/>
      <c r="D66" s="18"/>
      <c r="E66" s="18"/>
      <c r="F66" s="49"/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3:49" ht="18.75">
      <c r="C67" s="111"/>
      <c r="D67" s="18"/>
      <c r="E67" s="18"/>
      <c r="F67" s="49"/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3:49" ht="18.75">
      <c r="C68" s="111"/>
      <c r="D68" s="18"/>
      <c r="E68" s="18"/>
      <c r="F68" s="49"/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3:49" ht="18.75">
      <c r="C69" s="111"/>
      <c r="D69" s="18"/>
      <c r="E69" s="18"/>
      <c r="F69" s="49"/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3:49" ht="18.75">
      <c r="C70" s="111"/>
      <c r="D70" s="18"/>
      <c r="E70" s="18"/>
      <c r="F70" s="49"/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3:49" ht="18.75">
      <c r="C71" s="111"/>
      <c r="D71" s="18"/>
      <c r="E71" s="18"/>
      <c r="F71" s="49"/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3:49" ht="18.75">
      <c r="C72" s="111"/>
      <c r="D72" s="18"/>
      <c r="E72" s="18"/>
      <c r="F72" s="49"/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3:49" ht="18.75">
      <c r="C73" s="111"/>
      <c r="D73" s="18"/>
      <c r="E73" s="18"/>
      <c r="F73" s="49"/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3:49" ht="18.75">
      <c r="C74" s="111"/>
      <c r="D74" s="18"/>
      <c r="E74" s="18"/>
      <c r="F74" s="49"/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3:49" ht="18.75">
      <c r="C75" s="111"/>
      <c r="D75" s="18"/>
      <c r="E75" s="18"/>
      <c r="F75" s="49"/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3:49" ht="18.75">
      <c r="C76" s="111"/>
      <c r="D76" s="18"/>
      <c r="E76" s="18"/>
      <c r="F76" s="49"/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3:49" ht="18.75">
      <c r="C77" s="111"/>
      <c r="D77" s="18"/>
      <c r="E77" s="18"/>
      <c r="F77" s="49"/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3:49" ht="18.75">
      <c r="C78" s="111"/>
      <c r="D78" s="18"/>
      <c r="E78" s="18"/>
      <c r="F78" s="49"/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3:49" ht="18.75">
      <c r="C79" s="111"/>
      <c r="D79" s="18"/>
      <c r="E79" s="18"/>
      <c r="F79" s="49"/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3:49" ht="18.75">
      <c r="C80" s="111"/>
      <c r="D80" s="18"/>
      <c r="E80" s="18"/>
      <c r="F80" s="49"/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3:49" ht="18.75">
      <c r="C81" s="111"/>
      <c r="D81" s="18"/>
      <c r="E81" s="18"/>
      <c r="F81" s="49"/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3:49" ht="18.75">
      <c r="C82" s="111"/>
      <c r="D82" s="18"/>
      <c r="E82" s="18"/>
      <c r="F82" s="49"/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3:49" ht="18.75">
      <c r="C83" s="111"/>
      <c r="D83" s="18"/>
      <c r="E83" s="18"/>
      <c r="F83" s="49"/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3:49" ht="18.75">
      <c r="C84" s="111"/>
      <c r="D84" s="18"/>
      <c r="E84" s="18"/>
      <c r="F84" s="49"/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3:49" ht="18.75">
      <c r="C85" s="111"/>
      <c r="D85" s="18"/>
      <c r="E85" s="18"/>
      <c r="F85" s="49"/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3:49" ht="18.75">
      <c r="C86" s="111"/>
      <c r="D86" s="18"/>
      <c r="E86" s="18"/>
      <c r="F86" s="49"/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3:49" ht="18.75">
      <c r="C87" s="111"/>
      <c r="D87" s="18"/>
      <c r="E87" s="18"/>
      <c r="F87" s="49"/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3:49" ht="18.75">
      <c r="C88" s="111"/>
      <c r="D88" s="18"/>
      <c r="E88" s="18"/>
      <c r="F88" s="49"/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3:49" ht="18.75">
      <c r="C89" s="111"/>
      <c r="D89" s="18"/>
      <c r="E89" s="18"/>
      <c r="F89" s="49"/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3:49" ht="18.75">
      <c r="C90" s="111"/>
      <c r="D90" s="18"/>
      <c r="E90" s="18"/>
      <c r="F90" s="49"/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3:49" ht="18.75">
      <c r="C91" s="111"/>
      <c r="D91" s="18"/>
      <c r="E91" s="18"/>
      <c r="F91" s="49"/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3:49" ht="18.75">
      <c r="C92" s="111"/>
      <c r="D92" s="18"/>
      <c r="E92" s="18"/>
      <c r="F92" s="49"/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3:49" ht="18.75">
      <c r="C93" s="111"/>
      <c r="D93" s="18"/>
      <c r="E93" s="18"/>
      <c r="F93" s="49"/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3:49" ht="18.75">
      <c r="C94" s="111"/>
      <c r="D94" s="18"/>
      <c r="E94" s="18"/>
      <c r="F94" s="49"/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3:49" ht="18.75">
      <c r="C95" s="111"/>
      <c r="D95" s="18"/>
      <c r="E95" s="18"/>
      <c r="F95" s="49"/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3:49" ht="18.75">
      <c r="C96" s="111"/>
      <c r="D96" s="18"/>
      <c r="E96" s="18"/>
      <c r="F96" s="49"/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3:49" ht="18.75">
      <c r="C97" s="111"/>
      <c r="D97" s="18"/>
      <c r="E97" s="18"/>
      <c r="F97" s="49"/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  <row r="98" spans="3:6" ht="18.75">
      <c r="C98" s="111"/>
      <c r="D98" s="18"/>
      <c r="E98" s="18"/>
      <c r="F98" s="49"/>
    </row>
  </sheetData>
  <sheetProtection/>
  <mergeCells count="26">
    <mergeCell ref="I1:AW1"/>
    <mergeCell ref="B4:F4"/>
    <mergeCell ref="D5:F5"/>
    <mergeCell ref="AW5:AW6"/>
    <mergeCell ref="AO5:AP5"/>
    <mergeCell ref="A2:AW3"/>
    <mergeCell ref="J5:L5"/>
    <mergeCell ref="AE5:AG5"/>
    <mergeCell ref="AV5:AV6"/>
    <mergeCell ref="G5:I5"/>
    <mergeCell ref="AS5:AU5"/>
    <mergeCell ref="AV47:AW47"/>
    <mergeCell ref="A49:B49"/>
    <mergeCell ref="S5:U5"/>
    <mergeCell ref="M5:O5"/>
    <mergeCell ref="A46:C46"/>
    <mergeCell ref="AB5:AD5"/>
    <mergeCell ref="AQ5:AR5"/>
    <mergeCell ref="P5:R5"/>
    <mergeCell ref="V5:X5"/>
    <mergeCell ref="Y5:AA5"/>
    <mergeCell ref="B50:F50"/>
    <mergeCell ref="B48:F48"/>
    <mergeCell ref="AH5:AI5"/>
    <mergeCell ref="AM5:AN5"/>
    <mergeCell ref="AJ5:AL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G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X3" sqref="A3:IV3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84" customWidth="1"/>
    <col min="4" max="4" width="21.00390625" style="2" customWidth="1"/>
    <col min="5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customWidth="1"/>
    <col min="11" max="11" width="16.00390625" style="2" customWidth="1"/>
    <col min="12" max="12" width="11.125" style="11" customWidth="1"/>
    <col min="13" max="13" width="13.625" style="11" hidden="1" customWidth="1"/>
    <col min="14" max="14" width="12.7539062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125" style="11" hidden="1" customWidth="1"/>
    <col min="23" max="23" width="14.75390625" style="11" hidden="1" customWidth="1"/>
    <col min="24" max="24" width="11.125" style="11" hidden="1" customWidth="1"/>
    <col min="25" max="25" width="13.625" style="11" hidden="1" customWidth="1"/>
    <col min="26" max="26" width="12.75390625" style="11" hidden="1" customWidth="1"/>
    <col min="27" max="27" width="11.125" style="11" hidden="1" customWidth="1"/>
    <col min="28" max="28" width="15.125" style="11" hidden="1" customWidth="1"/>
    <col min="29" max="29" width="14.7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25390625" style="11" hidden="1" customWidth="1"/>
    <col min="35" max="35" width="11.00390625" style="11" hidden="1" customWidth="1"/>
    <col min="36" max="36" width="13.625" style="11" hidden="1" customWidth="1"/>
    <col min="37" max="37" width="12.75390625" style="11" hidden="1" customWidth="1"/>
    <col min="38" max="38" width="11.125" style="11" hidden="1" customWidth="1"/>
    <col min="39" max="39" width="13.25390625" style="11" hidden="1" customWidth="1"/>
    <col min="40" max="40" width="11.00390625" style="11" hidden="1" customWidth="1"/>
    <col min="41" max="41" width="13.25390625" style="11" hidden="1" customWidth="1"/>
    <col min="42" max="42" width="11.00390625" style="11" hidden="1" customWidth="1"/>
    <col min="43" max="43" width="13.2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9.125" style="2" customWidth="1"/>
    <col min="49" max="49" width="26.125" style="2" customWidth="1"/>
    <col min="50" max="50" width="12.25390625" style="2" customWidth="1"/>
    <col min="51" max="51" width="11.625" style="2" customWidth="1"/>
    <col min="52" max="52" width="9.75390625" style="2" customWidth="1"/>
    <col min="53" max="16384" width="6.75390625" style="2" customWidth="1"/>
  </cols>
  <sheetData>
    <row r="1" spans="9:49" ht="21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2" customFormat="1" ht="60" customHeight="1">
      <c r="A2" s="180" t="s">
        <v>122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</row>
    <row r="3" spans="1:49" s="52" customFormat="1" ht="60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</row>
    <row r="4" spans="2:49" ht="49.5" customHeight="1">
      <c r="B4" s="166"/>
      <c r="C4" s="166"/>
      <c r="D4" s="166"/>
      <c r="E4" s="166"/>
      <c r="F4" s="166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94</v>
      </c>
    </row>
    <row r="5" spans="1:49" ht="58.5" customHeight="1">
      <c r="A5" s="42" t="s">
        <v>46</v>
      </c>
      <c r="B5" s="43"/>
      <c r="C5" s="44" t="s">
        <v>1</v>
      </c>
      <c r="D5" s="169" t="s">
        <v>111</v>
      </c>
      <c r="E5" s="170"/>
      <c r="F5" s="171"/>
      <c r="G5" s="159" t="s">
        <v>114</v>
      </c>
      <c r="H5" s="160"/>
      <c r="I5" s="161"/>
      <c r="J5" s="159" t="s">
        <v>118</v>
      </c>
      <c r="K5" s="160"/>
      <c r="L5" s="161"/>
      <c r="M5" s="159" t="s">
        <v>90</v>
      </c>
      <c r="N5" s="160"/>
      <c r="O5" s="161"/>
      <c r="P5" s="159" t="s">
        <v>79</v>
      </c>
      <c r="Q5" s="160"/>
      <c r="R5" s="161"/>
      <c r="S5" s="159" t="s">
        <v>80</v>
      </c>
      <c r="T5" s="160"/>
      <c r="U5" s="161"/>
      <c r="V5" s="159" t="s">
        <v>81</v>
      </c>
      <c r="W5" s="160"/>
      <c r="X5" s="161"/>
      <c r="Y5" s="159" t="s">
        <v>91</v>
      </c>
      <c r="Z5" s="160"/>
      <c r="AA5" s="161"/>
      <c r="AB5" s="159" t="s">
        <v>82</v>
      </c>
      <c r="AC5" s="160"/>
      <c r="AD5" s="161"/>
      <c r="AE5" s="159" t="s">
        <v>83</v>
      </c>
      <c r="AF5" s="160"/>
      <c r="AG5" s="161"/>
      <c r="AH5" s="159" t="s">
        <v>84</v>
      </c>
      <c r="AI5" s="161"/>
      <c r="AJ5" s="159" t="s">
        <v>92</v>
      </c>
      <c r="AK5" s="160"/>
      <c r="AL5" s="161"/>
      <c r="AM5" s="159" t="s">
        <v>85</v>
      </c>
      <c r="AN5" s="161"/>
      <c r="AO5" s="159" t="s">
        <v>86</v>
      </c>
      <c r="AP5" s="161"/>
      <c r="AQ5" s="159" t="s">
        <v>87</v>
      </c>
      <c r="AR5" s="161"/>
      <c r="AS5" s="169" t="s">
        <v>112</v>
      </c>
      <c r="AT5" s="170"/>
      <c r="AU5" s="171"/>
      <c r="AV5" s="167" t="s">
        <v>116</v>
      </c>
      <c r="AW5" s="167" t="s">
        <v>117</v>
      </c>
    </row>
    <row r="6" spans="1:49" ht="51" customHeight="1">
      <c r="A6" s="45" t="s">
        <v>47</v>
      </c>
      <c r="B6" s="46" t="s">
        <v>106</v>
      </c>
      <c r="C6" s="41" t="s">
        <v>113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93</v>
      </c>
      <c r="AT6" s="46" t="s">
        <v>69</v>
      </c>
      <c r="AU6" s="48" t="s">
        <v>0</v>
      </c>
      <c r="AV6" s="168"/>
      <c r="AW6" s="168"/>
    </row>
    <row r="7" spans="1:52" s="11" customFormat="1" ht="34.5" customHeight="1">
      <c r="A7" s="8"/>
      <c r="B7" s="114" t="s">
        <v>107</v>
      </c>
      <c r="C7" s="55">
        <f>SUM(C8:C42)-C33-C34</f>
        <v>-127.00000000000001</v>
      </c>
      <c r="D7" s="55">
        <f>SUM(D8:D42)-D33-D34</f>
        <v>626.4999999999998</v>
      </c>
      <c r="E7" s="55">
        <f>SUM(E8:E42)-E33-E34</f>
        <v>54.2</v>
      </c>
      <c r="F7" s="10">
        <f>E7/D7*100</f>
        <v>8.651237031125303</v>
      </c>
      <c r="G7" s="55">
        <f>SUM(G8:G42)-G33-G34</f>
        <v>582.4000000000001</v>
      </c>
      <c r="H7" s="55">
        <f>SUM(H8:H42)-H33-H34</f>
        <v>291.99999999999994</v>
      </c>
      <c r="I7" s="10">
        <f aca="true" t="shared" si="0" ref="I7:I45">H7/G7*100</f>
        <v>50.137362637362614</v>
      </c>
      <c r="J7" s="55">
        <f>SUM(J8:J42)-J33-J34</f>
        <v>573.8</v>
      </c>
      <c r="K7" s="55">
        <f>SUM(K8:K42)-K33-K34</f>
        <v>745.1000000000001</v>
      </c>
      <c r="L7" s="10">
        <f>K7/J7*100</f>
        <v>129.8536075287557</v>
      </c>
      <c r="M7" s="10">
        <f>SUM(M8:M42)</f>
        <v>1782.6999999999998</v>
      </c>
      <c r="N7" s="10">
        <f>SUM(N8:N42)</f>
        <v>1091.3</v>
      </c>
      <c r="O7" s="10">
        <f>N7/M7*100</f>
        <v>61.216132832220794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1" ref="AM7:AR7">SUM(AM8:AM42)</f>
        <v>0</v>
      </c>
      <c r="AN7" s="10">
        <f t="shared" si="1"/>
        <v>0</v>
      </c>
      <c r="AO7" s="10">
        <f t="shared" si="1"/>
        <v>0</v>
      </c>
      <c r="AP7" s="10">
        <f t="shared" si="1"/>
        <v>0</v>
      </c>
      <c r="AQ7" s="10">
        <f t="shared" si="1"/>
        <v>0</v>
      </c>
      <c r="AR7" s="10">
        <f t="shared" si="1"/>
        <v>0</v>
      </c>
      <c r="AS7" s="55">
        <f>SUM(AS8:AS42)-AS33-AS34</f>
        <v>1782.6999999999998</v>
      </c>
      <c r="AT7" s="55">
        <f>SUM(AT8:AT42)-AT33-AT34</f>
        <v>1091.3000000000002</v>
      </c>
      <c r="AU7" s="10">
        <f aca="true" t="shared" si="2" ref="AU7:AU44">AT7/AS7*100</f>
        <v>61.21613283222081</v>
      </c>
      <c r="AV7" s="55">
        <f>SUM(AV8:AV42)-AV33-AV34</f>
        <v>691.4</v>
      </c>
      <c r="AW7" s="55">
        <f>SUM(AW8:AW42)-AW33-AW34</f>
        <v>564.4</v>
      </c>
      <c r="AX7" s="21">
        <f>D7+G7+J7</f>
        <v>1782.6999999999998</v>
      </c>
      <c r="AY7" s="21">
        <f>E7+H7+K7</f>
        <v>1091.3000000000002</v>
      </c>
      <c r="AZ7" s="40">
        <f>C7+AX7-AY7</f>
        <v>564.3999999999996</v>
      </c>
    </row>
    <row r="8" spans="1:52" ht="34.5" customHeight="1">
      <c r="A8" s="12" t="s">
        <v>5</v>
      </c>
      <c r="B8" s="58" t="s">
        <v>49</v>
      </c>
      <c r="C8" s="85">
        <v>1.6</v>
      </c>
      <c r="D8" s="36">
        <v>38.7</v>
      </c>
      <c r="E8" s="36">
        <v>2</v>
      </c>
      <c r="F8" s="10">
        <f>E8/D8*100</f>
        <v>5.167958656330749</v>
      </c>
      <c r="G8" s="36">
        <v>37.5</v>
      </c>
      <c r="H8" s="36">
        <v>40.9</v>
      </c>
      <c r="I8" s="10">
        <f t="shared" si="0"/>
        <v>109.06666666666666</v>
      </c>
      <c r="J8" s="36">
        <v>35.1</v>
      </c>
      <c r="K8" s="36">
        <v>33.1</v>
      </c>
      <c r="L8" s="10">
        <f>K8/J8*100</f>
        <v>94.30199430199431</v>
      </c>
      <c r="M8" s="72">
        <f>D8+G8+J8</f>
        <v>111.30000000000001</v>
      </c>
      <c r="N8" s="72">
        <f>E8+H8+K8</f>
        <v>76</v>
      </c>
      <c r="O8" s="10">
        <f aca="true" t="shared" si="3" ref="O8:O45">N8/M8*100</f>
        <v>68.2839173405211</v>
      </c>
      <c r="P8" s="36"/>
      <c r="Q8" s="36"/>
      <c r="R8" s="10"/>
      <c r="S8" s="36"/>
      <c r="T8" s="36"/>
      <c r="U8" s="10"/>
      <c r="V8" s="36"/>
      <c r="W8" s="36"/>
      <c r="X8" s="10" t="e">
        <f>W8/V8*100</f>
        <v>#DIV/0!</v>
      </c>
      <c r="Y8" s="72">
        <f>P8+S8+V8</f>
        <v>0</v>
      </c>
      <c r="Z8" s="72">
        <f>Q8+T8+W8</f>
        <v>0</v>
      </c>
      <c r="AA8" s="10" t="e">
        <f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111.30000000000001</v>
      </c>
      <c r="AT8" s="59">
        <f>N8+Z8+AK8+AN8+AP8+AR8</f>
        <v>76</v>
      </c>
      <c r="AU8" s="10">
        <f t="shared" si="2"/>
        <v>68.2839173405211</v>
      </c>
      <c r="AV8" s="59">
        <f>AS8-AT8</f>
        <v>35.30000000000001</v>
      </c>
      <c r="AW8" s="16">
        <f>C8+AS8-AT8</f>
        <v>36.900000000000006</v>
      </c>
      <c r="AX8" s="21">
        <f aca="true" t="shared" si="4" ref="AX8:AX45">D8+G8+J8</f>
        <v>111.30000000000001</v>
      </c>
      <c r="AY8" s="21">
        <f aca="true" t="shared" si="5" ref="AY8:AY45">E8+H8+K8</f>
        <v>76</v>
      </c>
      <c r="AZ8" s="40">
        <f aca="true" t="shared" si="6" ref="AZ8:AZ45">C8+AX8-AY8</f>
        <v>36.900000000000006</v>
      </c>
    </row>
    <row r="9" spans="1:52" ht="34.5" customHeight="1">
      <c r="A9" s="12" t="s">
        <v>6</v>
      </c>
      <c r="B9" s="60" t="s">
        <v>65</v>
      </c>
      <c r="C9" s="85">
        <v>-0.2</v>
      </c>
      <c r="D9" s="36">
        <v>2.1</v>
      </c>
      <c r="E9" s="36">
        <v>0.7</v>
      </c>
      <c r="F9" s="10">
        <f aca="true" t="shared" si="7" ref="F9:F27">E9/D9*100</f>
        <v>33.33333333333333</v>
      </c>
      <c r="G9" s="36">
        <v>2.4</v>
      </c>
      <c r="H9" s="36">
        <v>1.8</v>
      </c>
      <c r="I9" s="10">
        <f t="shared" si="0"/>
        <v>75</v>
      </c>
      <c r="J9" s="36">
        <v>2.4</v>
      </c>
      <c r="K9" s="36">
        <v>2.7</v>
      </c>
      <c r="L9" s="10">
        <f>K9/J9*100</f>
        <v>112.50000000000003</v>
      </c>
      <c r="M9" s="72">
        <f aca="true" t="shared" si="8" ref="M9:M44">D9+G9+J9</f>
        <v>6.9</v>
      </c>
      <c r="N9" s="72">
        <f aca="true" t="shared" si="9" ref="N9:N44">E9+H9+K9</f>
        <v>5.2</v>
      </c>
      <c r="O9" s="10">
        <f t="shared" si="3"/>
        <v>75.36231884057972</v>
      </c>
      <c r="P9" s="36"/>
      <c r="Q9" s="36"/>
      <c r="R9" s="10"/>
      <c r="S9" s="36"/>
      <c r="T9" s="36"/>
      <c r="U9" s="10"/>
      <c r="V9" s="36"/>
      <c r="W9" s="36"/>
      <c r="X9" s="10" t="e">
        <f>W9/V9*100</f>
        <v>#DIV/0!</v>
      </c>
      <c r="Y9" s="72">
        <f>P9+S9+V9</f>
        <v>0</v>
      </c>
      <c r="Z9" s="72">
        <f>Q9+T9+W9</f>
        <v>0</v>
      </c>
      <c r="AA9" s="10" t="e">
        <f>Z9/Y9*100</f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0" ref="AJ9:AJ42">AB9+AE9+AH9</f>
        <v>0</v>
      </c>
      <c r="AK9" s="72">
        <f aca="true" t="shared" si="11" ref="AK9:AK42">AC9+AF9+AI9</f>
        <v>0</v>
      </c>
      <c r="AL9" s="10" t="e">
        <f>AK9/AJ9*100</f>
        <v>#DIV/0!</v>
      </c>
      <c r="AM9" s="36"/>
      <c r="AN9" s="36"/>
      <c r="AO9" s="36"/>
      <c r="AP9" s="36"/>
      <c r="AQ9" s="36"/>
      <c r="AR9" s="36"/>
      <c r="AS9" s="59">
        <f aca="true" t="shared" si="12" ref="AS9:AS28">M9+Y9+AJ9+AM9+AO9+AQ9</f>
        <v>6.9</v>
      </c>
      <c r="AT9" s="59">
        <f aca="true" t="shared" si="13" ref="AT9:AT28">N9+Z9+AK9+AN9+AP9+AR9</f>
        <v>5.2</v>
      </c>
      <c r="AU9" s="10">
        <f t="shared" si="2"/>
        <v>75.36231884057972</v>
      </c>
      <c r="AV9" s="59">
        <f aca="true" t="shared" si="14" ref="AV9:AV27">AS9-AT9</f>
        <v>1.7000000000000002</v>
      </c>
      <c r="AW9" s="16">
        <f aca="true" t="shared" si="15" ref="AW9:AW27">C9+AS9-AT9</f>
        <v>1.5</v>
      </c>
      <c r="AX9" s="21">
        <f t="shared" si="4"/>
        <v>6.9</v>
      </c>
      <c r="AY9" s="21">
        <f t="shared" si="5"/>
        <v>5.2</v>
      </c>
      <c r="AZ9" s="40">
        <f t="shared" si="6"/>
        <v>1.5</v>
      </c>
    </row>
    <row r="10" spans="1:52" ht="34.5" customHeight="1">
      <c r="A10" s="12" t="s">
        <v>7</v>
      </c>
      <c r="B10" s="62" t="s">
        <v>95</v>
      </c>
      <c r="C10" s="85"/>
      <c r="D10" s="36"/>
      <c r="E10" s="36"/>
      <c r="F10" s="86" t="e">
        <f t="shared" si="7"/>
        <v>#DIV/0!</v>
      </c>
      <c r="G10" s="125"/>
      <c r="H10" s="125"/>
      <c r="I10" s="86" t="e">
        <f t="shared" si="0"/>
        <v>#DIV/0!</v>
      </c>
      <c r="J10" s="125"/>
      <c r="K10" s="125"/>
      <c r="L10" s="86"/>
      <c r="M10" s="126"/>
      <c r="N10" s="126"/>
      <c r="O10" s="86"/>
      <c r="P10" s="125"/>
      <c r="Q10" s="125"/>
      <c r="R10" s="86"/>
      <c r="S10" s="125"/>
      <c r="T10" s="125"/>
      <c r="U10" s="86"/>
      <c r="V10" s="125"/>
      <c r="W10" s="125"/>
      <c r="X10" s="86"/>
      <c r="Y10" s="126"/>
      <c r="Z10" s="126"/>
      <c r="AA10" s="86"/>
      <c r="AB10" s="125"/>
      <c r="AC10" s="125"/>
      <c r="AD10" s="86"/>
      <c r="AE10" s="125"/>
      <c r="AF10" s="125"/>
      <c r="AG10" s="86"/>
      <c r="AH10" s="125"/>
      <c r="AI10" s="125"/>
      <c r="AJ10" s="126"/>
      <c r="AK10" s="126"/>
      <c r="AL10" s="86"/>
      <c r="AM10" s="125"/>
      <c r="AN10" s="125"/>
      <c r="AO10" s="125"/>
      <c r="AP10" s="125"/>
      <c r="AQ10" s="125"/>
      <c r="AR10" s="125"/>
      <c r="AS10" s="126">
        <f t="shared" si="12"/>
        <v>0</v>
      </c>
      <c r="AT10" s="126">
        <f t="shared" si="13"/>
        <v>0</v>
      </c>
      <c r="AU10" s="86" t="e">
        <f t="shared" si="2"/>
        <v>#DIV/0!</v>
      </c>
      <c r="AV10" s="126">
        <f t="shared" si="14"/>
        <v>0</v>
      </c>
      <c r="AW10" s="127">
        <f t="shared" si="15"/>
        <v>0</v>
      </c>
      <c r="AX10" s="21">
        <f t="shared" si="4"/>
        <v>0</v>
      </c>
      <c r="AY10" s="21">
        <f t="shared" si="5"/>
        <v>0</v>
      </c>
      <c r="AZ10" s="40">
        <f t="shared" si="6"/>
        <v>0</v>
      </c>
    </row>
    <row r="11" spans="1:52" ht="34.5" customHeight="1">
      <c r="A11" s="12" t="s">
        <v>8</v>
      </c>
      <c r="B11" s="58" t="s">
        <v>50</v>
      </c>
      <c r="C11" s="85">
        <v>-13.1</v>
      </c>
      <c r="D11" s="36">
        <v>3.6</v>
      </c>
      <c r="E11" s="36">
        <v>0.9</v>
      </c>
      <c r="F11" s="10">
        <f t="shared" si="7"/>
        <v>25</v>
      </c>
      <c r="G11" s="36">
        <v>6.3</v>
      </c>
      <c r="H11" s="36">
        <v>4.7</v>
      </c>
      <c r="I11" s="10">
        <f t="shared" si="0"/>
        <v>74.60317460317461</v>
      </c>
      <c r="J11" s="36">
        <v>7</v>
      </c>
      <c r="K11" s="36">
        <v>6.1</v>
      </c>
      <c r="L11" s="10">
        <f aca="true" t="shared" si="16" ref="L11:L19">K11/J11*100</f>
        <v>87.14285714285714</v>
      </c>
      <c r="M11" s="72">
        <f t="shared" si="8"/>
        <v>16.9</v>
      </c>
      <c r="N11" s="72">
        <f t="shared" si="9"/>
        <v>11.7</v>
      </c>
      <c r="O11" s="10">
        <f t="shared" si="3"/>
        <v>69.23076923076923</v>
      </c>
      <c r="P11" s="36"/>
      <c r="Q11" s="36"/>
      <c r="R11" s="10"/>
      <c r="S11" s="36"/>
      <c r="T11" s="36"/>
      <c r="U11" s="10"/>
      <c r="V11" s="36"/>
      <c r="W11" s="36"/>
      <c r="X11" s="10" t="e">
        <f aca="true" t="shared" si="17" ref="X11:X19">W11/V11*100</f>
        <v>#DIV/0!</v>
      </c>
      <c r="Y11" s="72">
        <f aca="true" t="shared" si="18" ref="Y11:Y19">P11+S11+V11</f>
        <v>0</v>
      </c>
      <c r="Z11" s="72">
        <f aca="true" t="shared" si="19" ref="Z11:Z19">Q11+T11+W11</f>
        <v>0</v>
      </c>
      <c r="AA11" s="10" t="e">
        <f aca="true" t="shared" si="20" ref="AA11:AA19">Z11/Y11*100</f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0"/>
        <v>0</v>
      </c>
      <c r="AK11" s="72">
        <f t="shared" si="11"/>
        <v>0</v>
      </c>
      <c r="AL11" s="10" t="e">
        <f aca="true" t="shared" si="21" ref="AL11:AL19">AK11/AJ11*100</f>
        <v>#DIV/0!</v>
      </c>
      <c r="AM11" s="36"/>
      <c r="AN11" s="36"/>
      <c r="AO11" s="36"/>
      <c r="AP11" s="36"/>
      <c r="AQ11" s="36"/>
      <c r="AR11" s="36"/>
      <c r="AS11" s="59">
        <f t="shared" si="12"/>
        <v>16.9</v>
      </c>
      <c r="AT11" s="59">
        <f t="shared" si="13"/>
        <v>11.7</v>
      </c>
      <c r="AU11" s="10">
        <f t="shared" si="2"/>
        <v>69.23076923076923</v>
      </c>
      <c r="AV11" s="59">
        <f t="shared" si="14"/>
        <v>5.199999999999999</v>
      </c>
      <c r="AW11" s="16">
        <f t="shared" si="15"/>
        <v>-7.9</v>
      </c>
      <c r="AX11" s="21">
        <f t="shared" si="4"/>
        <v>16.9</v>
      </c>
      <c r="AY11" s="21">
        <f t="shared" si="5"/>
        <v>11.7</v>
      </c>
      <c r="AZ11" s="40">
        <f t="shared" si="6"/>
        <v>-7.9</v>
      </c>
    </row>
    <row r="12" spans="1:52" ht="34.5" customHeight="1">
      <c r="A12" s="12" t="s">
        <v>9</v>
      </c>
      <c r="B12" s="58" t="s">
        <v>51</v>
      </c>
      <c r="C12" s="85">
        <v>-1</v>
      </c>
      <c r="D12" s="36">
        <v>4.4</v>
      </c>
      <c r="E12" s="36">
        <v>1.8</v>
      </c>
      <c r="F12" s="10">
        <f t="shared" si="7"/>
        <v>40.90909090909091</v>
      </c>
      <c r="G12" s="36">
        <v>6.7</v>
      </c>
      <c r="H12" s="36">
        <v>5.5</v>
      </c>
      <c r="I12" s="10">
        <f t="shared" si="0"/>
        <v>82.08955223880596</v>
      </c>
      <c r="J12" s="36">
        <v>6.6</v>
      </c>
      <c r="K12" s="36">
        <v>8.5</v>
      </c>
      <c r="L12" s="10">
        <f t="shared" si="16"/>
        <v>128.78787878787878</v>
      </c>
      <c r="M12" s="72">
        <f t="shared" si="8"/>
        <v>17.700000000000003</v>
      </c>
      <c r="N12" s="72">
        <f t="shared" si="9"/>
        <v>15.8</v>
      </c>
      <c r="O12" s="10">
        <f t="shared" si="3"/>
        <v>89.26553672316383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17"/>
        <v>#DIV/0!</v>
      </c>
      <c r="Y12" s="72">
        <f t="shared" si="18"/>
        <v>0</v>
      </c>
      <c r="Z12" s="72">
        <f t="shared" si="19"/>
        <v>0</v>
      </c>
      <c r="AA12" s="10" t="e">
        <f t="shared" si="20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0"/>
        <v>0</v>
      </c>
      <c r="AK12" s="72">
        <f t="shared" si="11"/>
        <v>0</v>
      </c>
      <c r="AL12" s="10" t="e">
        <f t="shared" si="21"/>
        <v>#DIV/0!</v>
      </c>
      <c r="AM12" s="36"/>
      <c r="AN12" s="36"/>
      <c r="AO12" s="36"/>
      <c r="AP12" s="36"/>
      <c r="AQ12" s="36"/>
      <c r="AR12" s="36"/>
      <c r="AS12" s="59">
        <f t="shared" si="12"/>
        <v>17.700000000000003</v>
      </c>
      <c r="AT12" s="59">
        <f t="shared" si="13"/>
        <v>15.8</v>
      </c>
      <c r="AU12" s="10">
        <f t="shared" si="2"/>
        <v>89.26553672316383</v>
      </c>
      <c r="AV12" s="59">
        <f t="shared" si="14"/>
        <v>1.9000000000000021</v>
      </c>
      <c r="AW12" s="16">
        <f t="shared" si="15"/>
        <v>0.9000000000000021</v>
      </c>
      <c r="AX12" s="21">
        <f t="shared" si="4"/>
        <v>17.700000000000003</v>
      </c>
      <c r="AY12" s="21">
        <f t="shared" si="5"/>
        <v>15.8</v>
      </c>
      <c r="AZ12" s="40">
        <f t="shared" si="6"/>
        <v>0.9000000000000021</v>
      </c>
    </row>
    <row r="13" spans="1:52" ht="34.5" customHeight="1">
      <c r="A13" s="12" t="s">
        <v>10</v>
      </c>
      <c r="B13" s="58" t="s">
        <v>52</v>
      </c>
      <c r="C13" s="85">
        <v>-5.9</v>
      </c>
      <c r="D13" s="36">
        <v>7.6</v>
      </c>
      <c r="E13" s="36">
        <v>2.2</v>
      </c>
      <c r="F13" s="10">
        <f t="shared" si="7"/>
        <v>28.947368421052634</v>
      </c>
      <c r="G13" s="36">
        <v>7.7</v>
      </c>
      <c r="H13" s="36">
        <v>5</v>
      </c>
      <c r="I13" s="10">
        <f t="shared" si="0"/>
        <v>64.93506493506493</v>
      </c>
      <c r="J13" s="36">
        <v>8.5</v>
      </c>
      <c r="K13" s="36">
        <v>6.8</v>
      </c>
      <c r="L13" s="10">
        <f t="shared" si="16"/>
        <v>80</v>
      </c>
      <c r="M13" s="72">
        <f t="shared" si="8"/>
        <v>23.8</v>
      </c>
      <c r="N13" s="72">
        <f t="shared" si="9"/>
        <v>14</v>
      </c>
      <c r="O13" s="10">
        <f t="shared" si="3"/>
        <v>58.82352941176471</v>
      </c>
      <c r="P13" s="36"/>
      <c r="Q13" s="36"/>
      <c r="R13" s="10"/>
      <c r="S13" s="36"/>
      <c r="T13" s="36"/>
      <c r="U13" s="10"/>
      <c r="V13" s="36"/>
      <c r="W13" s="36"/>
      <c r="X13" s="10" t="e">
        <f t="shared" si="17"/>
        <v>#DIV/0!</v>
      </c>
      <c r="Y13" s="72">
        <f t="shared" si="18"/>
        <v>0</v>
      </c>
      <c r="Z13" s="72">
        <f t="shared" si="19"/>
        <v>0</v>
      </c>
      <c r="AA13" s="10" t="e">
        <f t="shared" si="20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10"/>
        <v>0</v>
      </c>
      <c r="AK13" s="72">
        <f t="shared" si="11"/>
        <v>0</v>
      </c>
      <c r="AL13" s="10" t="e">
        <f t="shared" si="21"/>
        <v>#DIV/0!</v>
      </c>
      <c r="AM13" s="36"/>
      <c r="AN13" s="36"/>
      <c r="AO13" s="36"/>
      <c r="AP13" s="36"/>
      <c r="AQ13" s="36"/>
      <c r="AR13" s="36"/>
      <c r="AS13" s="59">
        <f t="shared" si="12"/>
        <v>23.8</v>
      </c>
      <c r="AT13" s="59">
        <f t="shared" si="13"/>
        <v>14</v>
      </c>
      <c r="AU13" s="10">
        <f t="shared" si="2"/>
        <v>58.82352941176471</v>
      </c>
      <c r="AV13" s="59">
        <f t="shared" si="14"/>
        <v>9.8</v>
      </c>
      <c r="AW13" s="16">
        <f t="shared" si="15"/>
        <v>3.8999999999999986</v>
      </c>
      <c r="AX13" s="21">
        <f t="shared" si="4"/>
        <v>23.8</v>
      </c>
      <c r="AY13" s="21">
        <f t="shared" si="5"/>
        <v>14</v>
      </c>
      <c r="AZ13" s="40">
        <f t="shared" si="6"/>
        <v>3.8999999999999986</v>
      </c>
    </row>
    <row r="14" spans="1:52" ht="34.5" customHeight="1">
      <c r="A14" s="12" t="s">
        <v>11</v>
      </c>
      <c r="B14" s="58" t="s">
        <v>96</v>
      </c>
      <c r="C14" s="85">
        <v>-0.6</v>
      </c>
      <c r="D14" s="36">
        <v>0.4</v>
      </c>
      <c r="E14" s="36">
        <v>0</v>
      </c>
      <c r="F14" s="10">
        <f t="shared" si="7"/>
        <v>0</v>
      </c>
      <c r="G14" s="36">
        <v>3</v>
      </c>
      <c r="H14" s="36">
        <v>3</v>
      </c>
      <c r="I14" s="10">
        <f t="shared" si="0"/>
        <v>100</v>
      </c>
      <c r="J14" s="36">
        <v>3</v>
      </c>
      <c r="K14" s="36">
        <v>3</v>
      </c>
      <c r="L14" s="10">
        <f t="shared" si="16"/>
        <v>100</v>
      </c>
      <c r="M14" s="72">
        <f t="shared" si="8"/>
        <v>6.4</v>
      </c>
      <c r="N14" s="72">
        <f t="shared" si="9"/>
        <v>6</v>
      </c>
      <c r="O14" s="10">
        <f t="shared" si="3"/>
        <v>93.75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17"/>
        <v>#DIV/0!</v>
      </c>
      <c r="Y14" s="72">
        <f t="shared" si="18"/>
        <v>0</v>
      </c>
      <c r="Z14" s="72">
        <f t="shared" si="19"/>
        <v>0</v>
      </c>
      <c r="AA14" s="10" t="e">
        <f t="shared" si="20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0"/>
        <v>0</v>
      </c>
      <c r="AK14" s="72">
        <f t="shared" si="11"/>
        <v>0</v>
      </c>
      <c r="AL14" s="10" t="e">
        <f t="shared" si="21"/>
        <v>#DIV/0!</v>
      </c>
      <c r="AM14" s="36"/>
      <c r="AN14" s="36"/>
      <c r="AO14" s="36"/>
      <c r="AP14" s="36"/>
      <c r="AQ14" s="36"/>
      <c r="AR14" s="36"/>
      <c r="AS14" s="59">
        <f t="shared" si="12"/>
        <v>6.4</v>
      </c>
      <c r="AT14" s="59">
        <f t="shared" si="13"/>
        <v>6</v>
      </c>
      <c r="AU14" s="10">
        <f t="shared" si="2"/>
        <v>93.75</v>
      </c>
      <c r="AV14" s="59">
        <f t="shared" si="14"/>
        <v>0.40000000000000036</v>
      </c>
      <c r="AW14" s="16">
        <f t="shared" si="15"/>
        <v>-0.1999999999999993</v>
      </c>
      <c r="AX14" s="21">
        <f t="shared" si="4"/>
        <v>6.4</v>
      </c>
      <c r="AY14" s="21">
        <f t="shared" si="5"/>
        <v>6</v>
      </c>
      <c r="AZ14" s="40">
        <f t="shared" si="6"/>
        <v>-0.1999999999999993</v>
      </c>
    </row>
    <row r="15" spans="1:52" ht="34.5" customHeight="1">
      <c r="A15" s="12" t="s">
        <v>12</v>
      </c>
      <c r="B15" s="58" t="s">
        <v>53</v>
      </c>
      <c r="C15" s="85">
        <v>-1.6</v>
      </c>
      <c r="D15" s="36">
        <v>5.7</v>
      </c>
      <c r="E15" s="36">
        <v>0</v>
      </c>
      <c r="F15" s="10">
        <f t="shared" si="7"/>
        <v>0</v>
      </c>
      <c r="G15" s="36">
        <v>11.4</v>
      </c>
      <c r="H15" s="36">
        <v>11.1</v>
      </c>
      <c r="I15" s="10">
        <f t="shared" si="0"/>
        <v>97.36842105263158</v>
      </c>
      <c r="J15" s="36">
        <v>16</v>
      </c>
      <c r="K15" s="36">
        <v>17.5</v>
      </c>
      <c r="L15" s="10">
        <f t="shared" si="16"/>
        <v>109.375</v>
      </c>
      <c r="M15" s="72">
        <f t="shared" si="8"/>
        <v>33.1</v>
      </c>
      <c r="N15" s="72">
        <f t="shared" si="9"/>
        <v>28.6</v>
      </c>
      <c r="O15" s="10">
        <f t="shared" si="3"/>
        <v>86.404833836858</v>
      </c>
      <c r="P15" s="36"/>
      <c r="Q15" s="36"/>
      <c r="R15" s="10"/>
      <c r="S15" s="36"/>
      <c r="T15" s="36"/>
      <c r="U15" s="10"/>
      <c r="V15" s="36"/>
      <c r="W15" s="36"/>
      <c r="X15" s="10" t="e">
        <f t="shared" si="17"/>
        <v>#DIV/0!</v>
      </c>
      <c r="Y15" s="72">
        <f t="shared" si="18"/>
        <v>0</v>
      </c>
      <c r="Z15" s="72">
        <f t="shared" si="19"/>
        <v>0</v>
      </c>
      <c r="AA15" s="10" t="e">
        <f t="shared" si="20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10"/>
        <v>0</v>
      </c>
      <c r="AK15" s="72">
        <f t="shared" si="11"/>
        <v>0</v>
      </c>
      <c r="AL15" s="10" t="e">
        <f t="shared" si="21"/>
        <v>#DIV/0!</v>
      </c>
      <c r="AM15" s="36"/>
      <c r="AN15" s="36"/>
      <c r="AO15" s="36"/>
      <c r="AP15" s="36"/>
      <c r="AQ15" s="36"/>
      <c r="AR15" s="36"/>
      <c r="AS15" s="59">
        <f t="shared" si="12"/>
        <v>33.1</v>
      </c>
      <c r="AT15" s="59">
        <f t="shared" si="13"/>
        <v>28.6</v>
      </c>
      <c r="AU15" s="10">
        <f t="shared" si="2"/>
        <v>86.404833836858</v>
      </c>
      <c r="AV15" s="59">
        <f t="shared" si="14"/>
        <v>4.5</v>
      </c>
      <c r="AW15" s="16">
        <f t="shared" si="15"/>
        <v>2.8999999999999986</v>
      </c>
      <c r="AX15" s="21">
        <f t="shared" si="4"/>
        <v>33.1</v>
      </c>
      <c r="AY15" s="21">
        <f t="shared" si="5"/>
        <v>28.6</v>
      </c>
      <c r="AZ15" s="40">
        <f t="shared" si="6"/>
        <v>2.8999999999999986</v>
      </c>
    </row>
    <row r="16" spans="1:52" ht="34.5" customHeight="1">
      <c r="A16" s="12" t="s">
        <v>13</v>
      </c>
      <c r="B16" s="58" t="s">
        <v>54</v>
      </c>
      <c r="C16" s="91">
        <v>0.2</v>
      </c>
      <c r="D16" s="36">
        <v>1.1</v>
      </c>
      <c r="E16" s="36">
        <v>0.1</v>
      </c>
      <c r="F16" s="10">
        <f t="shared" si="7"/>
        <v>9.090909090909092</v>
      </c>
      <c r="G16" s="36">
        <v>1.1</v>
      </c>
      <c r="H16" s="36">
        <v>0.6</v>
      </c>
      <c r="I16" s="10">
        <f t="shared" si="0"/>
        <v>54.54545454545454</v>
      </c>
      <c r="J16" s="36">
        <v>1</v>
      </c>
      <c r="K16" s="36">
        <v>1</v>
      </c>
      <c r="L16" s="10">
        <f t="shared" si="16"/>
        <v>100</v>
      </c>
      <c r="M16" s="72">
        <f t="shared" si="8"/>
        <v>3.2</v>
      </c>
      <c r="N16" s="72">
        <f t="shared" si="9"/>
        <v>1.7</v>
      </c>
      <c r="O16" s="10">
        <f t="shared" si="3"/>
        <v>53.125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17"/>
        <v>#DIV/0!</v>
      </c>
      <c r="Y16" s="72">
        <f t="shared" si="18"/>
        <v>0</v>
      </c>
      <c r="Z16" s="72">
        <f t="shared" si="19"/>
        <v>0</v>
      </c>
      <c r="AA16" s="10" t="e">
        <f t="shared" si="20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0"/>
        <v>0</v>
      </c>
      <c r="AK16" s="72">
        <f t="shared" si="11"/>
        <v>0</v>
      </c>
      <c r="AL16" s="10" t="e">
        <f t="shared" si="21"/>
        <v>#DIV/0!</v>
      </c>
      <c r="AM16" s="36"/>
      <c r="AN16" s="36"/>
      <c r="AO16" s="36"/>
      <c r="AP16" s="36"/>
      <c r="AQ16" s="36"/>
      <c r="AR16" s="36"/>
      <c r="AS16" s="59">
        <f t="shared" si="12"/>
        <v>3.2</v>
      </c>
      <c r="AT16" s="59">
        <f t="shared" si="13"/>
        <v>1.7</v>
      </c>
      <c r="AU16" s="10">
        <f t="shared" si="2"/>
        <v>53.125</v>
      </c>
      <c r="AV16" s="59">
        <f t="shared" si="14"/>
        <v>1.5000000000000002</v>
      </c>
      <c r="AW16" s="16">
        <f t="shared" si="15"/>
        <v>1.7000000000000004</v>
      </c>
      <c r="AX16" s="21">
        <f t="shared" si="4"/>
        <v>3.2</v>
      </c>
      <c r="AY16" s="21">
        <f t="shared" si="5"/>
        <v>1.7</v>
      </c>
      <c r="AZ16" s="40">
        <f t="shared" si="6"/>
        <v>1.7000000000000004</v>
      </c>
    </row>
    <row r="17" spans="1:52" ht="34.5" customHeight="1">
      <c r="A17" s="12" t="s">
        <v>14</v>
      </c>
      <c r="B17" s="62" t="s">
        <v>97</v>
      </c>
      <c r="C17" s="91">
        <v>-0.4</v>
      </c>
      <c r="D17" s="36">
        <f>0.1+0.6</f>
        <v>0.7</v>
      </c>
      <c r="E17" s="36">
        <v>0.6</v>
      </c>
      <c r="F17" s="10">
        <f t="shared" si="7"/>
        <v>85.71428571428572</v>
      </c>
      <c r="G17" s="36">
        <v>0.7</v>
      </c>
      <c r="H17" s="36">
        <v>0.6</v>
      </c>
      <c r="I17" s="10">
        <f t="shared" si="0"/>
        <v>85.71428571428572</v>
      </c>
      <c r="J17" s="36">
        <f>0.2+0.6</f>
        <v>0.8</v>
      </c>
      <c r="K17" s="36">
        <f>1+0.6</f>
        <v>1.6</v>
      </c>
      <c r="L17" s="10">
        <f t="shared" si="16"/>
        <v>200</v>
      </c>
      <c r="M17" s="72">
        <f t="shared" si="8"/>
        <v>2.2</v>
      </c>
      <c r="N17" s="72">
        <f t="shared" si="9"/>
        <v>2.8</v>
      </c>
      <c r="O17" s="10">
        <f t="shared" si="3"/>
        <v>127.27272727272725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17"/>
        <v>#DIV/0!</v>
      </c>
      <c r="Y17" s="72">
        <f t="shared" si="18"/>
        <v>0</v>
      </c>
      <c r="Z17" s="72">
        <f t="shared" si="19"/>
        <v>0</v>
      </c>
      <c r="AA17" s="10" t="e">
        <f t="shared" si="20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0"/>
        <v>0</v>
      </c>
      <c r="AK17" s="72">
        <f t="shared" si="11"/>
        <v>0</v>
      </c>
      <c r="AL17" s="10" t="e">
        <f t="shared" si="21"/>
        <v>#DIV/0!</v>
      </c>
      <c r="AM17" s="36"/>
      <c r="AN17" s="36"/>
      <c r="AO17" s="36"/>
      <c r="AP17" s="36"/>
      <c r="AQ17" s="36"/>
      <c r="AR17" s="36"/>
      <c r="AS17" s="59">
        <f t="shared" si="12"/>
        <v>2.2</v>
      </c>
      <c r="AT17" s="59">
        <f t="shared" si="13"/>
        <v>2.8</v>
      </c>
      <c r="AU17" s="10">
        <f t="shared" si="2"/>
        <v>127.27272727272725</v>
      </c>
      <c r="AV17" s="59">
        <f t="shared" si="14"/>
        <v>-0.5999999999999996</v>
      </c>
      <c r="AW17" s="16">
        <f t="shared" si="15"/>
        <v>-0.9999999999999996</v>
      </c>
      <c r="AX17" s="21">
        <f t="shared" si="4"/>
        <v>2.2</v>
      </c>
      <c r="AY17" s="21">
        <f t="shared" si="5"/>
        <v>2.8</v>
      </c>
      <c r="AZ17" s="40">
        <f t="shared" si="6"/>
        <v>-0.9999999999999996</v>
      </c>
    </row>
    <row r="18" spans="1:52" ht="34.5" customHeight="1">
      <c r="A18" s="12" t="s">
        <v>15</v>
      </c>
      <c r="B18" s="62" t="s">
        <v>55</v>
      </c>
      <c r="C18" s="85">
        <v>0.2</v>
      </c>
      <c r="D18" s="36">
        <v>2.8</v>
      </c>
      <c r="E18" s="36">
        <v>0</v>
      </c>
      <c r="F18" s="10">
        <f t="shared" si="7"/>
        <v>0</v>
      </c>
      <c r="G18" s="36">
        <v>2.9</v>
      </c>
      <c r="H18" s="36">
        <v>2.9</v>
      </c>
      <c r="I18" s="10">
        <f t="shared" si="0"/>
        <v>100</v>
      </c>
      <c r="J18" s="36">
        <v>2</v>
      </c>
      <c r="K18" s="36">
        <v>2.7</v>
      </c>
      <c r="L18" s="10">
        <f t="shared" si="16"/>
        <v>135</v>
      </c>
      <c r="M18" s="72">
        <f t="shared" si="8"/>
        <v>7.699999999999999</v>
      </c>
      <c r="N18" s="72">
        <f t="shared" si="9"/>
        <v>5.6</v>
      </c>
      <c r="O18" s="10">
        <f t="shared" si="3"/>
        <v>72.72727272727273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17"/>
        <v>#DIV/0!</v>
      </c>
      <c r="Y18" s="72">
        <f t="shared" si="18"/>
        <v>0</v>
      </c>
      <c r="Z18" s="72">
        <f t="shared" si="19"/>
        <v>0</v>
      </c>
      <c r="AA18" s="10" t="e">
        <f t="shared" si="20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0"/>
        <v>0</v>
      </c>
      <c r="AK18" s="72">
        <f t="shared" si="11"/>
        <v>0</v>
      </c>
      <c r="AL18" s="10" t="e">
        <f t="shared" si="21"/>
        <v>#DIV/0!</v>
      </c>
      <c r="AM18" s="36"/>
      <c r="AN18" s="36"/>
      <c r="AO18" s="36"/>
      <c r="AP18" s="36"/>
      <c r="AQ18" s="36"/>
      <c r="AR18" s="36"/>
      <c r="AS18" s="59">
        <f t="shared" si="12"/>
        <v>7.699999999999999</v>
      </c>
      <c r="AT18" s="59">
        <f t="shared" si="13"/>
        <v>5.6</v>
      </c>
      <c r="AU18" s="10">
        <f t="shared" si="2"/>
        <v>72.72727272727273</v>
      </c>
      <c r="AV18" s="59">
        <f t="shared" si="14"/>
        <v>2.0999999999999996</v>
      </c>
      <c r="AW18" s="16">
        <f t="shared" si="15"/>
        <v>2.3</v>
      </c>
      <c r="AX18" s="21">
        <f t="shared" si="4"/>
        <v>7.699999999999999</v>
      </c>
      <c r="AY18" s="21">
        <f t="shared" si="5"/>
        <v>5.6</v>
      </c>
      <c r="AZ18" s="40">
        <f t="shared" si="6"/>
        <v>2.3</v>
      </c>
    </row>
    <row r="19" spans="1:52" ht="34.5" customHeight="1">
      <c r="A19" s="12" t="s">
        <v>16</v>
      </c>
      <c r="B19" s="58" t="s">
        <v>56</v>
      </c>
      <c r="C19" s="85">
        <v>1</v>
      </c>
      <c r="D19" s="36">
        <v>5.3</v>
      </c>
      <c r="E19" s="36">
        <v>0.3</v>
      </c>
      <c r="F19" s="10">
        <f t="shared" si="7"/>
        <v>5.660377358490567</v>
      </c>
      <c r="G19" s="36">
        <v>5.4</v>
      </c>
      <c r="H19" s="36">
        <v>5.1</v>
      </c>
      <c r="I19" s="10">
        <f t="shared" si="0"/>
        <v>94.44444444444443</v>
      </c>
      <c r="J19" s="36">
        <v>5</v>
      </c>
      <c r="K19" s="36">
        <v>8.6</v>
      </c>
      <c r="L19" s="10">
        <f t="shared" si="16"/>
        <v>172</v>
      </c>
      <c r="M19" s="72">
        <f t="shared" si="8"/>
        <v>15.7</v>
      </c>
      <c r="N19" s="72">
        <f t="shared" si="9"/>
        <v>14</v>
      </c>
      <c r="O19" s="10">
        <f t="shared" si="3"/>
        <v>89.171974522293</v>
      </c>
      <c r="P19" s="36"/>
      <c r="Q19" s="36"/>
      <c r="R19" s="103"/>
      <c r="S19" s="36"/>
      <c r="T19" s="36"/>
      <c r="U19" s="103"/>
      <c r="V19" s="36"/>
      <c r="W19" s="36"/>
      <c r="X19" s="103" t="e">
        <f t="shared" si="17"/>
        <v>#DIV/0!</v>
      </c>
      <c r="Y19" s="72">
        <f t="shared" si="18"/>
        <v>0</v>
      </c>
      <c r="Z19" s="72">
        <f t="shared" si="19"/>
        <v>0</v>
      </c>
      <c r="AA19" s="10" t="e">
        <f t="shared" si="20"/>
        <v>#DIV/0!</v>
      </c>
      <c r="AB19" s="36"/>
      <c r="AC19" s="36"/>
      <c r="AD19" s="103"/>
      <c r="AE19" s="36"/>
      <c r="AF19" s="36"/>
      <c r="AG19" s="104"/>
      <c r="AH19" s="36"/>
      <c r="AI19" s="36"/>
      <c r="AJ19" s="72">
        <f t="shared" si="10"/>
        <v>0</v>
      </c>
      <c r="AK19" s="72">
        <f t="shared" si="11"/>
        <v>0</v>
      </c>
      <c r="AL19" s="10" t="e">
        <f t="shared" si="21"/>
        <v>#DIV/0!</v>
      </c>
      <c r="AM19" s="36"/>
      <c r="AN19" s="36"/>
      <c r="AO19" s="36"/>
      <c r="AP19" s="36"/>
      <c r="AQ19" s="36"/>
      <c r="AR19" s="36"/>
      <c r="AS19" s="59">
        <f t="shared" si="12"/>
        <v>15.7</v>
      </c>
      <c r="AT19" s="59">
        <f t="shared" si="13"/>
        <v>14</v>
      </c>
      <c r="AU19" s="10">
        <f t="shared" si="2"/>
        <v>89.171974522293</v>
      </c>
      <c r="AV19" s="59">
        <f t="shared" si="14"/>
        <v>1.6999999999999993</v>
      </c>
      <c r="AW19" s="16">
        <f t="shared" si="15"/>
        <v>2.6999999999999993</v>
      </c>
      <c r="AX19" s="21">
        <f t="shared" si="4"/>
        <v>15.7</v>
      </c>
      <c r="AY19" s="21">
        <f t="shared" si="5"/>
        <v>14</v>
      </c>
      <c r="AZ19" s="40">
        <f t="shared" si="6"/>
        <v>2.6999999999999993</v>
      </c>
    </row>
    <row r="20" spans="1:52" ht="34.5" customHeight="1">
      <c r="A20" s="12" t="s">
        <v>17</v>
      </c>
      <c r="B20" s="62" t="s">
        <v>57</v>
      </c>
      <c r="C20" s="92"/>
      <c r="D20" s="36"/>
      <c r="E20" s="36"/>
      <c r="F20" s="86" t="e">
        <f t="shared" si="7"/>
        <v>#DIV/0!</v>
      </c>
      <c r="G20" s="125"/>
      <c r="H20" s="125"/>
      <c r="I20" s="86" t="e">
        <f t="shared" si="0"/>
        <v>#DIV/0!</v>
      </c>
      <c r="J20" s="125"/>
      <c r="K20" s="125"/>
      <c r="L20" s="86"/>
      <c r="M20" s="126"/>
      <c r="N20" s="126"/>
      <c r="O20" s="86"/>
      <c r="P20" s="125"/>
      <c r="Q20" s="125"/>
      <c r="R20" s="86"/>
      <c r="S20" s="125"/>
      <c r="T20" s="125"/>
      <c r="U20" s="86"/>
      <c r="V20" s="125"/>
      <c r="W20" s="125"/>
      <c r="X20" s="86"/>
      <c r="Y20" s="126"/>
      <c r="Z20" s="126"/>
      <c r="AA20" s="86"/>
      <c r="AB20" s="125"/>
      <c r="AC20" s="125"/>
      <c r="AD20" s="86"/>
      <c r="AE20" s="125"/>
      <c r="AF20" s="125"/>
      <c r="AG20" s="86"/>
      <c r="AH20" s="125"/>
      <c r="AI20" s="125"/>
      <c r="AJ20" s="126"/>
      <c r="AK20" s="126"/>
      <c r="AL20" s="86"/>
      <c r="AM20" s="125"/>
      <c r="AN20" s="125"/>
      <c r="AO20" s="125"/>
      <c r="AP20" s="125"/>
      <c r="AQ20" s="125"/>
      <c r="AR20" s="125"/>
      <c r="AS20" s="126">
        <f t="shared" si="12"/>
        <v>0</v>
      </c>
      <c r="AT20" s="126">
        <f t="shared" si="13"/>
        <v>0</v>
      </c>
      <c r="AU20" s="86" t="e">
        <f t="shared" si="2"/>
        <v>#DIV/0!</v>
      </c>
      <c r="AV20" s="126">
        <f t="shared" si="14"/>
        <v>0</v>
      </c>
      <c r="AW20" s="127">
        <f t="shared" si="15"/>
        <v>0</v>
      </c>
      <c r="AX20" s="21">
        <f t="shared" si="4"/>
        <v>0</v>
      </c>
      <c r="AY20" s="21">
        <f t="shared" si="5"/>
        <v>0</v>
      </c>
      <c r="AZ20" s="40">
        <f t="shared" si="6"/>
        <v>0</v>
      </c>
    </row>
    <row r="21" spans="1:52" ht="34.5" customHeight="1">
      <c r="A21" s="12" t="s">
        <v>18</v>
      </c>
      <c r="B21" s="62" t="s">
        <v>58</v>
      </c>
      <c r="C21" s="89">
        <v>0</v>
      </c>
      <c r="D21" s="36">
        <v>0.5</v>
      </c>
      <c r="E21" s="36">
        <v>0.5</v>
      </c>
      <c r="F21" s="10">
        <f t="shared" si="7"/>
        <v>100</v>
      </c>
      <c r="G21" s="36">
        <v>0.4</v>
      </c>
      <c r="H21" s="36">
        <v>0.4</v>
      </c>
      <c r="I21" s="10">
        <f t="shared" si="0"/>
        <v>100</v>
      </c>
      <c r="J21" s="36">
        <v>0</v>
      </c>
      <c r="K21" s="36">
        <v>0</v>
      </c>
      <c r="L21" s="86" t="e">
        <f>K21/J21*100</f>
        <v>#DIV/0!</v>
      </c>
      <c r="M21" s="72">
        <f t="shared" si="8"/>
        <v>0.9</v>
      </c>
      <c r="N21" s="72">
        <f t="shared" si="9"/>
        <v>0.9</v>
      </c>
      <c r="O21" s="10">
        <f t="shared" si="3"/>
        <v>100</v>
      </c>
      <c r="P21" s="36"/>
      <c r="Q21" s="36"/>
      <c r="R21" s="103"/>
      <c r="S21" s="36"/>
      <c r="T21" s="36"/>
      <c r="U21" s="103"/>
      <c r="V21" s="36"/>
      <c r="W21" s="36"/>
      <c r="X21" s="103" t="e">
        <f>W21/V21*100</f>
        <v>#DIV/0!</v>
      </c>
      <c r="Y21" s="72">
        <f aca="true" t="shared" si="22" ref="Y21:Z25">P21+S21+V21</f>
        <v>0</v>
      </c>
      <c r="Z21" s="72">
        <f t="shared" si="22"/>
        <v>0</v>
      </c>
      <c r="AA21" s="10" t="e">
        <f>Z21/Y21*100</f>
        <v>#DIV/0!</v>
      </c>
      <c r="AB21" s="36"/>
      <c r="AC21" s="36"/>
      <c r="AD21" s="103"/>
      <c r="AE21" s="36"/>
      <c r="AF21" s="36"/>
      <c r="AG21" s="10"/>
      <c r="AH21" s="36"/>
      <c r="AI21" s="36"/>
      <c r="AJ21" s="72">
        <f t="shared" si="10"/>
        <v>0</v>
      </c>
      <c r="AK21" s="72">
        <f t="shared" si="11"/>
        <v>0</v>
      </c>
      <c r="AL21" s="10" t="e">
        <f>AK21/AJ21*100</f>
        <v>#DIV/0!</v>
      </c>
      <c r="AM21" s="36"/>
      <c r="AN21" s="36"/>
      <c r="AO21" s="36"/>
      <c r="AP21" s="36"/>
      <c r="AQ21" s="36"/>
      <c r="AR21" s="36"/>
      <c r="AS21" s="59">
        <f t="shared" si="12"/>
        <v>0.9</v>
      </c>
      <c r="AT21" s="59">
        <f t="shared" si="13"/>
        <v>0.9</v>
      </c>
      <c r="AU21" s="10">
        <f t="shared" si="2"/>
        <v>100</v>
      </c>
      <c r="AV21" s="59">
        <f t="shared" si="14"/>
        <v>0</v>
      </c>
      <c r="AW21" s="16">
        <f t="shared" si="15"/>
        <v>0</v>
      </c>
      <c r="AX21" s="21">
        <f t="shared" si="4"/>
        <v>0.9</v>
      </c>
      <c r="AY21" s="21">
        <f t="shared" si="5"/>
        <v>0.9</v>
      </c>
      <c r="AZ21" s="40">
        <f t="shared" si="6"/>
        <v>0</v>
      </c>
    </row>
    <row r="22" spans="1:52" ht="34.5" customHeight="1">
      <c r="A22" s="12" t="s">
        <v>19</v>
      </c>
      <c r="B22" s="62" t="s">
        <v>41</v>
      </c>
      <c r="C22" s="93">
        <v>-3.3</v>
      </c>
      <c r="D22" s="36">
        <v>3.9</v>
      </c>
      <c r="E22" s="36">
        <v>2.9</v>
      </c>
      <c r="F22" s="10">
        <f t="shared" si="7"/>
        <v>74.35897435897436</v>
      </c>
      <c r="G22" s="36">
        <v>3.9</v>
      </c>
      <c r="H22" s="36">
        <v>2.9</v>
      </c>
      <c r="I22" s="10">
        <f t="shared" si="0"/>
        <v>74.35897435897436</v>
      </c>
      <c r="J22" s="36">
        <v>3.9</v>
      </c>
      <c r="K22" s="36">
        <v>1.6</v>
      </c>
      <c r="L22" s="10">
        <f>K22/J22*100</f>
        <v>41.02564102564103</v>
      </c>
      <c r="M22" s="72">
        <f t="shared" si="8"/>
        <v>11.7</v>
      </c>
      <c r="N22" s="72">
        <f t="shared" si="9"/>
        <v>7.4</v>
      </c>
      <c r="O22" s="10">
        <f t="shared" si="3"/>
        <v>63.24786324786326</v>
      </c>
      <c r="P22" s="36"/>
      <c r="Q22" s="36"/>
      <c r="R22" s="103"/>
      <c r="S22" s="36"/>
      <c r="T22" s="36"/>
      <c r="U22" s="103"/>
      <c r="V22" s="36"/>
      <c r="W22" s="36"/>
      <c r="X22" s="103" t="e">
        <f>W22/V22*100</f>
        <v>#DIV/0!</v>
      </c>
      <c r="Y22" s="72">
        <f t="shared" si="22"/>
        <v>0</v>
      </c>
      <c r="Z22" s="72">
        <f t="shared" si="22"/>
        <v>0</v>
      </c>
      <c r="AA22" s="10" t="e">
        <f>Z22/Y22*100</f>
        <v>#DIV/0!</v>
      </c>
      <c r="AB22" s="36"/>
      <c r="AC22" s="36"/>
      <c r="AD22" s="103"/>
      <c r="AE22" s="36"/>
      <c r="AF22" s="36"/>
      <c r="AG22" s="105"/>
      <c r="AH22" s="36"/>
      <c r="AI22" s="36"/>
      <c r="AJ22" s="72">
        <f t="shared" si="10"/>
        <v>0</v>
      </c>
      <c r="AK22" s="72">
        <f t="shared" si="11"/>
        <v>0</v>
      </c>
      <c r="AL22" s="10" t="e">
        <f>AK22/AJ22*100</f>
        <v>#DIV/0!</v>
      </c>
      <c r="AM22" s="36"/>
      <c r="AN22" s="36"/>
      <c r="AO22" s="36"/>
      <c r="AP22" s="36"/>
      <c r="AQ22" s="36"/>
      <c r="AR22" s="36"/>
      <c r="AS22" s="59">
        <f t="shared" si="12"/>
        <v>11.7</v>
      </c>
      <c r="AT22" s="59">
        <f t="shared" si="13"/>
        <v>7.4</v>
      </c>
      <c r="AU22" s="10">
        <f t="shared" si="2"/>
        <v>63.24786324786326</v>
      </c>
      <c r="AV22" s="59">
        <f t="shared" si="14"/>
        <v>4.299999999999999</v>
      </c>
      <c r="AW22" s="16">
        <f t="shared" si="15"/>
        <v>0.9999999999999982</v>
      </c>
      <c r="AX22" s="21">
        <f t="shared" si="4"/>
        <v>11.7</v>
      </c>
      <c r="AY22" s="21">
        <f t="shared" si="5"/>
        <v>7.4</v>
      </c>
      <c r="AZ22" s="40">
        <f t="shared" si="6"/>
        <v>0.9999999999999982</v>
      </c>
    </row>
    <row r="23" spans="1:52" ht="34.5" customHeight="1">
      <c r="A23" s="12" t="s">
        <v>20</v>
      </c>
      <c r="B23" s="62" t="s">
        <v>98</v>
      </c>
      <c r="C23" s="85">
        <v>0</v>
      </c>
      <c r="D23" s="36">
        <v>0.9</v>
      </c>
      <c r="E23" s="36">
        <v>0.4</v>
      </c>
      <c r="F23" s="10">
        <f t="shared" si="7"/>
        <v>44.44444444444445</v>
      </c>
      <c r="G23" s="36">
        <v>0.8</v>
      </c>
      <c r="H23" s="36">
        <v>0.7</v>
      </c>
      <c r="I23" s="10">
        <f t="shared" si="0"/>
        <v>87.49999999999999</v>
      </c>
      <c r="J23" s="36">
        <v>0.8</v>
      </c>
      <c r="K23" s="36">
        <v>1</v>
      </c>
      <c r="L23" s="10">
        <f>K23/J23*100</f>
        <v>125</v>
      </c>
      <c r="M23" s="72">
        <f t="shared" si="8"/>
        <v>2.5</v>
      </c>
      <c r="N23" s="72">
        <f t="shared" si="9"/>
        <v>2.1</v>
      </c>
      <c r="O23" s="10">
        <f t="shared" si="3"/>
        <v>84.00000000000001</v>
      </c>
      <c r="P23" s="36"/>
      <c r="Q23" s="36"/>
      <c r="R23" s="10"/>
      <c r="S23" s="36"/>
      <c r="T23" s="36"/>
      <c r="U23" s="10"/>
      <c r="V23" s="36"/>
      <c r="W23" s="36"/>
      <c r="X23" s="10" t="e">
        <f>W23/V23*100</f>
        <v>#DIV/0!</v>
      </c>
      <c r="Y23" s="72">
        <f t="shared" si="22"/>
        <v>0</v>
      </c>
      <c r="Z23" s="72">
        <f t="shared" si="22"/>
        <v>0</v>
      </c>
      <c r="AA23" s="10" t="e">
        <f>Z23/Y23*100</f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0"/>
        <v>0</v>
      </c>
      <c r="AK23" s="72">
        <f t="shared" si="11"/>
        <v>0</v>
      </c>
      <c r="AL23" s="10" t="e">
        <f>AK23/AJ23*100</f>
        <v>#DIV/0!</v>
      </c>
      <c r="AM23" s="36"/>
      <c r="AN23" s="36"/>
      <c r="AO23" s="36"/>
      <c r="AP23" s="36"/>
      <c r="AQ23" s="36"/>
      <c r="AR23" s="36"/>
      <c r="AS23" s="59">
        <f t="shared" si="12"/>
        <v>2.5</v>
      </c>
      <c r="AT23" s="59">
        <f t="shared" si="13"/>
        <v>2.1</v>
      </c>
      <c r="AU23" s="10">
        <f t="shared" si="2"/>
        <v>84.00000000000001</v>
      </c>
      <c r="AV23" s="59">
        <f t="shared" si="14"/>
        <v>0.3999999999999999</v>
      </c>
      <c r="AW23" s="16">
        <f t="shared" si="15"/>
        <v>0.3999999999999999</v>
      </c>
      <c r="AX23" s="21">
        <f t="shared" si="4"/>
        <v>2.5</v>
      </c>
      <c r="AY23" s="21">
        <f t="shared" si="5"/>
        <v>2.1</v>
      </c>
      <c r="AZ23" s="40">
        <f t="shared" si="6"/>
        <v>0.3999999999999999</v>
      </c>
    </row>
    <row r="24" spans="1:52" ht="34.5" customHeight="1">
      <c r="A24" s="12" t="s">
        <v>21</v>
      </c>
      <c r="B24" s="62" t="s">
        <v>40</v>
      </c>
      <c r="C24" s="85">
        <v>0.1</v>
      </c>
      <c r="D24" s="36">
        <v>4.8</v>
      </c>
      <c r="E24" s="36">
        <v>2.2</v>
      </c>
      <c r="F24" s="10">
        <f t="shared" si="7"/>
        <v>45.833333333333336</v>
      </c>
      <c r="G24" s="36">
        <v>5.3</v>
      </c>
      <c r="H24" s="36">
        <v>6.1</v>
      </c>
      <c r="I24" s="10">
        <f t="shared" si="0"/>
        <v>115.09433962264151</v>
      </c>
      <c r="J24" s="36">
        <v>6.3</v>
      </c>
      <c r="K24" s="36">
        <v>6.5</v>
      </c>
      <c r="L24" s="10">
        <f>K24/J24*100</f>
        <v>103.17460317460319</v>
      </c>
      <c r="M24" s="72">
        <f t="shared" si="8"/>
        <v>16.4</v>
      </c>
      <c r="N24" s="72">
        <f t="shared" si="9"/>
        <v>14.8</v>
      </c>
      <c r="O24" s="10">
        <f t="shared" si="3"/>
        <v>90.24390243902441</v>
      </c>
      <c r="P24" s="36"/>
      <c r="Q24" s="36"/>
      <c r="R24" s="10"/>
      <c r="S24" s="36"/>
      <c r="T24" s="36"/>
      <c r="U24" s="10"/>
      <c r="V24" s="36"/>
      <c r="W24" s="36"/>
      <c r="X24" s="10" t="e">
        <f>W24/V24*100</f>
        <v>#DIV/0!</v>
      </c>
      <c r="Y24" s="72">
        <f t="shared" si="22"/>
        <v>0</v>
      </c>
      <c r="Z24" s="72">
        <f t="shared" si="22"/>
        <v>0</v>
      </c>
      <c r="AA24" s="10" t="e">
        <f>Z24/Y24*100</f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0"/>
        <v>0</v>
      </c>
      <c r="AK24" s="72">
        <f t="shared" si="11"/>
        <v>0</v>
      </c>
      <c r="AL24" s="10" t="e">
        <f>AK24/AJ24*100</f>
        <v>#DIV/0!</v>
      </c>
      <c r="AM24" s="36"/>
      <c r="AN24" s="36"/>
      <c r="AO24" s="36"/>
      <c r="AP24" s="36"/>
      <c r="AQ24" s="36"/>
      <c r="AR24" s="36"/>
      <c r="AS24" s="59">
        <f t="shared" si="12"/>
        <v>16.4</v>
      </c>
      <c r="AT24" s="59">
        <f t="shared" si="13"/>
        <v>14.8</v>
      </c>
      <c r="AU24" s="10">
        <f t="shared" si="2"/>
        <v>90.24390243902441</v>
      </c>
      <c r="AV24" s="59">
        <f t="shared" si="14"/>
        <v>1.5999999999999979</v>
      </c>
      <c r="AW24" s="16">
        <f t="shared" si="15"/>
        <v>1.6999999999999993</v>
      </c>
      <c r="AX24" s="21">
        <f t="shared" si="4"/>
        <v>16.4</v>
      </c>
      <c r="AY24" s="21">
        <f t="shared" si="5"/>
        <v>14.8</v>
      </c>
      <c r="AZ24" s="40">
        <f t="shared" si="6"/>
        <v>1.6999999999999993</v>
      </c>
    </row>
    <row r="25" spans="1:52" ht="34.5" customHeight="1">
      <c r="A25" s="12" t="s">
        <v>22</v>
      </c>
      <c r="B25" s="58" t="s">
        <v>43</v>
      </c>
      <c r="C25" s="85">
        <v>0.5</v>
      </c>
      <c r="D25" s="36">
        <v>5.9</v>
      </c>
      <c r="E25" s="36">
        <v>0.4</v>
      </c>
      <c r="F25" s="10">
        <f t="shared" si="7"/>
        <v>6.779661016949152</v>
      </c>
      <c r="G25" s="36">
        <v>6.1</v>
      </c>
      <c r="H25" s="36">
        <v>6</v>
      </c>
      <c r="I25" s="10">
        <f t="shared" si="0"/>
        <v>98.36065573770493</v>
      </c>
      <c r="J25" s="36">
        <v>8.4</v>
      </c>
      <c r="K25" s="36">
        <v>7.5</v>
      </c>
      <c r="L25" s="10">
        <f>K25/J25*100</f>
        <v>89.28571428571428</v>
      </c>
      <c r="M25" s="72">
        <f t="shared" si="8"/>
        <v>20.4</v>
      </c>
      <c r="N25" s="72">
        <f t="shared" si="9"/>
        <v>13.9</v>
      </c>
      <c r="O25" s="10">
        <f t="shared" si="3"/>
        <v>68.13725490196079</v>
      </c>
      <c r="P25" s="36"/>
      <c r="Q25" s="36"/>
      <c r="R25" s="10"/>
      <c r="S25" s="36"/>
      <c r="T25" s="36"/>
      <c r="U25" s="10"/>
      <c r="V25" s="36"/>
      <c r="W25" s="36"/>
      <c r="X25" s="10" t="e">
        <f>W25/V25*100</f>
        <v>#DIV/0!</v>
      </c>
      <c r="Y25" s="72">
        <f t="shared" si="22"/>
        <v>0</v>
      </c>
      <c r="Z25" s="72">
        <f t="shared" si="22"/>
        <v>0</v>
      </c>
      <c r="AA25" s="10" t="e">
        <f>Z25/Y25*100</f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0"/>
        <v>0</v>
      </c>
      <c r="AK25" s="72">
        <f t="shared" si="11"/>
        <v>0</v>
      </c>
      <c r="AL25" s="10" t="e">
        <f>AK25/AJ25*100</f>
        <v>#DIV/0!</v>
      </c>
      <c r="AM25" s="36"/>
      <c r="AN25" s="36"/>
      <c r="AO25" s="36"/>
      <c r="AP25" s="36"/>
      <c r="AQ25" s="36"/>
      <c r="AR25" s="36"/>
      <c r="AS25" s="59">
        <f t="shared" si="12"/>
        <v>20.4</v>
      </c>
      <c r="AT25" s="59">
        <f t="shared" si="13"/>
        <v>13.9</v>
      </c>
      <c r="AU25" s="10">
        <f t="shared" si="2"/>
        <v>68.13725490196079</v>
      </c>
      <c r="AV25" s="59">
        <f t="shared" si="14"/>
        <v>6.499999999999998</v>
      </c>
      <c r="AW25" s="16">
        <f t="shared" si="15"/>
        <v>6.999999999999998</v>
      </c>
      <c r="AX25" s="21">
        <f t="shared" si="4"/>
        <v>20.4</v>
      </c>
      <c r="AY25" s="21">
        <f t="shared" si="5"/>
        <v>13.9</v>
      </c>
      <c r="AZ25" s="40">
        <f t="shared" si="6"/>
        <v>6.999999999999998</v>
      </c>
    </row>
    <row r="26" spans="1:52" ht="34.5" customHeight="1">
      <c r="A26" s="12" t="s">
        <v>23</v>
      </c>
      <c r="B26" s="62" t="s">
        <v>99</v>
      </c>
      <c r="C26" s="85"/>
      <c r="D26" s="36"/>
      <c r="E26" s="36"/>
      <c r="F26" s="86" t="e">
        <f t="shared" si="7"/>
        <v>#DIV/0!</v>
      </c>
      <c r="G26" s="125"/>
      <c r="H26" s="125"/>
      <c r="I26" s="86" t="e">
        <f t="shared" si="0"/>
        <v>#DIV/0!</v>
      </c>
      <c r="J26" s="125"/>
      <c r="K26" s="125"/>
      <c r="L26" s="86"/>
      <c r="M26" s="126">
        <f t="shared" si="8"/>
        <v>0</v>
      </c>
      <c r="N26" s="126">
        <f t="shared" si="9"/>
        <v>0</v>
      </c>
      <c r="O26" s="86" t="e">
        <f t="shared" si="3"/>
        <v>#DIV/0!</v>
      </c>
      <c r="P26" s="125"/>
      <c r="Q26" s="125"/>
      <c r="R26" s="86"/>
      <c r="S26" s="125"/>
      <c r="T26" s="125"/>
      <c r="U26" s="86"/>
      <c r="V26" s="125"/>
      <c r="W26" s="125"/>
      <c r="X26" s="86"/>
      <c r="Y26" s="126"/>
      <c r="Z26" s="126"/>
      <c r="AA26" s="86"/>
      <c r="AB26" s="125"/>
      <c r="AC26" s="125"/>
      <c r="AD26" s="86"/>
      <c r="AE26" s="125"/>
      <c r="AF26" s="125"/>
      <c r="AG26" s="86"/>
      <c r="AH26" s="125"/>
      <c r="AI26" s="125"/>
      <c r="AJ26" s="126"/>
      <c r="AK26" s="126"/>
      <c r="AL26" s="86"/>
      <c r="AM26" s="125"/>
      <c r="AN26" s="125"/>
      <c r="AO26" s="125"/>
      <c r="AP26" s="125"/>
      <c r="AQ26" s="125"/>
      <c r="AR26" s="125"/>
      <c r="AS26" s="126">
        <f t="shared" si="12"/>
        <v>0</v>
      </c>
      <c r="AT26" s="126">
        <f t="shared" si="13"/>
        <v>0</v>
      </c>
      <c r="AU26" s="86" t="e">
        <f t="shared" si="2"/>
        <v>#DIV/0!</v>
      </c>
      <c r="AV26" s="126">
        <f t="shared" si="14"/>
        <v>0</v>
      </c>
      <c r="AW26" s="127">
        <f t="shared" si="15"/>
        <v>0</v>
      </c>
      <c r="AX26" s="21">
        <f t="shared" si="4"/>
        <v>0</v>
      </c>
      <c r="AY26" s="21">
        <f t="shared" si="5"/>
        <v>0</v>
      </c>
      <c r="AZ26" s="40">
        <f t="shared" si="6"/>
        <v>0</v>
      </c>
    </row>
    <row r="27" spans="1:52" ht="34.5" customHeight="1">
      <c r="A27" s="12" t="s">
        <v>24</v>
      </c>
      <c r="B27" s="62" t="s">
        <v>59</v>
      </c>
      <c r="C27" s="13"/>
      <c r="D27" s="36"/>
      <c r="E27" s="36"/>
      <c r="F27" s="86" t="e">
        <f t="shared" si="7"/>
        <v>#DIV/0!</v>
      </c>
      <c r="G27" s="125"/>
      <c r="H27" s="125"/>
      <c r="I27" s="86" t="e">
        <f t="shared" si="0"/>
        <v>#DIV/0!</v>
      </c>
      <c r="J27" s="125"/>
      <c r="K27" s="125"/>
      <c r="L27" s="86"/>
      <c r="M27" s="126">
        <f t="shared" si="8"/>
        <v>0</v>
      </c>
      <c r="N27" s="126">
        <f t="shared" si="9"/>
        <v>0</v>
      </c>
      <c r="O27" s="86" t="e">
        <f t="shared" si="3"/>
        <v>#DIV/0!</v>
      </c>
      <c r="P27" s="125"/>
      <c r="Q27" s="125"/>
      <c r="R27" s="86"/>
      <c r="S27" s="125"/>
      <c r="T27" s="125"/>
      <c r="U27" s="86"/>
      <c r="V27" s="125"/>
      <c r="W27" s="125"/>
      <c r="X27" s="86"/>
      <c r="Y27" s="126"/>
      <c r="Z27" s="126"/>
      <c r="AA27" s="86"/>
      <c r="AB27" s="125"/>
      <c r="AC27" s="125"/>
      <c r="AD27" s="86"/>
      <c r="AE27" s="125"/>
      <c r="AF27" s="125"/>
      <c r="AG27" s="86"/>
      <c r="AH27" s="125"/>
      <c r="AI27" s="125"/>
      <c r="AJ27" s="126"/>
      <c r="AK27" s="126"/>
      <c r="AL27" s="86"/>
      <c r="AM27" s="125"/>
      <c r="AN27" s="125"/>
      <c r="AO27" s="125"/>
      <c r="AP27" s="125"/>
      <c r="AQ27" s="125"/>
      <c r="AR27" s="125"/>
      <c r="AS27" s="126">
        <f t="shared" si="12"/>
        <v>0</v>
      </c>
      <c r="AT27" s="126">
        <f t="shared" si="13"/>
        <v>0</v>
      </c>
      <c r="AU27" s="86" t="e">
        <f t="shared" si="2"/>
        <v>#DIV/0!</v>
      </c>
      <c r="AV27" s="126">
        <f t="shared" si="14"/>
        <v>0</v>
      </c>
      <c r="AW27" s="127">
        <f t="shared" si="15"/>
        <v>0</v>
      </c>
      <c r="AX27" s="21">
        <f t="shared" si="4"/>
        <v>0</v>
      </c>
      <c r="AY27" s="21">
        <f t="shared" si="5"/>
        <v>0</v>
      </c>
      <c r="AZ27" s="40">
        <f t="shared" si="6"/>
        <v>0</v>
      </c>
    </row>
    <row r="28" spans="1:52" ht="34.5" customHeight="1">
      <c r="A28" s="12" t="s">
        <v>25</v>
      </c>
      <c r="B28" s="115" t="s">
        <v>100</v>
      </c>
      <c r="C28" s="92">
        <v>1.9</v>
      </c>
      <c r="D28" s="36">
        <v>5.1</v>
      </c>
      <c r="E28" s="36">
        <v>1</v>
      </c>
      <c r="F28" s="10">
        <f>E28/D28*100</f>
        <v>19.607843137254903</v>
      </c>
      <c r="G28" s="36">
        <v>5.2</v>
      </c>
      <c r="H28" s="36">
        <v>4.1</v>
      </c>
      <c r="I28" s="10">
        <f t="shared" si="0"/>
        <v>78.84615384615384</v>
      </c>
      <c r="J28" s="36">
        <v>7.2</v>
      </c>
      <c r="K28" s="36">
        <v>7.9</v>
      </c>
      <c r="L28" s="61">
        <f aca="true" t="shared" si="23" ref="L28:L45">K28/J28*100</f>
        <v>109.72222222222223</v>
      </c>
      <c r="M28" s="72">
        <f t="shared" si="8"/>
        <v>17.5</v>
      </c>
      <c r="N28" s="72">
        <f t="shared" si="9"/>
        <v>13</v>
      </c>
      <c r="O28" s="10">
        <f t="shared" si="3"/>
        <v>74.28571428571429</v>
      </c>
      <c r="P28" s="36"/>
      <c r="Q28" s="36"/>
      <c r="R28" s="103"/>
      <c r="S28" s="36"/>
      <c r="T28" s="36"/>
      <c r="U28" s="103"/>
      <c r="V28" s="36"/>
      <c r="W28" s="36"/>
      <c r="X28" s="103" t="e">
        <f>W28/V28*100</f>
        <v>#DIV/0!</v>
      </c>
      <c r="Y28" s="72">
        <f>P28+S28+V28</f>
        <v>0</v>
      </c>
      <c r="Z28" s="72">
        <f>Q28+T28+W28</f>
        <v>0</v>
      </c>
      <c r="AA28" s="10" t="e">
        <f>Z28/Y28*100</f>
        <v>#DIV/0!</v>
      </c>
      <c r="AB28" s="36"/>
      <c r="AC28" s="36"/>
      <c r="AD28" s="103"/>
      <c r="AE28" s="36"/>
      <c r="AF28" s="80"/>
      <c r="AG28" s="76"/>
      <c r="AH28" s="36"/>
      <c r="AI28" s="80"/>
      <c r="AJ28" s="72">
        <f t="shared" si="10"/>
        <v>0</v>
      </c>
      <c r="AK28" s="72">
        <f t="shared" si="11"/>
        <v>0</v>
      </c>
      <c r="AL28" s="10" t="e">
        <f>AK28/AJ28*100</f>
        <v>#DIV/0!</v>
      </c>
      <c r="AM28" s="36"/>
      <c r="AN28" s="80"/>
      <c r="AO28" s="36"/>
      <c r="AP28" s="80"/>
      <c r="AQ28" s="36"/>
      <c r="AR28" s="80"/>
      <c r="AS28" s="59">
        <f t="shared" si="12"/>
        <v>17.5</v>
      </c>
      <c r="AT28" s="59">
        <f t="shared" si="13"/>
        <v>13</v>
      </c>
      <c r="AU28" s="10">
        <f t="shared" si="2"/>
        <v>74.28571428571429</v>
      </c>
      <c r="AV28" s="59">
        <f>AS28-AT28</f>
        <v>4.5</v>
      </c>
      <c r="AW28" s="16">
        <f>C28+AS28-AT28</f>
        <v>6.399999999999999</v>
      </c>
      <c r="AX28" s="21">
        <f t="shared" si="4"/>
        <v>17.5</v>
      </c>
      <c r="AY28" s="21">
        <f t="shared" si="5"/>
        <v>13</v>
      </c>
      <c r="AZ28" s="40">
        <f t="shared" si="6"/>
        <v>6.399999999999999</v>
      </c>
    </row>
    <row r="29" spans="1:52" ht="34.5" customHeight="1">
      <c r="A29" s="12" t="s">
        <v>26</v>
      </c>
      <c r="B29" s="58" t="s">
        <v>2</v>
      </c>
      <c r="C29" s="54"/>
      <c r="D29" s="63"/>
      <c r="E29" s="63"/>
      <c r="F29" s="63"/>
      <c r="G29" s="63"/>
      <c r="H29" s="63"/>
      <c r="I29" s="86" t="e">
        <f t="shared" si="0"/>
        <v>#DIV/0!</v>
      </c>
      <c r="J29" s="63"/>
      <c r="K29" s="63"/>
      <c r="L29" s="61"/>
      <c r="M29" s="72">
        <f t="shared" si="8"/>
        <v>0</v>
      </c>
      <c r="N29" s="72">
        <f t="shared" si="9"/>
        <v>0</v>
      </c>
      <c r="O29" s="10" t="e">
        <f t="shared" si="3"/>
        <v>#DIV/0!</v>
      </c>
      <c r="P29" s="63"/>
      <c r="Q29" s="63"/>
      <c r="R29" s="61"/>
      <c r="S29" s="63"/>
      <c r="T29" s="63"/>
      <c r="U29" s="61"/>
      <c r="V29" s="63"/>
      <c r="W29" s="63"/>
      <c r="X29" s="61"/>
      <c r="Y29" s="72"/>
      <c r="Z29" s="72"/>
      <c r="AA29" s="10"/>
      <c r="AB29" s="63"/>
      <c r="AC29" s="63"/>
      <c r="AD29" s="61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  <c r="AX29" s="21">
        <f t="shared" si="4"/>
        <v>0</v>
      </c>
      <c r="AY29" s="21">
        <f t="shared" si="5"/>
        <v>0</v>
      </c>
      <c r="AZ29" s="40">
        <f t="shared" si="6"/>
        <v>0</v>
      </c>
    </row>
    <row r="30" spans="1:52" ht="34.5" customHeight="1">
      <c r="A30" s="12" t="s">
        <v>27</v>
      </c>
      <c r="B30" s="62" t="s">
        <v>39</v>
      </c>
      <c r="C30" s="94">
        <v>-1.8</v>
      </c>
      <c r="D30" s="36">
        <v>2</v>
      </c>
      <c r="E30" s="36">
        <v>1</v>
      </c>
      <c r="F30" s="78">
        <f aca="true" t="shared" si="24" ref="F30:F36">E30/D30*100</f>
        <v>50</v>
      </c>
      <c r="G30" s="36">
        <v>3.1</v>
      </c>
      <c r="H30" s="36">
        <v>3</v>
      </c>
      <c r="I30" s="10">
        <f t="shared" si="0"/>
        <v>96.77419354838709</v>
      </c>
      <c r="J30" s="36">
        <v>2.6</v>
      </c>
      <c r="K30" s="36">
        <v>1.4</v>
      </c>
      <c r="L30" s="61">
        <f t="shared" si="23"/>
        <v>53.84615384615385</v>
      </c>
      <c r="M30" s="72">
        <f t="shared" si="8"/>
        <v>7.699999999999999</v>
      </c>
      <c r="N30" s="72">
        <f t="shared" si="9"/>
        <v>5.4</v>
      </c>
      <c r="O30" s="10">
        <f t="shared" si="3"/>
        <v>70.12987012987014</v>
      </c>
      <c r="P30" s="36"/>
      <c r="Q30" s="36"/>
      <c r="R30" s="103"/>
      <c r="S30" s="36"/>
      <c r="T30" s="36"/>
      <c r="U30" s="103"/>
      <c r="V30" s="36"/>
      <c r="W30" s="36"/>
      <c r="X30" s="103" t="e">
        <f aca="true" t="shared" si="25" ref="X30:X45">W30/V30*100</f>
        <v>#DIV/0!</v>
      </c>
      <c r="Y30" s="72">
        <f aca="true" t="shared" si="26" ref="Y30:Y42">P30+S30+V30</f>
        <v>0</v>
      </c>
      <c r="Z30" s="72">
        <f aca="true" t="shared" si="27" ref="Z30:Z42">Q30+T30+W30</f>
        <v>0</v>
      </c>
      <c r="AA30" s="10" t="e">
        <f aca="true" t="shared" si="28" ref="AA30:AA45">Z30/Y30*100</f>
        <v>#DIV/0!</v>
      </c>
      <c r="AB30" s="36"/>
      <c r="AC30" s="36"/>
      <c r="AD30" s="103"/>
      <c r="AE30" s="36"/>
      <c r="AF30" s="36"/>
      <c r="AG30" s="104"/>
      <c r="AH30" s="36"/>
      <c r="AI30" s="36"/>
      <c r="AJ30" s="72">
        <f t="shared" si="10"/>
        <v>0</v>
      </c>
      <c r="AK30" s="72">
        <f t="shared" si="11"/>
        <v>0</v>
      </c>
      <c r="AL30" s="10" t="e">
        <f aca="true" t="shared" si="29" ref="AL30:AL45">AK30/AJ30*100</f>
        <v>#DIV/0!</v>
      </c>
      <c r="AM30" s="36"/>
      <c r="AN30" s="36"/>
      <c r="AO30" s="36"/>
      <c r="AP30" s="36"/>
      <c r="AQ30" s="36"/>
      <c r="AR30" s="36"/>
      <c r="AS30" s="59">
        <f>M30+Y30+AJ30+AM30+AO30+AQ30</f>
        <v>7.699999999999999</v>
      </c>
      <c r="AT30" s="59">
        <f>N30+Z30+AK30+AN30+AP30+AR30</f>
        <v>5.4</v>
      </c>
      <c r="AU30" s="10">
        <f t="shared" si="2"/>
        <v>70.12987012987014</v>
      </c>
      <c r="AV30" s="59">
        <f>AS30-AT30</f>
        <v>2.299999999999999</v>
      </c>
      <c r="AW30" s="16">
        <f>C30+AS30-AT30</f>
        <v>0.4999999999999991</v>
      </c>
      <c r="AX30" s="21">
        <f t="shared" si="4"/>
        <v>7.699999999999999</v>
      </c>
      <c r="AY30" s="21">
        <f t="shared" si="5"/>
        <v>5.4</v>
      </c>
      <c r="AZ30" s="40">
        <f t="shared" si="6"/>
        <v>0.4999999999999991</v>
      </c>
    </row>
    <row r="31" spans="1:52" ht="34.5" customHeight="1">
      <c r="A31" s="12" t="s">
        <v>28</v>
      </c>
      <c r="B31" s="62" t="s">
        <v>3</v>
      </c>
      <c r="C31" s="85">
        <v>-0.6</v>
      </c>
      <c r="D31" s="36">
        <v>0.8</v>
      </c>
      <c r="E31" s="36">
        <v>0</v>
      </c>
      <c r="F31" s="78">
        <f t="shared" si="24"/>
        <v>0</v>
      </c>
      <c r="G31" s="36">
        <v>1.2</v>
      </c>
      <c r="H31" s="36">
        <v>0.6</v>
      </c>
      <c r="I31" s="10">
        <f t="shared" si="0"/>
        <v>50</v>
      </c>
      <c r="J31" s="36">
        <v>1</v>
      </c>
      <c r="K31" s="36">
        <v>1.4</v>
      </c>
      <c r="L31" s="10">
        <f t="shared" si="23"/>
        <v>140</v>
      </c>
      <c r="M31" s="72">
        <f t="shared" si="8"/>
        <v>3</v>
      </c>
      <c r="N31" s="72">
        <f t="shared" si="9"/>
        <v>2</v>
      </c>
      <c r="O31" s="10">
        <f t="shared" si="3"/>
        <v>66.66666666666666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25"/>
        <v>#DIV/0!</v>
      </c>
      <c r="Y31" s="72">
        <f t="shared" si="26"/>
        <v>0</v>
      </c>
      <c r="Z31" s="72">
        <f t="shared" si="27"/>
        <v>0</v>
      </c>
      <c r="AA31" s="10" t="e">
        <f t="shared" si="28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0"/>
        <v>0</v>
      </c>
      <c r="AK31" s="72">
        <f t="shared" si="11"/>
        <v>0</v>
      </c>
      <c r="AL31" s="10" t="e">
        <f t="shared" si="29"/>
        <v>#DIV/0!</v>
      </c>
      <c r="AM31" s="36"/>
      <c r="AN31" s="36"/>
      <c r="AO31" s="36"/>
      <c r="AP31" s="36"/>
      <c r="AQ31" s="36"/>
      <c r="AR31" s="36"/>
      <c r="AS31" s="59">
        <f>M31+Y31+AJ31+AM31+AO31+AQ31</f>
        <v>3</v>
      </c>
      <c r="AT31" s="59">
        <f>N31+Z31+AK31+AN31+AP31+AR31</f>
        <v>2</v>
      </c>
      <c r="AU31" s="10">
        <f t="shared" si="2"/>
        <v>66.66666666666666</v>
      </c>
      <c r="AV31" s="59">
        <f>AS31-AT31</f>
        <v>1</v>
      </c>
      <c r="AW31" s="16">
        <f>C31+AS31-AT31</f>
        <v>0.3999999999999999</v>
      </c>
      <c r="AX31" s="21">
        <f t="shared" si="4"/>
        <v>3</v>
      </c>
      <c r="AY31" s="21">
        <f t="shared" si="5"/>
        <v>2</v>
      </c>
      <c r="AZ31" s="40">
        <f t="shared" si="6"/>
        <v>0.3999999999999999</v>
      </c>
    </row>
    <row r="32" spans="1:52" ht="34.5" customHeight="1">
      <c r="A32" s="12" t="s">
        <v>29</v>
      </c>
      <c r="B32" s="62" t="s">
        <v>101</v>
      </c>
      <c r="C32" s="68">
        <f>SUM(C33:C34)</f>
        <v>2.5</v>
      </c>
      <c r="D32" s="68">
        <f>SUM(D33:D34)</f>
        <v>259.9</v>
      </c>
      <c r="E32" s="68">
        <f>SUM(E33:E34)</f>
        <v>11.5</v>
      </c>
      <c r="F32" s="78">
        <f t="shared" si="24"/>
        <v>4.424778761061948</v>
      </c>
      <c r="G32" s="68">
        <f>SUM(G33:G34)</f>
        <v>181.5</v>
      </c>
      <c r="H32" s="68">
        <f>SUM(H33:H34)</f>
        <v>28.9</v>
      </c>
      <c r="I32" s="10">
        <f t="shared" si="0"/>
        <v>15.922865013774103</v>
      </c>
      <c r="J32" s="68">
        <f>SUM(J33:J34)</f>
        <v>192.6</v>
      </c>
      <c r="K32" s="68">
        <f>SUM(K33:K34)</f>
        <v>414.8</v>
      </c>
      <c r="L32" s="10">
        <f t="shared" si="23"/>
        <v>215.3686396677051</v>
      </c>
      <c r="M32" s="10"/>
      <c r="N32" s="10"/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68">
        <f>SUM(AS33:AS34)</f>
        <v>634</v>
      </c>
      <c r="AT32" s="68">
        <f>SUM(AT33:AT34)</f>
        <v>455.20000000000005</v>
      </c>
      <c r="AU32" s="10">
        <f t="shared" si="2"/>
        <v>71.79810725552052</v>
      </c>
      <c r="AV32" s="68">
        <f>SUM(AV33:AV34)</f>
        <v>178.79999999999995</v>
      </c>
      <c r="AW32" s="68">
        <f>SUM(AW33:AW34)</f>
        <v>181.29999999999995</v>
      </c>
      <c r="AX32" s="21">
        <f t="shared" si="4"/>
        <v>634</v>
      </c>
      <c r="AY32" s="21">
        <f t="shared" si="5"/>
        <v>455.2</v>
      </c>
      <c r="AZ32" s="40">
        <f t="shared" si="6"/>
        <v>181.3</v>
      </c>
    </row>
    <row r="33" spans="1:52" ht="34.5" customHeight="1">
      <c r="A33" s="12"/>
      <c r="B33" s="62" t="s">
        <v>102</v>
      </c>
      <c r="C33" s="85">
        <v>2.5</v>
      </c>
      <c r="D33" s="36">
        <v>15.7</v>
      </c>
      <c r="E33" s="36">
        <v>0</v>
      </c>
      <c r="F33" s="55">
        <f t="shared" si="24"/>
        <v>0</v>
      </c>
      <c r="G33" s="36">
        <v>10.7</v>
      </c>
      <c r="H33" s="36">
        <v>15.1</v>
      </c>
      <c r="I33" s="10">
        <f t="shared" si="0"/>
        <v>141.12149532710282</v>
      </c>
      <c r="J33" s="36">
        <v>10.7</v>
      </c>
      <c r="K33" s="36">
        <v>9.5</v>
      </c>
      <c r="L33" s="10">
        <f t="shared" si="23"/>
        <v>88.78504672897198</v>
      </c>
      <c r="M33" s="72">
        <f t="shared" si="8"/>
        <v>37.099999999999994</v>
      </c>
      <c r="N33" s="72">
        <f t="shared" si="9"/>
        <v>24.6</v>
      </c>
      <c r="O33" s="10">
        <f t="shared" si="3"/>
        <v>66.30727762803235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5"/>
        <v>#DIV/0!</v>
      </c>
      <c r="Y33" s="72">
        <f t="shared" si="26"/>
        <v>0</v>
      </c>
      <c r="Z33" s="72">
        <f t="shared" si="27"/>
        <v>0</v>
      </c>
      <c r="AA33" s="10" t="e">
        <f t="shared" si="28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0"/>
        <v>0</v>
      </c>
      <c r="AK33" s="72">
        <f t="shared" si="11"/>
        <v>0</v>
      </c>
      <c r="AL33" s="10" t="e">
        <f t="shared" si="29"/>
        <v>#DIV/0!</v>
      </c>
      <c r="AM33" s="36"/>
      <c r="AN33" s="36"/>
      <c r="AO33" s="36"/>
      <c r="AP33" s="36"/>
      <c r="AQ33" s="36"/>
      <c r="AR33" s="36"/>
      <c r="AS33" s="59">
        <f aca="true" t="shared" si="30" ref="AS33:AS42">M33+Y33+AJ33+AM33+AO33+AQ33</f>
        <v>37.099999999999994</v>
      </c>
      <c r="AT33" s="59">
        <f aca="true" t="shared" si="31" ref="AT33:AT42">N33+Z33+AK33+AN33+AP33+AR33</f>
        <v>24.6</v>
      </c>
      <c r="AU33" s="10">
        <f t="shared" si="2"/>
        <v>66.30727762803235</v>
      </c>
      <c r="AV33" s="59">
        <f aca="true" t="shared" si="32" ref="AV33:AV42">AS33-AT33</f>
        <v>12.499999999999993</v>
      </c>
      <c r="AW33" s="16">
        <f aca="true" t="shared" si="33" ref="AW33:AW42">C33+AS33-AT33</f>
        <v>14.999999999999993</v>
      </c>
      <c r="AX33" s="21">
        <f t="shared" si="4"/>
        <v>37.099999999999994</v>
      </c>
      <c r="AY33" s="21">
        <f t="shared" si="5"/>
        <v>24.6</v>
      </c>
      <c r="AZ33" s="40">
        <f t="shared" si="6"/>
        <v>14.999999999999993</v>
      </c>
    </row>
    <row r="34" spans="1:52" ht="34.5" customHeight="1">
      <c r="A34" s="12"/>
      <c r="B34" s="62" t="s">
        <v>103</v>
      </c>
      <c r="C34" s="85">
        <v>0</v>
      </c>
      <c r="D34" s="36">
        <v>244.2</v>
      </c>
      <c r="E34" s="109">
        <v>11.5</v>
      </c>
      <c r="F34" s="55">
        <f t="shared" si="24"/>
        <v>4.70925470925471</v>
      </c>
      <c r="G34" s="36">
        <v>170.8</v>
      </c>
      <c r="H34" s="36">
        <v>13.8</v>
      </c>
      <c r="I34" s="10">
        <f t="shared" si="0"/>
        <v>8.079625292740046</v>
      </c>
      <c r="J34" s="36">
        <v>181.9</v>
      </c>
      <c r="K34" s="36">
        <v>405.3</v>
      </c>
      <c r="L34" s="10">
        <f t="shared" si="23"/>
        <v>222.81473336998351</v>
      </c>
      <c r="M34" s="72">
        <f t="shared" si="8"/>
        <v>596.9</v>
      </c>
      <c r="N34" s="72">
        <f t="shared" si="9"/>
        <v>430.6</v>
      </c>
      <c r="O34" s="10">
        <f t="shared" si="3"/>
        <v>72.13938683196515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5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0"/>
        <v>0</v>
      </c>
      <c r="AK34" s="72">
        <f t="shared" si="11"/>
        <v>0</v>
      </c>
      <c r="AL34" s="10" t="e">
        <f t="shared" si="29"/>
        <v>#DIV/0!</v>
      </c>
      <c r="AM34" s="36"/>
      <c r="AN34" s="36"/>
      <c r="AO34" s="36"/>
      <c r="AP34" s="36"/>
      <c r="AQ34" s="36"/>
      <c r="AR34" s="36"/>
      <c r="AS34" s="59">
        <f t="shared" si="30"/>
        <v>596.9</v>
      </c>
      <c r="AT34" s="59">
        <f t="shared" si="31"/>
        <v>430.6</v>
      </c>
      <c r="AU34" s="10">
        <f t="shared" si="2"/>
        <v>72.13938683196515</v>
      </c>
      <c r="AV34" s="59">
        <f t="shared" si="32"/>
        <v>166.29999999999995</v>
      </c>
      <c r="AW34" s="16">
        <f t="shared" si="33"/>
        <v>166.29999999999995</v>
      </c>
      <c r="AX34" s="21">
        <f t="shared" si="4"/>
        <v>596.9</v>
      </c>
      <c r="AY34" s="21">
        <f t="shared" si="5"/>
        <v>430.6</v>
      </c>
      <c r="AZ34" s="40">
        <f t="shared" si="6"/>
        <v>166.29999999999995</v>
      </c>
    </row>
    <row r="35" spans="1:52" ht="34.5" customHeight="1">
      <c r="A35" s="12" t="s">
        <v>30</v>
      </c>
      <c r="B35" s="62" t="s">
        <v>60</v>
      </c>
      <c r="C35" s="85">
        <v>-4.1</v>
      </c>
      <c r="D35" s="35">
        <v>8.8</v>
      </c>
      <c r="E35" s="110">
        <v>0</v>
      </c>
      <c r="F35" s="53">
        <f t="shared" si="24"/>
        <v>0</v>
      </c>
      <c r="G35" s="36">
        <v>9.1</v>
      </c>
      <c r="H35" s="36">
        <v>4.7</v>
      </c>
      <c r="I35" s="10">
        <f t="shared" si="0"/>
        <v>51.64835164835166</v>
      </c>
      <c r="J35" s="36">
        <v>10</v>
      </c>
      <c r="K35" s="36">
        <v>19.1</v>
      </c>
      <c r="L35" s="10">
        <f t="shared" si="23"/>
        <v>191</v>
      </c>
      <c r="M35" s="72">
        <f t="shared" si="8"/>
        <v>27.9</v>
      </c>
      <c r="N35" s="72">
        <f t="shared" si="9"/>
        <v>23.8</v>
      </c>
      <c r="O35" s="10">
        <f t="shared" si="3"/>
        <v>85.3046594982079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5"/>
        <v>#DIV/0!</v>
      </c>
      <c r="Y35" s="72">
        <f t="shared" si="26"/>
        <v>0</v>
      </c>
      <c r="Z35" s="72">
        <f t="shared" si="27"/>
        <v>0</v>
      </c>
      <c r="AA35" s="10" t="e">
        <f t="shared" si="28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0"/>
        <v>0</v>
      </c>
      <c r="AK35" s="72">
        <f t="shared" si="11"/>
        <v>0</v>
      </c>
      <c r="AL35" s="10" t="e">
        <f t="shared" si="29"/>
        <v>#DIV/0!</v>
      </c>
      <c r="AM35" s="36"/>
      <c r="AN35" s="36"/>
      <c r="AO35" s="36"/>
      <c r="AP35" s="36"/>
      <c r="AQ35" s="36"/>
      <c r="AR35" s="36"/>
      <c r="AS35" s="59">
        <f t="shared" si="30"/>
        <v>27.9</v>
      </c>
      <c r="AT35" s="59">
        <f t="shared" si="31"/>
        <v>23.8</v>
      </c>
      <c r="AU35" s="10">
        <f t="shared" si="2"/>
        <v>85.3046594982079</v>
      </c>
      <c r="AV35" s="59">
        <f t="shared" si="32"/>
        <v>4.099999999999998</v>
      </c>
      <c r="AW35" s="16">
        <f t="shared" si="33"/>
        <v>0</v>
      </c>
      <c r="AX35" s="21">
        <f t="shared" si="4"/>
        <v>27.9</v>
      </c>
      <c r="AY35" s="21">
        <f t="shared" si="5"/>
        <v>23.8</v>
      </c>
      <c r="AZ35" s="40">
        <f t="shared" si="6"/>
        <v>0</v>
      </c>
    </row>
    <row r="36" spans="1:52" ht="34.5" customHeight="1">
      <c r="A36" s="12" t="s">
        <v>31</v>
      </c>
      <c r="B36" s="116" t="s">
        <v>61</v>
      </c>
      <c r="C36" s="91">
        <v>-1.8</v>
      </c>
      <c r="D36" s="65">
        <v>4.9</v>
      </c>
      <c r="E36" s="65">
        <v>0.8</v>
      </c>
      <c r="F36" s="10">
        <f t="shared" si="24"/>
        <v>16.3265306122449</v>
      </c>
      <c r="G36" s="36">
        <v>3.5</v>
      </c>
      <c r="H36" s="36">
        <v>2.9</v>
      </c>
      <c r="I36" s="10">
        <f t="shared" si="0"/>
        <v>82.85714285714285</v>
      </c>
      <c r="J36" s="36">
        <v>3.9</v>
      </c>
      <c r="K36" s="36">
        <v>3.6</v>
      </c>
      <c r="L36" s="61">
        <f t="shared" si="23"/>
        <v>92.3076923076923</v>
      </c>
      <c r="M36" s="72">
        <f t="shared" si="8"/>
        <v>12.3</v>
      </c>
      <c r="N36" s="72">
        <f t="shared" si="9"/>
        <v>7.300000000000001</v>
      </c>
      <c r="O36" s="10">
        <f t="shared" si="3"/>
        <v>59.34959349593496</v>
      </c>
      <c r="P36" s="36"/>
      <c r="Q36" s="36"/>
      <c r="R36" s="103"/>
      <c r="S36" s="36"/>
      <c r="T36" s="36"/>
      <c r="U36" s="103"/>
      <c r="V36" s="36"/>
      <c r="W36" s="36"/>
      <c r="X36" s="103" t="e">
        <f t="shared" si="25"/>
        <v>#DIV/0!</v>
      </c>
      <c r="Y36" s="72">
        <f t="shared" si="26"/>
        <v>0</v>
      </c>
      <c r="Z36" s="72">
        <f t="shared" si="27"/>
        <v>0</v>
      </c>
      <c r="AA36" s="10" t="e">
        <f t="shared" si="28"/>
        <v>#DIV/0!</v>
      </c>
      <c r="AB36" s="36"/>
      <c r="AC36" s="36"/>
      <c r="AD36" s="103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29"/>
        <v>#DIV/0!</v>
      </c>
      <c r="AM36" s="36"/>
      <c r="AN36" s="36"/>
      <c r="AO36" s="36"/>
      <c r="AP36" s="36"/>
      <c r="AQ36" s="36"/>
      <c r="AR36" s="36"/>
      <c r="AS36" s="59">
        <f t="shared" si="30"/>
        <v>12.3</v>
      </c>
      <c r="AT36" s="59">
        <f t="shared" si="31"/>
        <v>7.300000000000001</v>
      </c>
      <c r="AU36" s="10">
        <f t="shared" si="2"/>
        <v>59.34959349593496</v>
      </c>
      <c r="AV36" s="59">
        <f t="shared" si="32"/>
        <v>5</v>
      </c>
      <c r="AW36" s="16">
        <f t="shared" si="33"/>
        <v>3.1999999999999993</v>
      </c>
      <c r="AX36" s="21">
        <f t="shared" si="4"/>
        <v>12.3</v>
      </c>
      <c r="AY36" s="21">
        <f t="shared" si="5"/>
        <v>7.300000000000001</v>
      </c>
      <c r="AZ36" s="40">
        <f t="shared" si="6"/>
        <v>3.1999999999999993</v>
      </c>
    </row>
    <row r="37" spans="1:52" ht="34.5" customHeight="1">
      <c r="A37" s="12" t="s">
        <v>32</v>
      </c>
      <c r="B37" s="117" t="s">
        <v>62</v>
      </c>
      <c r="C37" s="85">
        <v>-58.3</v>
      </c>
      <c r="D37" s="36">
        <v>41.5</v>
      </c>
      <c r="E37" s="36">
        <v>8.7</v>
      </c>
      <c r="F37" s="10">
        <f aca="true" t="shared" si="34" ref="F37:F44">E37/D37*100</f>
        <v>20.963855421686745</v>
      </c>
      <c r="G37" s="36">
        <v>41</v>
      </c>
      <c r="H37" s="36">
        <v>33.9</v>
      </c>
      <c r="I37" s="10">
        <f t="shared" si="0"/>
        <v>82.68292682926828</v>
      </c>
      <c r="J37" s="36">
        <v>24.8</v>
      </c>
      <c r="K37" s="36">
        <v>49.6</v>
      </c>
      <c r="L37" s="10">
        <f t="shared" si="23"/>
        <v>200</v>
      </c>
      <c r="M37" s="72">
        <f t="shared" si="8"/>
        <v>107.3</v>
      </c>
      <c r="N37" s="72">
        <f t="shared" si="9"/>
        <v>92.19999999999999</v>
      </c>
      <c r="O37" s="10">
        <f t="shared" si="3"/>
        <v>85.92730661696179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5"/>
        <v>#DIV/0!</v>
      </c>
      <c r="Y37" s="72">
        <f t="shared" si="26"/>
        <v>0</v>
      </c>
      <c r="Z37" s="72">
        <f t="shared" si="27"/>
        <v>0</v>
      </c>
      <c r="AA37" s="10" t="e">
        <f t="shared" si="28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0"/>
        <v>0</v>
      </c>
      <c r="AK37" s="72">
        <f t="shared" si="11"/>
        <v>0</v>
      </c>
      <c r="AL37" s="10" t="e">
        <f t="shared" si="29"/>
        <v>#DIV/0!</v>
      </c>
      <c r="AM37" s="36"/>
      <c r="AN37" s="36"/>
      <c r="AO37" s="36"/>
      <c r="AP37" s="36"/>
      <c r="AQ37" s="36"/>
      <c r="AR37" s="36"/>
      <c r="AS37" s="59">
        <f t="shared" si="30"/>
        <v>107.3</v>
      </c>
      <c r="AT37" s="59">
        <f t="shared" si="31"/>
        <v>92.19999999999999</v>
      </c>
      <c r="AU37" s="10">
        <f t="shared" si="2"/>
        <v>85.92730661696179</v>
      </c>
      <c r="AV37" s="59">
        <f t="shared" si="32"/>
        <v>15.100000000000009</v>
      </c>
      <c r="AW37" s="16">
        <f t="shared" si="33"/>
        <v>-43.19999999999999</v>
      </c>
      <c r="AX37" s="21">
        <f t="shared" si="4"/>
        <v>107.3</v>
      </c>
      <c r="AY37" s="21">
        <f t="shared" si="5"/>
        <v>92.19999999999999</v>
      </c>
      <c r="AZ37" s="40">
        <f t="shared" si="6"/>
        <v>-43.19999999999999</v>
      </c>
    </row>
    <row r="38" spans="1:52" ht="34.5" customHeight="1">
      <c r="A38" s="12" t="s">
        <v>33</v>
      </c>
      <c r="B38" s="117" t="s">
        <v>104</v>
      </c>
      <c r="C38" s="85">
        <v>-23.1</v>
      </c>
      <c r="D38" s="36">
        <v>38.3</v>
      </c>
      <c r="E38" s="36">
        <v>3.6</v>
      </c>
      <c r="F38" s="10">
        <f t="shared" si="34"/>
        <v>9.399477806788513</v>
      </c>
      <c r="G38" s="36">
        <v>38.7</v>
      </c>
      <c r="H38" s="36">
        <v>21.5</v>
      </c>
      <c r="I38" s="10">
        <f t="shared" si="0"/>
        <v>55.55555555555555</v>
      </c>
      <c r="J38" s="36">
        <v>33.5</v>
      </c>
      <c r="K38" s="36">
        <v>30.7</v>
      </c>
      <c r="L38" s="10">
        <f t="shared" si="23"/>
        <v>91.64179104477613</v>
      </c>
      <c r="M38" s="72">
        <f t="shared" si="8"/>
        <v>110.5</v>
      </c>
      <c r="N38" s="72">
        <f t="shared" si="9"/>
        <v>55.8</v>
      </c>
      <c r="O38" s="10">
        <f t="shared" si="3"/>
        <v>50.497737556561084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5"/>
        <v>#DIV/0!</v>
      </c>
      <c r="Y38" s="72">
        <f t="shared" si="26"/>
        <v>0</v>
      </c>
      <c r="Z38" s="72">
        <f t="shared" si="27"/>
        <v>0</v>
      </c>
      <c r="AA38" s="10" t="e">
        <f t="shared" si="28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0"/>
        <v>0</v>
      </c>
      <c r="AK38" s="72">
        <f t="shared" si="11"/>
        <v>0</v>
      </c>
      <c r="AL38" s="10" t="e">
        <f t="shared" si="29"/>
        <v>#DIV/0!</v>
      </c>
      <c r="AM38" s="36"/>
      <c r="AN38" s="36"/>
      <c r="AO38" s="36"/>
      <c r="AP38" s="36"/>
      <c r="AQ38" s="36"/>
      <c r="AR38" s="36"/>
      <c r="AS38" s="59">
        <f t="shared" si="30"/>
        <v>110.5</v>
      </c>
      <c r="AT38" s="59">
        <f t="shared" si="31"/>
        <v>55.8</v>
      </c>
      <c r="AU38" s="10">
        <f>AT38/AS38*100</f>
        <v>50.497737556561084</v>
      </c>
      <c r="AV38" s="59">
        <f t="shared" si="32"/>
        <v>54.7</v>
      </c>
      <c r="AW38" s="16">
        <f t="shared" si="33"/>
        <v>31.60000000000001</v>
      </c>
      <c r="AX38" s="21">
        <f t="shared" si="4"/>
        <v>110.5</v>
      </c>
      <c r="AY38" s="21">
        <f t="shared" si="5"/>
        <v>55.8</v>
      </c>
      <c r="AZ38" s="40">
        <f t="shared" si="6"/>
        <v>31.60000000000001</v>
      </c>
    </row>
    <row r="39" spans="1:52" ht="34.5" customHeight="1">
      <c r="A39" s="12" t="s">
        <v>34</v>
      </c>
      <c r="B39" s="117" t="s">
        <v>4</v>
      </c>
      <c r="C39" s="85">
        <v>-2</v>
      </c>
      <c r="D39" s="36">
        <v>52.9</v>
      </c>
      <c r="E39" s="36">
        <v>0</v>
      </c>
      <c r="F39" s="10">
        <f t="shared" si="34"/>
        <v>0</v>
      </c>
      <c r="G39" s="36">
        <v>40</v>
      </c>
      <c r="H39" s="36">
        <v>40.6</v>
      </c>
      <c r="I39" s="10">
        <f t="shared" si="0"/>
        <v>101.50000000000001</v>
      </c>
      <c r="J39" s="36">
        <v>47.1</v>
      </c>
      <c r="K39" s="36">
        <v>38.5</v>
      </c>
      <c r="L39" s="10">
        <f t="shared" si="23"/>
        <v>81.74097664543524</v>
      </c>
      <c r="M39" s="72">
        <f t="shared" si="8"/>
        <v>140</v>
      </c>
      <c r="N39" s="72">
        <f t="shared" si="9"/>
        <v>79.1</v>
      </c>
      <c r="O39" s="10">
        <f t="shared" si="3"/>
        <v>56.49999999999999</v>
      </c>
      <c r="P39" s="36"/>
      <c r="Q39" s="36"/>
      <c r="R39" s="10"/>
      <c r="S39" s="36"/>
      <c r="T39" s="36"/>
      <c r="U39" s="103"/>
      <c r="V39" s="36"/>
      <c r="W39" s="36"/>
      <c r="X39" s="103" t="e">
        <f t="shared" si="25"/>
        <v>#DIV/0!</v>
      </c>
      <c r="Y39" s="72">
        <f t="shared" si="26"/>
        <v>0</v>
      </c>
      <c r="Z39" s="72">
        <f t="shared" si="27"/>
        <v>0</v>
      </c>
      <c r="AA39" s="10" t="e">
        <f t="shared" si="28"/>
        <v>#DIV/0!</v>
      </c>
      <c r="AB39" s="36"/>
      <c r="AC39" s="36"/>
      <c r="AD39" s="103"/>
      <c r="AE39" s="36"/>
      <c r="AF39" s="36"/>
      <c r="AG39" s="10"/>
      <c r="AH39" s="36"/>
      <c r="AI39" s="36"/>
      <c r="AJ39" s="72">
        <f t="shared" si="10"/>
        <v>0</v>
      </c>
      <c r="AK39" s="72">
        <f t="shared" si="11"/>
        <v>0</v>
      </c>
      <c r="AL39" s="10" t="e">
        <f t="shared" si="29"/>
        <v>#DIV/0!</v>
      </c>
      <c r="AM39" s="36"/>
      <c r="AN39" s="36"/>
      <c r="AO39" s="36"/>
      <c r="AP39" s="36"/>
      <c r="AQ39" s="36"/>
      <c r="AR39" s="36"/>
      <c r="AS39" s="59">
        <f t="shared" si="30"/>
        <v>140</v>
      </c>
      <c r="AT39" s="59">
        <f t="shared" si="31"/>
        <v>79.1</v>
      </c>
      <c r="AU39" s="10">
        <f t="shared" si="2"/>
        <v>56.49999999999999</v>
      </c>
      <c r="AV39" s="59">
        <f t="shared" si="32"/>
        <v>60.900000000000006</v>
      </c>
      <c r="AW39" s="16">
        <f t="shared" si="33"/>
        <v>58.900000000000006</v>
      </c>
      <c r="AX39" s="21">
        <f t="shared" si="4"/>
        <v>140</v>
      </c>
      <c r="AY39" s="21">
        <f t="shared" si="5"/>
        <v>79.1</v>
      </c>
      <c r="AZ39" s="40">
        <f t="shared" si="6"/>
        <v>58.900000000000006</v>
      </c>
    </row>
    <row r="40" spans="1:52" ht="34.5" customHeight="1">
      <c r="A40" s="12" t="s">
        <v>35</v>
      </c>
      <c r="B40" s="117" t="s">
        <v>63</v>
      </c>
      <c r="C40" s="85">
        <v>-7.3</v>
      </c>
      <c r="D40" s="36">
        <v>12.1</v>
      </c>
      <c r="E40" s="36">
        <v>5.4</v>
      </c>
      <c r="F40" s="10">
        <f t="shared" si="34"/>
        <v>44.62809917355373</v>
      </c>
      <c r="G40" s="36">
        <v>17.1</v>
      </c>
      <c r="H40" s="36">
        <v>8.7</v>
      </c>
      <c r="I40" s="10">
        <f t="shared" si="0"/>
        <v>50.87719298245613</v>
      </c>
      <c r="J40" s="36">
        <v>13.7</v>
      </c>
      <c r="K40" s="36">
        <v>8.4</v>
      </c>
      <c r="L40" s="10">
        <f t="shared" si="23"/>
        <v>61.31386861313869</v>
      </c>
      <c r="M40" s="72">
        <f t="shared" si="8"/>
        <v>42.900000000000006</v>
      </c>
      <c r="N40" s="72">
        <f t="shared" si="9"/>
        <v>22.5</v>
      </c>
      <c r="O40" s="10">
        <f t="shared" si="3"/>
        <v>52.44755244755244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5"/>
        <v>#DIV/0!</v>
      </c>
      <c r="Y40" s="72">
        <f t="shared" si="26"/>
        <v>0</v>
      </c>
      <c r="Z40" s="72">
        <f t="shared" si="27"/>
        <v>0</v>
      </c>
      <c r="AA40" s="10" t="e">
        <f t="shared" si="28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0"/>
        <v>0</v>
      </c>
      <c r="AK40" s="72">
        <f t="shared" si="11"/>
        <v>0</v>
      </c>
      <c r="AL40" s="10" t="e">
        <f t="shared" si="29"/>
        <v>#DIV/0!</v>
      </c>
      <c r="AM40" s="36"/>
      <c r="AN40" s="36"/>
      <c r="AO40" s="36"/>
      <c r="AP40" s="36"/>
      <c r="AQ40" s="36"/>
      <c r="AR40" s="36"/>
      <c r="AS40" s="59">
        <f t="shared" si="30"/>
        <v>42.900000000000006</v>
      </c>
      <c r="AT40" s="59">
        <f t="shared" si="31"/>
        <v>22.5</v>
      </c>
      <c r="AU40" s="10">
        <f t="shared" si="2"/>
        <v>52.44755244755244</v>
      </c>
      <c r="AV40" s="59">
        <f t="shared" si="32"/>
        <v>20.400000000000006</v>
      </c>
      <c r="AW40" s="16">
        <f t="shared" si="33"/>
        <v>13.100000000000009</v>
      </c>
      <c r="AX40" s="21">
        <f t="shared" si="4"/>
        <v>42.900000000000006</v>
      </c>
      <c r="AY40" s="21">
        <f t="shared" si="5"/>
        <v>22.5</v>
      </c>
      <c r="AZ40" s="40">
        <f t="shared" si="6"/>
        <v>13.100000000000009</v>
      </c>
    </row>
    <row r="41" spans="1:52" ht="34.5" customHeight="1">
      <c r="A41" s="12" t="s">
        <v>36</v>
      </c>
      <c r="B41" s="60" t="s">
        <v>64</v>
      </c>
      <c r="C41" s="91">
        <v>-6.5</v>
      </c>
      <c r="D41" s="36">
        <v>11.7</v>
      </c>
      <c r="E41" s="36">
        <v>4.3</v>
      </c>
      <c r="F41" s="10">
        <f t="shared" si="34"/>
        <v>36.75213675213676</v>
      </c>
      <c r="G41" s="36">
        <v>14.1</v>
      </c>
      <c r="H41" s="36">
        <v>6.8</v>
      </c>
      <c r="I41" s="10">
        <f t="shared" si="0"/>
        <v>48.226950354609926</v>
      </c>
      <c r="J41" s="36">
        <v>14.9</v>
      </c>
      <c r="K41" s="36">
        <v>16.5</v>
      </c>
      <c r="L41" s="61">
        <f t="shared" si="23"/>
        <v>110.73825503355705</v>
      </c>
      <c r="M41" s="72">
        <f t="shared" si="8"/>
        <v>40.699999999999996</v>
      </c>
      <c r="N41" s="72">
        <f t="shared" si="9"/>
        <v>27.6</v>
      </c>
      <c r="O41" s="10">
        <f t="shared" si="3"/>
        <v>67.81326781326781</v>
      </c>
      <c r="P41" s="36"/>
      <c r="Q41" s="36"/>
      <c r="R41" s="103"/>
      <c r="S41" s="36"/>
      <c r="T41" s="36"/>
      <c r="U41" s="103"/>
      <c r="V41" s="36"/>
      <c r="W41" s="36"/>
      <c r="X41" s="103" t="e">
        <f t="shared" si="25"/>
        <v>#DIV/0!</v>
      </c>
      <c r="Y41" s="72">
        <f t="shared" si="26"/>
        <v>0</v>
      </c>
      <c r="Z41" s="72">
        <f t="shared" si="27"/>
        <v>0</v>
      </c>
      <c r="AA41" s="10" t="e">
        <f t="shared" si="28"/>
        <v>#DIV/0!</v>
      </c>
      <c r="AB41" s="36"/>
      <c r="AC41" s="36"/>
      <c r="AD41" s="103"/>
      <c r="AE41" s="36"/>
      <c r="AF41" s="36"/>
      <c r="AG41" s="10"/>
      <c r="AH41" s="36"/>
      <c r="AI41" s="36"/>
      <c r="AJ41" s="72">
        <f t="shared" si="10"/>
        <v>0</v>
      </c>
      <c r="AK41" s="72">
        <f t="shared" si="11"/>
        <v>0</v>
      </c>
      <c r="AL41" s="10" t="e">
        <f t="shared" si="29"/>
        <v>#DIV/0!</v>
      </c>
      <c r="AM41" s="36"/>
      <c r="AN41" s="36"/>
      <c r="AO41" s="36"/>
      <c r="AP41" s="36"/>
      <c r="AQ41" s="36"/>
      <c r="AR41" s="36"/>
      <c r="AS41" s="59">
        <f t="shared" si="30"/>
        <v>40.699999999999996</v>
      </c>
      <c r="AT41" s="59">
        <f t="shared" si="31"/>
        <v>27.6</v>
      </c>
      <c r="AU41" s="10">
        <f t="shared" si="2"/>
        <v>67.81326781326781</v>
      </c>
      <c r="AV41" s="59">
        <f t="shared" si="32"/>
        <v>13.099999999999994</v>
      </c>
      <c r="AW41" s="16">
        <f t="shared" si="33"/>
        <v>6.599999999999994</v>
      </c>
      <c r="AX41" s="21">
        <f t="shared" si="4"/>
        <v>40.699999999999996</v>
      </c>
      <c r="AY41" s="21">
        <f t="shared" si="5"/>
        <v>27.6</v>
      </c>
      <c r="AZ41" s="40">
        <f t="shared" si="6"/>
        <v>6.599999999999994</v>
      </c>
    </row>
    <row r="42" spans="1:52" ht="34.5" customHeight="1">
      <c r="A42" s="12" t="s">
        <v>37</v>
      </c>
      <c r="B42" s="117" t="s">
        <v>48</v>
      </c>
      <c r="C42" s="85">
        <v>-3.4</v>
      </c>
      <c r="D42" s="36">
        <v>100.1</v>
      </c>
      <c r="E42" s="36">
        <v>2.9</v>
      </c>
      <c r="F42" s="10">
        <f t="shared" si="34"/>
        <v>2.897102897102897</v>
      </c>
      <c r="G42" s="36">
        <v>126.3</v>
      </c>
      <c r="H42" s="36">
        <v>39</v>
      </c>
      <c r="I42" s="10">
        <f t="shared" si="0"/>
        <v>30.878859857482187</v>
      </c>
      <c r="J42" s="36">
        <v>115.7</v>
      </c>
      <c r="K42" s="36">
        <v>45</v>
      </c>
      <c r="L42" s="61">
        <f t="shared" si="23"/>
        <v>38.89369057908383</v>
      </c>
      <c r="M42" s="72">
        <f t="shared" si="8"/>
        <v>342.09999999999997</v>
      </c>
      <c r="N42" s="72">
        <f t="shared" si="9"/>
        <v>86.9</v>
      </c>
      <c r="O42" s="10">
        <f t="shared" si="3"/>
        <v>25.401929260450164</v>
      </c>
      <c r="P42" s="36"/>
      <c r="Q42" s="36"/>
      <c r="R42" s="103"/>
      <c r="S42" s="36"/>
      <c r="T42" s="36"/>
      <c r="U42" s="103"/>
      <c r="V42" s="36"/>
      <c r="W42" s="36"/>
      <c r="X42" s="103" t="e">
        <f t="shared" si="25"/>
        <v>#DIV/0!</v>
      </c>
      <c r="Y42" s="72">
        <f t="shared" si="26"/>
        <v>0</v>
      </c>
      <c r="Z42" s="72">
        <f t="shared" si="27"/>
        <v>0</v>
      </c>
      <c r="AA42" s="10" t="e">
        <f t="shared" si="28"/>
        <v>#DIV/0!</v>
      </c>
      <c r="AB42" s="36"/>
      <c r="AC42" s="36"/>
      <c r="AD42" s="103"/>
      <c r="AE42" s="36"/>
      <c r="AF42" s="36"/>
      <c r="AG42" s="10"/>
      <c r="AH42" s="36"/>
      <c r="AI42" s="36"/>
      <c r="AJ42" s="72">
        <f t="shared" si="10"/>
        <v>0</v>
      </c>
      <c r="AK42" s="72">
        <f t="shared" si="11"/>
        <v>0</v>
      </c>
      <c r="AL42" s="10" t="e">
        <f t="shared" si="29"/>
        <v>#DIV/0!</v>
      </c>
      <c r="AM42" s="36"/>
      <c r="AN42" s="36"/>
      <c r="AO42" s="36"/>
      <c r="AP42" s="36"/>
      <c r="AQ42" s="36"/>
      <c r="AR42" s="36"/>
      <c r="AS42" s="59">
        <f t="shared" si="30"/>
        <v>342.09999999999997</v>
      </c>
      <c r="AT42" s="59">
        <f t="shared" si="31"/>
        <v>86.9</v>
      </c>
      <c r="AU42" s="10">
        <f t="shared" si="2"/>
        <v>25.401929260450164</v>
      </c>
      <c r="AV42" s="59">
        <f t="shared" si="32"/>
        <v>255.19999999999996</v>
      </c>
      <c r="AW42" s="16">
        <f t="shared" si="33"/>
        <v>251.79999999999998</v>
      </c>
      <c r="AX42" s="21">
        <f t="shared" si="4"/>
        <v>342.09999999999997</v>
      </c>
      <c r="AY42" s="21">
        <f t="shared" si="5"/>
        <v>86.9</v>
      </c>
      <c r="AZ42" s="40">
        <f t="shared" si="6"/>
        <v>251.79999999999998</v>
      </c>
    </row>
    <row r="43" spans="1:52" s="11" customFormat="1" ht="34.5" customHeight="1">
      <c r="A43" s="12" t="s">
        <v>38</v>
      </c>
      <c r="B43" s="14" t="s">
        <v>66</v>
      </c>
      <c r="C43" s="68">
        <f>SUM(C44:C44)</f>
        <v>774.8</v>
      </c>
      <c r="D43" s="16">
        <f>SUM(D44:D44)</f>
        <v>6330.1</v>
      </c>
      <c r="E43" s="16">
        <f>SUM(E44:E44)</f>
        <v>399.3</v>
      </c>
      <c r="F43" s="10">
        <f t="shared" si="34"/>
        <v>6.307957220265083</v>
      </c>
      <c r="G43" s="16">
        <f>SUM(G44:G44)</f>
        <v>6739.7</v>
      </c>
      <c r="H43" s="16">
        <f>SUM(H44:H44)</f>
        <v>5770.4</v>
      </c>
      <c r="I43" s="10">
        <f t="shared" si="0"/>
        <v>85.61805421606302</v>
      </c>
      <c r="J43" s="16">
        <f>SUM(J44:J44)</f>
        <v>6768.5</v>
      </c>
      <c r="K43" s="16">
        <f>SUM(K44:K44)</f>
        <v>7689.7</v>
      </c>
      <c r="L43" s="61">
        <f t="shared" si="23"/>
        <v>113.61010563640393</v>
      </c>
      <c r="M43" s="16">
        <f>SUM(M44:M44)</f>
        <v>19838.3</v>
      </c>
      <c r="N43" s="16">
        <f>SUM(N44:N44)</f>
        <v>13859.4</v>
      </c>
      <c r="O43" s="10">
        <f t="shared" si="3"/>
        <v>69.86183291915134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5"/>
        <v>#DIV/0!</v>
      </c>
      <c r="Y43" s="16">
        <f>SUM(Y44:Y44)</f>
        <v>0</v>
      </c>
      <c r="Z43" s="16">
        <f>SUM(Z44:Z44)</f>
        <v>0</v>
      </c>
      <c r="AA43" s="10" t="e">
        <f t="shared" si="28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9"/>
        <v>#DIV/0!</v>
      </c>
      <c r="AM43" s="16">
        <f aca="true" t="shared" si="35" ref="AM43:AR43">SUM(AM44:AM44)</f>
        <v>0</v>
      </c>
      <c r="AN43" s="16">
        <f t="shared" si="35"/>
        <v>0</v>
      </c>
      <c r="AO43" s="16">
        <f t="shared" si="35"/>
        <v>0</v>
      </c>
      <c r="AP43" s="16">
        <f t="shared" si="35"/>
        <v>0</v>
      </c>
      <c r="AQ43" s="16">
        <f t="shared" si="35"/>
        <v>0</v>
      </c>
      <c r="AR43" s="16">
        <f t="shared" si="35"/>
        <v>0</v>
      </c>
      <c r="AS43" s="103">
        <f>AS44</f>
        <v>19838.3</v>
      </c>
      <c r="AT43" s="103">
        <f>AT44</f>
        <v>13859.4</v>
      </c>
      <c r="AU43" s="10">
        <f t="shared" si="2"/>
        <v>69.86183291915134</v>
      </c>
      <c r="AV43" s="16">
        <f>SUM(AV44:AV44)</f>
        <v>5978.9</v>
      </c>
      <c r="AW43" s="16">
        <f>SUM(AW44:AW44)</f>
        <v>6753.699999999999</v>
      </c>
      <c r="AX43" s="21">
        <f t="shared" si="4"/>
        <v>19838.3</v>
      </c>
      <c r="AY43" s="21">
        <f t="shared" si="5"/>
        <v>13859.4</v>
      </c>
      <c r="AZ43" s="40">
        <f t="shared" si="6"/>
        <v>6753.699999999999</v>
      </c>
    </row>
    <row r="44" spans="1:52" s="11" customFormat="1" ht="34.5" customHeight="1">
      <c r="A44" s="8"/>
      <c r="B44" s="39" t="s">
        <v>67</v>
      </c>
      <c r="C44" s="85">
        <v>774.8</v>
      </c>
      <c r="D44" s="36">
        <v>6330.1</v>
      </c>
      <c r="E44" s="67">
        <v>399.3</v>
      </c>
      <c r="F44" s="10">
        <f t="shared" si="34"/>
        <v>6.307957220265083</v>
      </c>
      <c r="G44" s="36">
        <v>6739.7</v>
      </c>
      <c r="H44" s="36">
        <v>5770.4</v>
      </c>
      <c r="I44" s="10">
        <f t="shared" si="0"/>
        <v>85.61805421606302</v>
      </c>
      <c r="J44" s="36">
        <v>6768.5</v>
      </c>
      <c r="K44" s="36">
        <v>7689.7</v>
      </c>
      <c r="L44" s="10">
        <f t="shared" si="23"/>
        <v>113.61010563640393</v>
      </c>
      <c r="M44" s="72">
        <f t="shared" si="8"/>
        <v>19838.3</v>
      </c>
      <c r="N44" s="72">
        <f t="shared" si="9"/>
        <v>13859.4</v>
      </c>
      <c r="O44" s="10">
        <f t="shared" si="3"/>
        <v>69.86183291915134</v>
      </c>
      <c r="P44" s="36"/>
      <c r="Q44" s="36"/>
      <c r="R44" s="10"/>
      <c r="S44" s="36"/>
      <c r="T44" s="36"/>
      <c r="U44" s="10"/>
      <c r="V44" s="36"/>
      <c r="W44" s="36"/>
      <c r="X44" s="10" t="e">
        <f t="shared" si="25"/>
        <v>#DIV/0!</v>
      </c>
      <c r="Y44" s="72">
        <f>P44+S44+V44</f>
        <v>0</v>
      </c>
      <c r="Z44" s="72">
        <f>Q44+T44+W44</f>
        <v>0</v>
      </c>
      <c r="AA44" s="10" t="e">
        <f t="shared" si="28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9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19838.3</v>
      </c>
      <c r="AT44" s="59">
        <f>N44+Z44+AK44+AN44+AP44+AR44</f>
        <v>13859.4</v>
      </c>
      <c r="AU44" s="10">
        <f t="shared" si="2"/>
        <v>69.86183291915134</v>
      </c>
      <c r="AV44" s="59">
        <f>AS44-AT44</f>
        <v>5978.9</v>
      </c>
      <c r="AW44" s="13">
        <f>C44+AS44-AT44</f>
        <v>6753.699999999999</v>
      </c>
      <c r="AX44" s="21">
        <f t="shared" si="4"/>
        <v>19838.3</v>
      </c>
      <c r="AY44" s="21">
        <f t="shared" si="5"/>
        <v>13859.4</v>
      </c>
      <c r="AZ44" s="40">
        <f t="shared" si="6"/>
        <v>6753.699999999999</v>
      </c>
    </row>
    <row r="45" spans="1:52" ht="34.5" customHeight="1">
      <c r="A45" s="12"/>
      <c r="B45" s="14" t="s">
        <v>105</v>
      </c>
      <c r="C45" s="68">
        <f>C43+C7</f>
        <v>647.8</v>
      </c>
      <c r="D45" s="16">
        <f>D43+D7</f>
        <v>6956.6</v>
      </c>
      <c r="E45" s="16">
        <f>E43+E7</f>
        <v>453.5</v>
      </c>
      <c r="F45" s="10">
        <f>E45/D45*100</f>
        <v>6.518989161371934</v>
      </c>
      <c r="G45" s="16">
        <f>G7+G43</f>
        <v>7322.1</v>
      </c>
      <c r="H45" s="16">
        <f>H7+H43</f>
        <v>6062.4</v>
      </c>
      <c r="I45" s="10">
        <f t="shared" si="0"/>
        <v>82.79591920350718</v>
      </c>
      <c r="J45" s="16">
        <f>J7+J43</f>
        <v>7342.3</v>
      </c>
      <c r="K45" s="16">
        <f>K7+K43</f>
        <v>8434.8</v>
      </c>
      <c r="L45" s="10">
        <f t="shared" si="23"/>
        <v>114.87953366111434</v>
      </c>
      <c r="M45" s="16">
        <f>M7+M43</f>
        <v>21621</v>
      </c>
      <c r="N45" s="16">
        <f>N7+N43</f>
        <v>14950.699999999999</v>
      </c>
      <c r="O45" s="10">
        <f t="shared" si="3"/>
        <v>69.14897553304658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 t="shared" si="25"/>
        <v>#DIV/0!</v>
      </c>
      <c r="Y45" s="16">
        <f>Y7+Y43</f>
        <v>0</v>
      </c>
      <c r="Z45" s="16">
        <f>Z7+Z43</f>
        <v>0</v>
      </c>
      <c r="AA45" s="10" t="e">
        <f t="shared" si="28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9"/>
        <v>#DIV/0!</v>
      </c>
      <c r="AM45" s="16">
        <f aca="true" t="shared" si="36" ref="AM45:AR45">AM43+AM7</f>
        <v>0</v>
      </c>
      <c r="AN45" s="16">
        <f t="shared" si="36"/>
        <v>0</v>
      </c>
      <c r="AO45" s="16">
        <f t="shared" si="36"/>
        <v>0</v>
      </c>
      <c r="AP45" s="16">
        <f t="shared" si="36"/>
        <v>0</v>
      </c>
      <c r="AQ45" s="16">
        <f t="shared" si="36"/>
        <v>0</v>
      </c>
      <c r="AR45" s="16">
        <f t="shared" si="36"/>
        <v>0</v>
      </c>
      <c r="AS45" s="68">
        <f>AS7+AS43</f>
        <v>21621</v>
      </c>
      <c r="AT45" s="68">
        <f>AT7+AT43</f>
        <v>14950.7</v>
      </c>
      <c r="AU45" s="10">
        <f>AT45/AS45*100</f>
        <v>69.14897553304658</v>
      </c>
      <c r="AV45" s="16">
        <f>AV7+AV43</f>
        <v>6670.299999999999</v>
      </c>
      <c r="AW45" s="16">
        <f>AW7+AW43</f>
        <v>7318.0999999999985</v>
      </c>
      <c r="AX45" s="21">
        <f t="shared" si="4"/>
        <v>21621</v>
      </c>
      <c r="AY45" s="21">
        <f t="shared" si="5"/>
        <v>14950.699999999999</v>
      </c>
      <c r="AZ45" s="40">
        <f t="shared" si="6"/>
        <v>7318.1</v>
      </c>
    </row>
    <row r="46" spans="1:61" s="113" customFormat="1" ht="87" customHeight="1">
      <c r="A46" s="163" t="s">
        <v>110</v>
      </c>
      <c r="B46" s="163"/>
      <c r="C46" s="163"/>
      <c r="D46" s="128"/>
      <c r="E46" s="128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109</v>
      </c>
      <c r="AX46" s="128"/>
      <c r="AY46" s="128"/>
      <c r="AZ46" s="128"/>
      <c r="BA46" s="128"/>
      <c r="BB46" s="128"/>
      <c r="BC46" s="128"/>
      <c r="BD46" s="128"/>
      <c r="BE46" s="128"/>
      <c r="BF46" s="131"/>
      <c r="BG46" s="131"/>
      <c r="BH46" s="131"/>
      <c r="BI46" s="13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22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7" t="s">
        <v>75</v>
      </c>
      <c r="AW47" s="178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8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49" s="30" customFormat="1" ht="58.5" customHeight="1">
      <c r="A51" s="27"/>
      <c r="B51" s="173" t="s">
        <v>76</v>
      </c>
      <c r="C51" s="173"/>
      <c r="D51" s="173"/>
      <c r="E51" s="173"/>
      <c r="F51" s="173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</row>
    <row r="52" spans="1:49" ht="73.5" customHeight="1" hidden="1">
      <c r="A52" s="172" t="s">
        <v>72</v>
      </c>
      <c r="B52" s="172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24.75" customHeight="1">
      <c r="B53" s="95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2:49" ht="24.75" customHeight="1">
      <c r="B54" s="95"/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7:49" ht="18.75"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24.75" customHeight="1">
      <c r="B56" s="95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24.75" customHeight="1">
      <c r="B57" s="95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7:49" ht="24.75" customHeight="1"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7:49" ht="24.75" customHeight="1"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24.75" customHeight="1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24.75" customHeight="1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24.75" customHeight="1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24.75" customHeight="1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24.75" customHeight="1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24.75" customHeight="1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24.75" customHeight="1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24.75" customHeight="1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24.75" customHeight="1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24.75" customHeight="1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24.75" customHeight="1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24.75" customHeight="1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24.75" customHeight="1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24.75" customHeight="1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24.75" customHeight="1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24.75" customHeight="1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24.75" customHeight="1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24.75" customHeight="1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24.75" customHeight="1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24.75" customHeight="1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24.75" customHeight="1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24.75" customHeight="1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24.75" customHeight="1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24.75" customHeight="1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24.75" customHeight="1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24.75" customHeight="1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24.75" customHeight="1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24.75" customHeight="1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24.75" customHeight="1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24.75" customHeight="1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24.75" customHeight="1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24.75" customHeight="1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24.75" customHeight="1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24.75" customHeight="1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24.75" customHeight="1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24.75" customHeight="1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24.75" customHeight="1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24.75" customHeight="1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46:C46"/>
    <mergeCell ref="AM5:AN5"/>
    <mergeCell ref="AJ5:AL5"/>
    <mergeCell ref="AV47:AW47"/>
    <mergeCell ref="V5:X5"/>
    <mergeCell ref="Y5:AA5"/>
    <mergeCell ref="AB5:AD5"/>
    <mergeCell ref="AO5:AP5"/>
    <mergeCell ref="AQ5:AR5"/>
    <mergeCell ref="A2:AW3"/>
    <mergeCell ref="I1:AW1"/>
    <mergeCell ref="D5:F5"/>
    <mergeCell ref="G5:I5"/>
    <mergeCell ref="P5:R5"/>
    <mergeCell ref="AE5:AG5"/>
    <mergeCell ref="AV5:AV6"/>
    <mergeCell ref="AW5:AW6"/>
    <mergeCell ref="AS5:AU5"/>
    <mergeCell ref="AH5:AI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3">
      <pane xSplit="6" ySplit="5" topLeftCell="G1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X3" sqref="A3:IV3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84" customWidth="1"/>
    <col min="4" max="4" width="21.125" style="2" customWidth="1"/>
    <col min="5" max="5" width="21.00390625" style="2" customWidth="1"/>
    <col min="6" max="6" width="14.00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customWidth="1"/>
    <col min="11" max="11" width="16.00390625" style="2" customWidth="1"/>
    <col min="12" max="12" width="11.125" style="11" customWidth="1"/>
    <col min="13" max="13" width="14.00390625" style="11" hidden="1" customWidth="1"/>
    <col min="14" max="14" width="12.7539062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4.00390625" style="11" hidden="1" customWidth="1"/>
    <col min="23" max="23" width="14.25390625" style="11" hidden="1" customWidth="1"/>
    <col min="24" max="24" width="11.125" style="11" hidden="1" customWidth="1"/>
    <col min="25" max="25" width="14.00390625" style="11" hidden="1" customWidth="1"/>
    <col min="26" max="26" width="12.75390625" style="11" hidden="1" customWidth="1"/>
    <col min="27" max="27" width="11.125" style="11" hidden="1" customWidth="1"/>
    <col min="28" max="28" width="14.00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3.125" style="11" hidden="1" customWidth="1"/>
    <col min="35" max="35" width="11.00390625" style="11" hidden="1" customWidth="1"/>
    <col min="36" max="36" width="14.00390625" style="11" hidden="1" customWidth="1"/>
    <col min="37" max="37" width="12.75390625" style="11" hidden="1" customWidth="1"/>
    <col min="38" max="38" width="11.125" style="11" hidden="1" customWidth="1"/>
    <col min="39" max="39" width="13.125" style="11" hidden="1" customWidth="1"/>
    <col min="40" max="40" width="11.00390625" style="11" hidden="1" customWidth="1"/>
    <col min="41" max="41" width="13.125" style="11" hidden="1" customWidth="1"/>
    <col min="42" max="42" width="11.00390625" style="11" hidden="1" customWidth="1"/>
    <col min="43" max="43" width="13.1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20.00390625" style="2" customWidth="1"/>
    <col min="49" max="49" width="27.125" style="2" customWidth="1"/>
    <col min="50" max="50" width="13.625" style="2" customWidth="1"/>
    <col min="51" max="51" width="11.125" style="2" customWidth="1"/>
    <col min="52" max="52" width="10.375" style="2" customWidth="1"/>
    <col min="53" max="53" width="7.625" style="2" customWidth="1"/>
    <col min="54" max="16384" width="6.75390625" style="2" customWidth="1"/>
  </cols>
  <sheetData>
    <row r="1" spans="9:49" ht="19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2" customFormat="1" ht="60" customHeight="1">
      <c r="A2" s="180" t="s">
        <v>123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</row>
    <row r="3" spans="1:49" s="52" customFormat="1" ht="60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</row>
    <row r="4" spans="2:49" ht="49.5" customHeight="1">
      <c r="B4" s="166"/>
      <c r="C4" s="166"/>
      <c r="D4" s="166"/>
      <c r="E4" s="166"/>
      <c r="F4" s="166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94</v>
      </c>
    </row>
    <row r="5" spans="1:49" ht="58.5" customHeight="1">
      <c r="A5" s="42" t="s">
        <v>46</v>
      </c>
      <c r="B5" s="43"/>
      <c r="C5" s="44" t="s">
        <v>1</v>
      </c>
      <c r="D5" s="169" t="s">
        <v>111</v>
      </c>
      <c r="E5" s="170"/>
      <c r="F5" s="171"/>
      <c r="G5" s="159" t="s">
        <v>114</v>
      </c>
      <c r="H5" s="160"/>
      <c r="I5" s="161"/>
      <c r="J5" s="159" t="s">
        <v>118</v>
      </c>
      <c r="K5" s="160"/>
      <c r="L5" s="161"/>
      <c r="M5" s="159" t="s">
        <v>90</v>
      </c>
      <c r="N5" s="160"/>
      <c r="O5" s="161"/>
      <c r="P5" s="159" t="s">
        <v>79</v>
      </c>
      <c r="Q5" s="160"/>
      <c r="R5" s="161"/>
      <c r="S5" s="159" t="s">
        <v>80</v>
      </c>
      <c r="T5" s="160"/>
      <c r="U5" s="161"/>
      <c r="V5" s="159" t="s">
        <v>81</v>
      </c>
      <c r="W5" s="160"/>
      <c r="X5" s="161"/>
      <c r="Y5" s="159" t="s">
        <v>91</v>
      </c>
      <c r="Z5" s="160"/>
      <c r="AA5" s="161"/>
      <c r="AB5" s="159" t="s">
        <v>82</v>
      </c>
      <c r="AC5" s="160"/>
      <c r="AD5" s="161"/>
      <c r="AE5" s="159" t="s">
        <v>83</v>
      </c>
      <c r="AF5" s="160"/>
      <c r="AG5" s="161"/>
      <c r="AH5" s="159" t="s">
        <v>84</v>
      </c>
      <c r="AI5" s="161"/>
      <c r="AJ5" s="159" t="s">
        <v>92</v>
      </c>
      <c r="AK5" s="160"/>
      <c r="AL5" s="161"/>
      <c r="AM5" s="159" t="s">
        <v>85</v>
      </c>
      <c r="AN5" s="161"/>
      <c r="AO5" s="159" t="s">
        <v>86</v>
      </c>
      <c r="AP5" s="161"/>
      <c r="AQ5" s="159" t="s">
        <v>87</v>
      </c>
      <c r="AR5" s="161"/>
      <c r="AS5" s="169" t="s">
        <v>112</v>
      </c>
      <c r="AT5" s="170"/>
      <c r="AU5" s="171"/>
      <c r="AV5" s="167" t="s">
        <v>116</v>
      </c>
      <c r="AW5" s="167" t="s">
        <v>117</v>
      </c>
    </row>
    <row r="6" spans="1:49" ht="57" customHeight="1">
      <c r="A6" s="45" t="s">
        <v>47</v>
      </c>
      <c r="B6" s="46" t="s">
        <v>106</v>
      </c>
      <c r="C6" s="41" t="s">
        <v>113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107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93</v>
      </c>
      <c r="AT6" s="46" t="s">
        <v>69</v>
      </c>
      <c r="AU6" s="48" t="s">
        <v>0</v>
      </c>
      <c r="AV6" s="168"/>
      <c r="AW6" s="168"/>
    </row>
    <row r="7" spans="1:52" s="11" customFormat="1" ht="36" customHeight="1">
      <c r="A7" s="8"/>
      <c r="B7" s="114" t="s">
        <v>107</v>
      </c>
      <c r="C7" s="55">
        <f>SUM(C8:C42)-C33-C34</f>
        <v>30.799999999999976</v>
      </c>
      <c r="D7" s="55">
        <f>SUM(D8:D42)-D33-D34</f>
        <v>2397</v>
      </c>
      <c r="E7" s="55">
        <f>SUM(E8:E42)-E33-E34</f>
        <v>1218.2</v>
      </c>
      <c r="F7" s="10">
        <f aca="true" t="shared" si="0" ref="F7:F12">E7/D7*100</f>
        <v>50.82186065915728</v>
      </c>
      <c r="G7" s="55">
        <f>SUM(G8:G42)-G33-G34</f>
        <v>2677.4</v>
      </c>
      <c r="H7" s="55">
        <f>SUM(H8:H42)-H33-H34</f>
        <v>2738.500000000001</v>
      </c>
      <c r="I7" s="10">
        <f aca="true" t="shared" si="1" ref="I7:I45">H7/G7*100</f>
        <v>102.28206468962429</v>
      </c>
      <c r="J7" s="55">
        <f>SUM(J8:J42)-J33-J34</f>
        <v>2662.2</v>
      </c>
      <c r="K7" s="55">
        <f>SUM(K8:K42)-K33-K34</f>
        <v>3298.4999999999995</v>
      </c>
      <c r="L7" s="10">
        <f aca="true" t="shared" si="2" ref="L7:L28">K7/J7*100</f>
        <v>123.90128465179173</v>
      </c>
      <c r="M7" s="10">
        <f>SUM(M8:M42)</f>
        <v>7736.600000000001</v>
      </c>
      <c r="N7" s="10">
        <f>SUM(N8:N42)</f>
        <v>7255.2</v>
      </c>
      <c r="O7" s="10">
        <f>N7/M7*100</f>
        <v>93.77762841558305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 aca="true" t="shared" si="3" ref="X7:X28"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4" ref="AM7:AR7">SUM(AM8:AM42)</f>
        <v>0</v>
      </c>
      <c r="AN7" s="10">
        <f t="shared" si="4"/>
        <v>0</v>
      </c>
      <c r="AO7" s="10">
        <f t="shared" si="4"/>
        <v>0</v>
      </c>
      <c r="AP7" s="10">
        <f t="shared" si="4"/>
        <v>0</v>
      </c>
      <c r="AQ7" s="10">
        <f t="shared" si="4"/>
        <v>0</v>
      </c>
      <c r="AR7" s="10">
        <f t="shared" si="4"/>
        <v>0</v>
      </c>
      <c r="AS7" s="55">
        <f>SUM(AS8:AS42)-AS33-AS34</f>
        <v>7736.600000000001</v>
      </c>
      <c r="AT7" s="55">
        <f>SUM(AT8:AT42)-AT33-AT34</f>
        <v>7255.2</v>
      </c>
      <c r="AU7" s="10">
        <f aca="true" t="shared" si="5" ref="AU7:AU44">AT7/AS7*100</f>
        <v>93.77762841558305</v>
      </c>
      <c r="AV7" s="55">
        <f>SUM(AV8:AV42)-AV33-AV34</f>
        <v>481.4</v>
      </c>
      <c r="AW7" s="55">
        <f>SUM(AW8:AW42)-AW33-AW34</f>
        <v>512.1999999999997</v>
      </c>
      <c r="AX7" s="21">
        <f>D7+G7+J7</f>
        <v>7736.599999999999</v>
      </c>
      <c r="AY7" s="21">
        <f>E7+H7+K7</f>
        <v>7255.200000000001</v>
      </c>
      <c r="AZ7" s="40">
        <f>C7+AX7-AY7</f>
        <v>512.1999999999989</v>
      </c>
    </row>
    <row r="8" spans="1:52" ht="34.5" customHeight="1">
      <c r="A8" s="12" t="s">
        <v>5</v>
      </c>
      <c r="B8" s="58" t="s">
        <v>49</v>
      </c>
      <c r="C8" s="85">
        <f>-9.8+(-15.6)</f>
        <v>-25.4</v>
      </c>
      <c r="D8" s="36">
        <f>46+150.2</f>
        <v>196.2</v>
      </c>
      <c r="E8" s="36">
        <f>27.7+141.5</f>
        <v>169.2</v>
      </c>
      <c r="F8" s="10">
        <f t="shared" si="0"/>
        <v>86.23853211009174</v>
      </c>
      <c r="G8" s="36">
        <f>43.1+146.2</f>
        <v>189.29999999999998</v>
      </c>
      <c r="H8" s="36">
        <f>50.4+145.9</f>
        <v>196.3</v>
      </c>
      <c r="I8" s="10">
        <f t="shared" si="1"/>
        <v>103.69783412572637</v>
      </c>
      <c r="J8" s="36">
        <f>39.7+141.8</f>
        <v>181.5</v>
      </c>
      <c r="K8" s="36">
        <f>41.3+142.4</f>
        <v>183.7</v>
      </c>
      <c r="L8" s="10">
        <f t="shared" si="2"/>
        <v>101.2121212121212</v>
      </c>
      <c r="M8" s="72">
        <f>D8+G8+J8</f>
        <v>567</v>
      </c>
      <c r="N8" s="72">
        <f>E8+H8+K8</f>
        <v>549.2</v>
      </c>
      <c r="O8" s="10">
        <f aca="true" t="shared" si="6" ref="O8:O45">N8/M8*100</f>
        <v>96.86067019400355</v>
      </c>
      <c r="P8" s="36"/>
      <c r="Q8" s="36"/>
      <c r="R8" s="10"/>
      <c r="S8" s="36"/>
      <c r="T8" s="36"/>
      <c r="U8" s="10"/>
      <c r="V8" s="36"/>
      <c r="W8" s="36"/>
      <c r="X8" s="10" t="e">
        <f t="shared" si="3"/>
        <v>#DIV/0!</v>
      </c>
      <c r="Y8" s="72">
        <f>P8+S8+V8</f>
        <v>0</v>
      </c>
      <c r="Z8" s="72">
        <f>Q8+T8+W8</f>
        <v>0</v>
      </c>
      <c r="AA8" s="10" t="e">
        <f aca="true" t="shared" si="7" ref="AA8:AA28"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567</v>
      </c>
      <c r="AT8" s="59">
        <f>N8+Z8+AK8+AN8+AP8+AR8</f>
        <v>549.2</v>
      </c>
      <c r="AU8" s="10">
        <f t="shared" si="5"/>
        <v>96.86067019400355</v>
      </c>
      <c r="AV8" s="59">
        <f>AS8-AT8</f>
        <v>17.799999999999955</v>
      </c>
      <c r="AW8" s="16">
        <f aca="true" t="shared" si="8" ref="AW8:AW28">C8+AS8-AT8</f>
        <v>-7.600000000000023</v>
      </c>
      <c r="AX8" s="21">
        <f aca="true" t="shared" si="9" ref="AX8:AX45">D8+G8+J8</f>
        <v>567</v>
      </c>
      <c r="AY8" s="21">
        <f aca="true" t="shared" si="10" ref="AY8:AY45">E8+H8+K8</f>
        <v>549.2</v>
      </c>
      <c r="AZ8" s="40">
        <f aca="true" t="shared" si="11" ref="AZ8:AZ45">C8+AX8-AY8</f>
        <v>-7.600000000000023</v>
      </c>
    </row>
    <row r="9" spans="1:52" ht="34.5" customHeight="1">
      <c r="A9" s="12" t="s">
        <v>6</v>
      </c>
      <c r="B9" s="60" t="s">
        <v>65</v>
      </c>
      <c r="C9" s="85">
        <v>-0.3</v>
      </c>
      <c r="D9" s="36">
        <v>29.6</v>
      </c>
      <c r="E9" s="36">
        <v>29.4</v>
      </c>
      <c r="F9" s="10">
        <f t="shared" si="0"/>
        <v>99.32432432432432</v>
      </c>
      <c r="G9" s="36">
        <v>55.8</v>
      </c>
      <c r="H9" s="36">
        <v>55.8</v>
      </c>
      <c r="I9" s="10">
        <f t="shared" si="1"/>
        <v>100</v>
      </c>
      <c r="J9" s="36">
        <v>49.6</v>
      </c>
      <c r="K9" s="36">
        <v>49.7</v>
      </c>
      <c r="L9" s="10">
        <f t="shared" si="2"/>
        <v>100.2016129032258</v>
      </c>
      <c r="M9" s="72">
        <f aca="true" t="shared" si="12" ref="M9:M44">D9+G9+J9</f>
        <v>135</v>
      </c>
      <c r="N9" s="72">
        <f aca="true" t="shared" si="13" ref="N9:N44">E9+H9+K9</f>
        <v>134.89999999999998</v>
      </c>
      <c r="O9" s="10">
        <f t="shared" si="6"/>
        <v>99.92592592592591</v>
      </c>
      <c r="P9" s="36"/>
      <c r="Q9" s="36"/>
      <c r="R9" s="10"/>
      <c r="S9" s="36"/>
      <c r="T9" s="36"/>
      <c r="U9" s="10"/>
      <c r="V9" s="36"/>
      <c r="W9" s="36"/>
      <c r="X9" s="10" t="e">
        <f t="shared" si="3"/>
        <v>#DIV/0!</v>
      </c>
      <c r="Y9" s="72">
        <f aca="true" t="shared" si="14" ref="Y9:Y28">P9+S9+V9</f>
        <v>0</v>
      </c>
      <c r="Z9" s="72">
        <f aca="true" t="shared" si="15" ref="Z9:Z28">Q9+T9+W9</f>
        <v>0</v>
      </c>
      <c r="AA9" s="10" t="e">
        <f t="shared" si="7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6" ref="AJ9:AJ42">AB9+AE9+AH9</f>
        <v>0</v>
      </c>
      <c r="AK9" s="72">
        <f aca="true" t="shared" si="17" ref="AK9:AK42">AC9+AF9+AI9</f>
        <v>0</v>
      </c>
      <c r="AL9" s="10" t="e">
        <f>AK9/AJ9*100</f>
        <v>#DIV/0!</v>
      </c>
      <c r="AM9" s="36"/>
      <c r="AN9" s="36"/>
      <c r="AO9" s="36"/>
      <c r="AP9" s="36"/>
      <c r="AQ9" s="36"/>
      <c r="AR9" s="36"/>
      <c r="AS9" s="59">
        <f aca="true" t="shared" si="18" ref="AS9:AS42">M9+Y9+AJ9+AM9+AO9+AQ9</f>
        <v>135</v>
      </c>
      <c r="AT9" s="59">
        <f aca="true" t="shared" si="19" ref="AT9:AT42">N9+Z9+AK9+AN9+AP9+AR9</f>
        <v>134.89999999999998</v>
      </c>
      <c r="AU9" s="10">
        <f t="shared" si="5"/>
        <v>99.92592592592591</v>
      </c>
      <c r="AV9" s="59">
        <f aca="true" t="shared" si="20" ref="AV9:AV44">AS9-AT9</f>
        <v>0.10000000000002274</v>
      </c>
      <c r="AW9" s="16">
        <f t="shared" si="8"/>
        <v>-0.19999999999998863</v>
      </c>
      <c r="AX9" s="21">
        <f t="shared" si="9"/>
        <v>135</v>
      </c>
      <c r="AY9" s="21">
        <f t="shared" si="10"/>
        <v>134.89999999999998</v>
      </c>
      <c r="AZ9" s="40">
        <f t="shared" si="11"/>
        <v>-0.19999999999998863</v>
      </c>
    </row>
    <row r="10" spans="1:52" ht="34.5" customHeight="1">
      <c r="A10" s="12" t="s">
        <v>7</v>
      </c>
      <c r="B10" s="62" t="s">
        <v>95</v>
      </c>
      <c r="C10" s="85">
        <v>0</v>
      </c>
      <c r="D10" s="36">
        <v>333.7</v>
      </c>
      <c r="E10" s="36">
        <v>333.7</v>
      </c>
      <c r="F10" s="103">
        <f t="shared" si="0"/>
        <v>100</v>
      </c>
      <c r="G10" s="36">
        <v>325.9</v>
      </c>
      <c r="H10" s="36">
        <v>325.9</v>
      </c>
      <c r="I10" s="10">
        <f t="shared" si="1"/>
        <v>100</v>
      </c>
      <c r="J10" s="36">
        <v>339.2</v>
      </c>
      <c r="K10" s="36">
        <v>339.2</v>
      </c>
      <c r="L10" s="10">
        <f t="shared" si="2"/>
        <v>100</v>
      </c>
      <c r="M10" s="72">
        <f t="shared" si="12"/>
        <v>998.8</v>
      </c>
      <c r="N10" s="72">
        <f t="shared" si="13"/>
        <v>998.8</v>
      </c>
      <c r="O10" s="10">
        <f t="shared" si="6"/>
        <v>100</v>
      </c>
      <c r="P10" s="36"/>
      <c r="Q10" s="36"/>
      <c r="R10" s="53"/>
      <c r="S10" s="36"/>
      <c r="T10" s="36"/>
      <c r="U10" s="10"/>
      <c r="V10" s="36"/>
      <c r="W10" s="36"/>
      <c r="X10" s="10" t="e">
        <f t="shared" si="3"/>
        <v>#DIV/0!</v>
      </c>
      <c r="Y10" s="72">
        <f t="shared" si="14"/>
        <v>0</v>
      </c>
      <c r="Z10" s="72">
        <f t="shared" si="15"/>
        <v>0</v>
      </c>
      <c r="AA10" s="10" t="e">
        <f t="shared" si="7"/>
        <v>#DIV/0!</v>
      </c>
      <c r="AB10" s="36"/>
      <c r="AC10" s="36"/>
      <c r="AD10" s="10"/>
      <c r="AE10" s="36"/>
      <c r="AF10" s="36"/>
      <c r="AG10" s="10"/>
      <c r="AH10" s="36"/>
      <c r="AI10" s="36"/>
      <c r="AJ10" s="72">
        <f t="shared" si="16"/>
        <v>0</v>
      </c>
      <c r="AK10" s="72">
        <f t="shared" si="17"/>
        <v>0</v>
      </c>
      <c r="AL10" s="108">
        <v>0</v>
      </c>
      <c r="AM10" s="36"/>
      <c r="AN10" s="36"/>
      <c r="AO10" s="36"/>
      <c r="AP10" s="36"/>
      <c r="AQ10" s="36"/>
      <c r="AR10" s="36"/>
      <c r="AS10" s="59">
        <f t="shared" si="18"/>
        <v>998.8</v>
      </c>
      <c r="AT10" s="59">
        <f t="shared" si="19"/>
        <v>998.8</v>
      </c>
      <c r="AU10" s="103">
        <f t="shared" si="5"/>
        <v>100</v>
      </c>
      <c r="AV10" s="59">
        <f t="shared" si="20"/>
        <v>0</v>
      </c>
      <c r="AW10" s="16">
        <f t="shared" si="8"/>
        <v>0</v>
      </c>
      <c r="AX10" s="21">
        <f t="shared" si="9"/>
        <v>998.8</v>
      </c>
      <c r="AY10" s="21">
        <f t="shared" si="10"/>
        <v>998.8</v>
      </c>
      <c r="AZ10" s="40">
        <f t="shared" si="11"/>
        <v>0</v>
      </c>
    </row>
    <row r="11" spans="1:52" ht="34.5" customHeight="1">
      <c r="A11" s="12" t="s">
        <v>8</v>
      </c>
      <c r="B11" s="58" t="s">
        <v>50</v>
      </c>
      <c r="C11" s="85">
        <v>-7.4</v>
      </c>
      <c r="D11" s="36">
        <f>12.3+7.3</f>
        <v>19.6</v>
      </c>
      <c r="E11" s="36">
        <v>0</v>
      </c>
      <c r="F11" s="10">
        <f t="shared" si="0"/>
        <v>0</v>
      </c>
      <c r="G11" s="36">
        <f>14.2+8.7</f>
        <v>22.9</v>
      </c>
      <c r="H11" s="36">
        <f>26.9+1.9</f>
        <v>28.799999999999997</v>
      </c>
      <c r="I11" s="10">
        <f t="shared" si="1"/>
        <v>125.764192139738</v>
      </c>
      <c r="J11" s="36">
        <f>12.3+7.6</f>
        <v>19.9</v>
      </c>
      <c r="K11" s="36">
        <f>11.9+14.1</f>
        <v>26</v>
      </c>
      <c r="L11" s="10">
        <f t="shared" si="2"/>
        <v>130.6532663316583</v>
      </c>
      <c r="M11" s="72">
        <f t="shared" si="12"/>
        <v>62.4</v>
      </c>
      <c r="N11" s="72">
        <f t="shared" si="13"/>
        <v>54.8</v>
      </c>
      <c r="O11" s="10">
        <f t="shared" si="6"/>
        <v>87.82051282051282</v>
      </c>
      <c r="P11" s="36"/>
      <c r="Q11" s="36"/>
      <c r="R11" s="10"/>
      <c r="S11" s="36"/>
      <c r="T11" s="36"/>
      <c r="U11" s="10"/>
      <c r="V11" s="36"/>
      <c r="W11" s="36"/>
      <c r="X11" s="10" t="e">
        <f t="shared" si="3"/>
        <v>#DIV/0!</v>
      </c>
      <c r="Y11" s="72">
        <f t="shared" si="14"/>
        <v>0</v>
      </c>
      <c r="Z11" s="72">
        <f t="shared" si="15"/>
        <v>0</v>
      </c>
      <c r="AA11" s="10" t="e">
        <f t="shared" si="7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6"/>
        <v>0</v>
      </c>
      <c r="AK11" s="72">
        <f t="shared" si="17"/>
        <v>0</v>
      </c>
      <c r="AL11" s="10" t="e">
        <f aca="true" t="shared" si="21" ref="AL11:AL28">AK11/AJ11*100</f>
        <v>#DIV/0!</v>
      </c>
      <c r="AM11" s="36"/>
      <c r="AN11" s="36"/>
      <c r="AO11" s="36"/>
      <c r="AP11" s="36"/>
      <c r="AQ11" s="36"/>
      <c r="AR11" s="36"/>
      <c r="AS11" s="59">
        <f t="shared" si="18"/>
        <v>62.4</v>
      </c>
      <c r="AT11" s="59">
        <f t="shared" si="19"/>
        <v>54.8</v>
      </c>
      <c r="AU11" s="10">
        <f t="shared" si="5"/>
        <v>87.82051282051282</v>
      </c>
      <c r="AV11" s="59">
        <f t="shared" si="20"/>
        <v>7.600000000000001</v>
      </c>
      <c r="AW11" s="16">
        <f t="shared" si="8"/>
        <v>0.20000000000000284</v>
      </c>
      <c r="AX11" s="21">
        <f t="shared" si="9"/>
        <v>62.4</v>
      </c>
      <c r="AY11" s="21">
        <f t="shared" si="10"/>
        <v>54.8</v>
      </c>
      <c r="AZ11" s="40">
        <f t="shared" si="11"/>
        <v>0.20000000000000284</v>
      </c>
    </row>
    <row r="12" spans="1:52" ht="34.5" customHeight="1">
      <c r="A12" s="12" t="s">
        <v>9</v>
      </c>
      <c r="B12" s="58" t="s">
        <v>51</v>
      </c>
      <c r="C12" s="85">
        <v>-8.8</v>
      </c>
      <c r="D12" s="36">
        <v>28</v>
      </c>
      <c r="E12" s="36">
        <v>26</v>
      </c>
      <c r="F12" s="55">
        <f t="shared" si="0"/>
        <v>92.85714285714286</v>
      </c>
      <c r="G12" s="36">
        <v>99.9</v>
      </c>
      <c r="H12" s="36">
        <v>100.1</v>
      </c>
      <c r="I12" s="10">
        <f t="shared" si="1"/>
        <v>100.2002002002002</v>
      </c>
      <c r="J12" s="36">
        <v>93.3</v>
      </c>
      <c r="K12" s="36">
        <v>92.8</v>
      </c>
      <c r="L12" s="10">
        <f t="shared" si="2"/>
        <v>99.46409431939979</v>
      </c>
      <c r="M12" s="72">
        <f t="shared" si="12"/>
        <v>221.2</v>
      </c>
      <c r="N12" s="72">
        <f t="shared" si="13"/>
        <v>218.89999999999998</v>
      </c>
      <c r="O12" s="10">
        <f t="shared" si="6"/>
        <v>98.96021699819167</v>
      </c>
      <c r="P12" s="36"/>
      <c r="Q12" s="36"/>
      <c r="R12" s="10"/>
      <c r="S12" s="36"/>
      <c r="T12" s="36"/>
      <c r="U12" s="10"/>
      <c r="V12" s="36"/>
      <c r="W12" s="36"/>
      <c r="X12" s="10" t="e">
        <f t="shared" si="3"/>
        <v>#DIV/0!</v>
      </c>
      <c r="Y12" s="72">
        <f t="shared" si="14"/>
        <v>0</v>
      </c>
      <c r="Z12" s="72">
        <f t="shared" si="15"/>
        <v>0</v>
      </c>
      <c r="AA12" s="10" t="e">
        <f t="shared" si="7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6"/>
        <v>0</v>
      </c>
      <c r="AK12" s="72">
        <f t="shared" si="17"/>
        <v>0</v>
      </c>
      <c r="AL12" s="10" t="e">
        <f t="shared" si="21"/>
        <v>#DIV/0!</v>
      </c>
      <c r="AM12" s="36"/>
      <c r="AN12" s="36"/>
      <c r="AO12" s="36"/>
      <c r="AP12" s="36"/>
      <c r="AQ12" s="36"/>
      <c r="AR12" s="36"/>
      <c r="AS12" s="59">
        <f t="shared" si="18"/>
        <v>221.2</v>
      </c>
      <c r="AT12" s="59">
        <f t="shared" si="19"/>
        <v>218.89999999999998</v>
      </c>
      <c r="AU12" s="10">
        <f t="shared" si="5"/>
        <v>98.96021699819167</v>
      </c>
      <c r="AV12" s="59">
        <f t="shared" si="20"/>
        <v>2.3000000000000114</v>
      </c>
      <c r="AW12" s="16">
        <f t="shared" si="8"/>
        <v>-6.5</v>
      </c>
      <c r="AX12" s="21">
        <f t="shared" si="9"/>
        <v>221.2</v>
      </c>
      <c r="AY12" s="21">
        <f t="shared" si="10"/>
        <v>218.89999999999998</v>
      </c>
      <c r="AZ12" s="40">
        <f t="shared" si="11"/>
        <v>-6.5</v>
      </c>
    </row>
    <row r="13" spans="1:52" ht="34.5" customHeight="1">
      <c r="A13" s="12" t="s">
        <v>10</v>
      </c>
      <c r="B13" s="58" t="s">
        <v>52</v>
      </c>
      <c r="C13" s="85">
        <v>3.2</v>
      </c>
      <c r="D13" s="36">
        <v>60.1</v>
      </c>
      <c r="E13" s="36">
        <v>54.5</v>
      </c>
      <c r="F13" s="10">
        <f aca="true" t="shared" si="22" ref="F13:F23">E13/D13*100</f>
        <v>90.68219633943427</v>
      </c>
      <c r="G13" s="36">
        <v>61.7</v>
      </c>
      <c r="H13" s="36">
        <v>66.3</v>
      </c>
      <c r="I13" s="10">
        <f t="shared" si="1"/>
        <v>107.45542949756887</v>
      </c>
      <c r="J13" s="36">
        <v>67.7</v>
      </c>
      <c r="K13" s="36">
        <v>71.8</v>
      </c>
      <c r="L13" s="10">
        <f t="shared" si="2"/>
        <v>106.05612998522895</v>
      </c>
      <c r="M13" s="72">
        <f t="shared" si="12"/>
        <v>189.5</v>
      </c>
      <c r="N13" s="72">
        <f t="shared" si="13"/>
        <v>192.6</v>
      </c>
      <c r="O13" s="10">
        <f t="shared" si="6"/>
        <v>101.63588390501319</v>
      </c>
      <c r="P13" s="36"/>
      <c r="Q13" s="36"/>
      <c r="R13" s="103"/>
      <c r="S13" s="36"/>
      <c r="T13" s="36"/>
      <c r="U13" s="103"/>
      <c r="V13" s="36"/>
      <c r="W13" s="36"/>
      <c r="X13" s="10" t="e">
        <f t="shared" si="3"/>
        <v>#DIV/0!</v>
      </c>
      <c r="Y13" s="72">
        <f t="shared" si="14"/>
        <v>0</v>
      </c>
      <c r="Z13" s="72">
        <f t="shared" si="15"/>
        <v>0</v>
      </c>
      <c r="AA13" s="10" t="e">
        <f t="shared" si="7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16"/>
        <v>0</v>
      </c>
      <c r="AK13" s="72">
        <f t="shared" si="17"/>
        <v>0</v>
      </c>
      <c r="AL13" s="10" t="e">
        <f t="shared" si="21"/>
        <v>#DIV/0!</v>
      </c>
      <c r="AM13" s="36"/>
      <c r="AN13" s="36"/>
      <c r="AO13" s="36"/>
      <c r="AP13" s="36"/>
      <c r="AQ13" s="36"/>
      <c r="AR13" s="36"/>
      <c r="AS13" s="59">
        <f t="shared" si="18"/>
        <v>189.5</v>
      </c>
      <c r="AT13" s="59">
        <f t="shared" si="19"/>
        <v>192.6</v>
      </c>
      <c r="AU13" s="10">
        <f t="shared" si="5"/>
        <v>101.63588390501319</v>
      </c>
      <c r="AV13" s="59">
        <f t="shared" si="20"/>
        <v>-3.0999999999999943</v>
      </c>
      <c r="AW13" s="16">
        <f t="shared" si="8"/>
        <v>0.09999999999999432</v>
      </c>
      <c r="AX13" s="21">
        <f t="shared" si="9"/>
        <v>189.5</v>
      </c>
      <c r="AY13" s="21">
        <f t="shared" si="10"/>
        <v>192.6</v>
      </c>
      <c r="AZ13" s="40">
        <f t="shared" si="11"/>
        <v>0.09999999999999432</v>
      </c>
    </row>
    <row r="14" spans="1:52" ht="34.5" customHeight="1">
      <c r="A14" s="12" t="s">
        <v>11</v>
      </c>
      <c r="B14" s="58" t="s">
        <v>96</v>
      </c>
      <c r="C14" s="85">
        <v>-31.6</v>
      </c>
      <c r="D14" s="36">
        <v>25.2</v>
      </c>
      <c r="E14" s="36">
        <v>9.3</v>
      </c>
      <c r="F14" s="10">
        <f t="shared" si="22"/>
        <v>36.904761904761905</v>
      </c>
      <c r="G14" s="36">
        <v>30.8</v>
      </c>
      <c r="H14" s="36">
        <v>15.5</v>
      </c>
      <c r="I14" s="10">
        <f t="shared" si="1"/>
        <v>50.324675324675326</v>
      </c>
      <c r="J14" s="36">
        <v>32.3</v>
      </c>
      <c r="K14" s="36">
        <v>40.1</v>
      </c>
      <c r="L14" s="10">
        <f t="shared" si="2"/>
        <v>124.14860681114553</v>
      </c>
      <c r="M14" s="72">
        <f t="shared" si="12"/>
        <v>88.3</v>
      </c>
      <c r="N14" s="72">
        <f t="shared" si="13"/>
        <v>64.9</v>
      </c>
      <c r="O14" s="10">
        <f t="shared" si="6"/>
        <v>73.49943374858438</v>
      </c>
      <c r="P14" s="36"/>
      <c r="Q14" s="36"/>
      <c r="R14" s="10"/>
      <c r="S14" s="36"/>
      <c r="T14" s="36"/>
      <c r="U14" s="10"/>
      <c r="V14" s="36"/>
      <c r="W14" s="36"/>
      <c r="X14" s="10" t="e">
        <f t="shared" si="3"/>
        <v>#DIV/0!</v>
      </c>
      <c r="Y14" s="72">
        <f t="shared" si="14"/>
        <v>0</v>
      </c>
      <c r="Z14" s="72">
        <f t="shared" si="15"/>
        <v>0</v>
      </c>
      <c r="AA14" s="10" t="e">
        <f t="shared" si="7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6"/>
        <v>0</v>
      </c>
      <c r="AK14" s="72">
        <f t="shared" si="17"/>
        <v>0</v>
      </c>
      <c r="AL14" s="10" t="e">
        <f t="shared" si="21"/>
        <v>#DIV/0!</v>
      </c>
      <c r="AM14" s="36"/>
      <c r="AN14" s="36"/>
      <c r="AO14" s="36"/>
      <c r="AP14" s="36"/>
      <c r="AQ14" s="36"/>
      <c r="AR14" s="36"/>
      <c r="AS14" s="59">
        <f t="shared" si="18"/>
        <v>88.3</v>
      </c>
      <c r="AT14" s="59">
        <f t="shared" si="19"/>
        <v>64.9</v>
      </c>
      <c r="AU14" s="10">
        <f t="shared" si="5"/>
        <v>73.49943374858438</v>
      </c>
      <c r="AV14" s="59">
        <f t="shared" si="20"/>
        <v>23.39999999999999</v>
      </c>
      <c r="AW14" s="16">
        <f t="shared" si="8"/>
        <v>-8.20000000000001</v>
      </c>
      <c r="AX14" s="21">
        <f t="shared" si="9"/>
        <v>88.3</v>
      </c>
      <c r="AY14" s="21">
        <f t="shared" si="10"/>
        <v>64.9</v>
      </c>
      <c r="AZ14" s="40">
        <f t="shared" si="11"/>
        <v>-8.20000000000001</v>
      </c>
    </row>
    <row r="15" spans="1:52" ht="34.5" customHeight="1">
      <c r="A15" s="12" t="s">
        <v>12</v>
      </c>
      <c r="B15" s="58" t="s">
        <v>53</v>
      </c>
      <c r="C15" s="85">
        <f>-14.1+(-2.2)</f>
        <v>-16.3</v>
      </c>
      <c r="D15" s="36">
        <f>56.1+57.7</f>
        <v>113.80000000000001</v>
      </c>
      <c r="E15" s="36">
        <f>17+56.2</f>
        <v>73.2</v>
      </c>
      <c r="F15" s="10">
        <f t="shared" si="22"/>
        <v>64.32337434094903</v>
      </c>
      <c r="G15" s="36">
        <f>37.2+58.6</f>
        <v>95.80000000000001</v>
      </c>
      <c r="H15" s="36">
        <f>54.7+58.2</f>
        <v>112.9</v>
      </c>
      <c r="I15" s="10">
        <f t="shared" si="1"/>
        <v>117.84968684759916</v>
      </c>
      <c r="J15" s="36">
        <f>73.2+49.7</f>
        <v>122.9</v>
      </c>
      <c r="K15" s="36">
        <f>75.2+52</f>
        <v>127.2</v>
      </c>
      <c r="L15" s="10">
        <f t="shared" si="2"/>
        <v>103.49877949552481</v>
      </c>
      <c r="M15" s="72">
        <f t="shared" si="12"/>
        <v>332.5</v>
      </c>
      <c r="N15" s="72">
        <f t="shared" si="13"/>
        <v>313.3</v>
      </c>
      <c r="O15" s="10">
        <f t="shared" si="6"/>
        <v>94.22556390977444</v>
      </c>
      <c r="P15" s="36"/>
      <c r="Q15" s="36"/>
      <c r="R15" s="103"/>
      <c r="S15" s="36"/>
      <c r="T15" s="36"/>
      <c r="U15" s="103"/>
      <c r="V15" s="36"/>
      <c r="W15" s="36"/>
      <c r="X15" s="10" t="e">
        <f t="shared" si="3"/>
        <v>#DIV/0!</v>
      </c>
      <c r="Y15" s="72">
        <f t="shared" si="14"/>
        <v>0</v>
      </c>
      <c r="Z15" s="72">
        <f t="shared" si="15"/>
        <v>0</v>
      </c>
      <c r="AA15" s="10" t="e">
        <f t="shared" si="7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16"/>
        <v>0</v>
      </c>
      <c r="AK15" s="72">
        <f t="shared" si="17"/>
        <v>0</v>
      </c>
      <c r="AL15" s="10" t="e">
        <f t="shared" si="21"/>
        <v>#DIV/0!</v>
      </c>
      <c r="AM15" s="36"/>
      <c r="AN15" s="36"/>
      <c r="AO15" s="36"/>
      <c r="AP15" s="36"/>
      <c r="AQ15" s="36"/>
      <c r="AR15" s="36"/>
      <c r="AS15" s="59">
        <f t="shared" si="18"/>
        <v>332.5</v>
      </c>
      <c r="AT15" s="59">
        <f t="shared" si="19"/>
        <v>313.3</v>
      </c>
      <c r="AU15" s="10">
        <f t="shared" si="5"/>
        <v>94.22556390977444</v>
      </c>
      <c r="AV15" s="59">
        <f t="shared" si="20"/>
        <v>19.19999999999999</v>
      </c>
      <c r="AW15" s="16">
        <f t="shared" si="8"/>
        <v>2.8999999999999773</v>
      </c>
      <c r="AX15" s="21">
        <f t="shared" si="9"/>
        <v>332.5</v>
      </c>
      <c r="AY15" s="21">
        <f t="shared" si="10"/>
        <v>313.3</v>
      </c>
      <c r="AZ15" s="40">
        <f t="shared" si="11"/>
        <v>2.8999999999999773</v>
      </c>
    </row>
    <row r="16" spans="1:52" ht="34.5" customHeight="1">
      <c r="A16" s="12" t="s">
        <v>13</v>
      </c>
      <c r="B16" s="58" t="s">
        <v>54</v>
      </c>
      <c r="C16" s="91">
        <v>-7.7</v>
      </c>
      <c r="D16" s="36">
        <v>4.4</v>
      </c>
      <c r="E16" s="36">
        <v>3.4</v>
      </c>
      <c r="F16" s="10">
        <f t="shared" si="22"/>
        <v>77.27272727272727</v>
      </c>
      <c r="G16" s="36">
        <v>5.1</v>
      </c>
      <c r="H16" s="36">
        <v>5.9</v>
      </c>
      <c r="I16" s="10">
        <f t="shared" si="1"/>
        <v>115.68627450980394</v>
      </c>
      <c r="J16" s="36">
        <v>4.9</v>
      </c>
      <c r="K16" s="36">
        <v>3.7</v>
      </c>
      <c r="L16" s="10">
        <f t="shared" si="2"/>
        <v>75.51020408163265</v>
      </c>
      <c r="M16" s="72">
        <f t="shared" si="12"/>
        <v>14.4</v>
      </c>
      <c r="N16" s="72">
        <f t="shared" si="13"/>
        <v>13</v>
      </c>
      <c r="O16" s="10">
        <f t="shared" si="6"/>
        <v>90.27777777777779</v>
      </c>
      <c r="P16" s="36"/>
      <c r="Q16" s="36"/>
      <c r="R16" s="10"/>
      <c r="S16" s="36"/>
      <c r="T16" s="36"/>
      <c r="U16" s="10"/>
      <c r="V16" s="36"/>
      <c r="W16" s="36"/>
      <c r="X16" s="10" t="e">
        <f t="shared" si="3"/>
        <v>#DIV/0!</v>
      </c>
      <c r="Y16" s="72">
        <f t="shared" si="14"/>
        <v>0</v>
      </c>
      <c r="Z16" s="72">
        <f t="shared" si="15"/>
        <v>0</v>
      </c>
      <c r="AA16" s="10" t="e">
        <f t="shared" si="7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6"/>
        <v>0</v>
      </c>
      <c r="AK16" s="72">
        <f t="shared" si="17"/>
        <v>0</v>
      </c>
      <c r="AL16" s="10" t="e">
        <f t="shared" si="21"/>
        <v>#DIV/0!</v>
      </c>
      <c r="AM16" s="36"/>
      <c r="AN16" s="36"/>
      <c r="AO16" s="36"/>
      <c r="AP16" s="36"/>
      <c r="AQ16" s="36"/>
      <c r="AR16" s="36"/>
      <c r="AS16" s="59">
        <f t="shared" si="18"/>
        <v>14.4</v>
      </c>
      <c r="AT16" s="59">
        <f t="shared" si="19"/>
        <v>13</v>
      </c>
      <c r="AU16" s="10">
        <f t="shared" si="5"/>
        <v>90.27777777777779</v>
      </c>
      <c r="AV16" s="59">
        <f t="shared" si="20"/>
        <v>1.4000000000000004</v>
      </c>
      <c r="AW16" s="16">
        <f t="shared" si="8"/>
        <v>-6.3</v>
      </c>
      <c r="AX16" s="21">
        <f t="shared" si="9"/>
        <v>14.4</v>
      </c>
      <c r="AY16" s="21">
        <f t="shared" si="10"/>
        <v>13</v>
      </c>
      <c r="AZ16" s="40">
        <f t="shared" si="11"/>
        <v>-6.3</v>
      </c>
    </row>
    <row r="17" spans="1:52" ht="34.5" customHeight="1">
      <c r="A17" s="12" t="s">
        <v>14</v>
      </c>
      <c r="B17" s="62" t="s">
        <v>97</v>
      </c>
      <c r="C17" s="91">
        <v>-0.5</v>
      </c>
      <c r="D17" s="36">
        <f>11.5+0.7</f>
        <v>12.2</v>
      </c>
      <c r="E17" s="36">
        <v>0.7</v>
      </c>
      <c r="F17" s="10">
        <f t="shared" si="22"/>
        <v>5.737704918032787</v>
      </c>
      <c r="G17" s="36">
        <f>9.9+42.2</f>
        <v>52.1</v>
      </c>
      <c r="H17" s="36">
        <f>17.8+42.2</f>
        <v>60</v>
      </c>
      <c r="I17" s="10">
        <f t="shared" si="1"/>
        <v>115.16314779270633</v>
      </c>
      <c r="J17" s="36">
        <f>9.6+33.9</f>
        <v>43.5</v>
      </c>
      <c r="K17" s="36">
        <f>8.1+33.9</f>
        <v>42</v>
      </c>
      <c r="L17" s="10">
        <f t="shared" si="2"/>
        <v>96.55172413793103</v>
      </c>
      <c r="M17" s="72">
        <f t="shared" si="12"/>
        <v>107.8</v>
      </c>
      <c r="N17" s="72">
        <f t="shared" si="13"/>
        <v>102.7</v>
      </c>
      <c r="O17" s="10">
        <f t="shared" si="6"/>
        <v>95.26901669758813</v>
      </c>
      <c r="P17" s="36"/>
      <c r="Q17" s="36"/>
      <c r="R17" s="10"/>
      <c r="S17" s="36"/>
      <c r="T17" s="36"/>
      <c r="U17" s="10"/>
      <c r="V17" s="36"/>
      <c r="W17" s="36"/>
      <c r="X17" s="10" t="e">
        <f t="shared" si="3"/>
        <v>#DIV/0!</v>
      </c>
      <c r="Y17" s="72">
        <f t="shared" si="14"/>
        <v>0</v>
      </c>
      <c r="Z17" s="72">
        <f t="shared" si="15"/>
        <v>0</v>
      </c>
      <c r="AA17" s="10" t="e">
        <f t="shared" si="7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6"/>
        <v>0</v>
      </c>
      <c r="AK17" s="72">
        <f t="shared" si="17"/>
        <v>0</v>
      </c>
      <c r="AL17" s="10" t="e">
        <f t="shared" si="21"/>
        <v>#DIV/0!</v>
      </c>
      <c r="AM17" s="36"/>
      <c r="AN17" s="36"/>
      <c r="AO17" s="36"/>
      <c r="AP17" s="36"/>
      <c r="AQ17" s="36"/>
      <c r="AR17" s="36"/>
      <c r="AS17" s="59">
        <f>M17+Y17+AJ17+AM17+AO17+AQ17</f>
        <v>107.8</v>
      </c>
      <c r="AT17" s="59">
        <f t="shared" si="19"/>
        <v>102.7</v>
      </c>
      <c r="AU17" s="10">
        <f t="shared" si="5"/>
        <v>95.26901669758813</v>
      </c>
      <c r="AV17" s="59">
        <f t="shared" si="20"/>
        <v>5.099999999999994</v>
      </c>
      <c r="AW17" s="16">
        <f t="shared" si="8"/>
        <v>4.599999999999994</v>
      </c>
      <c r="AX17" s="21">
        <f t="shared" si="9"/>
        <v>107.8</v>
      </c>
      <c r="AY17" s="21">
        <f t="shared" si="10"/>
        <v>102.7</v>
      </c>
      <c r="AZ17" s="40">
        <f t="shared" si="11"/>
        <v>4.599999999999994</v>
      </c>
    </row>
    <row r="18" spans="1:52" ht="34.5" customHeight="1">
      <c r="A18" s="12" t="s">
        <v>15</v>
      </c>
      <c r="B18" s="62" t="s">
        <v>55</v>
      </c>
      <c r="C18" s="85">
        <v>0</v>
      </c>
      <c r="D18" s="36">
        <v>27.9</v>
      </c>
      <c r="E18" s="36">
        <v>27.5</v>
      </c>
      <c r="F18" s="10">
        <f t="shared" si="22"/>
        <v>98.5663082437276</v>
      </c>
      <c r="G18" s="36">
        <v>24.4</v>
      </c>
      <c r="H18" s="36">
        <v>24.8</v>
      </c>
      <c r="I18" s="10">
        <f t="shared" si="1"/>
        <v>101.63934426229508</v>
      </c>
      <c r="J18" s="36">
        <v>21.3</v>
      </c>
      <c r="K18" s="36">
        <v>21.3</v>
      </c>
      <c r="L18" s="10">
        <f t="shared" si="2"/>
        <v>100</v>
      </c>
      <c r="M18" s="72">
        <f t="shared" si="12"/>
        <v>73.6</v>
      </c>
      <c r="N18" s="72">
        <f t="shared" si="13"/>
        <v>73.6</v>
      </c>
      <c r="O18" s="10">
        <f t="shared" si="6"/>
        <v>100</v>
      </c>
      <c r="P18" s="36"/>
      <c r="Q18" s="36"/>
      <c r="R18" s="10"/>
      <c r="S18" s="36"/>
      <c r="T18" s="36"/>
      <c r="U18" s="10"/>
      <c r="V18" s="36"/>
      <c r="W18" s="36"/>
      <c r="X18" s="10" t="e">
        <f t="shared" si="3"/>
        <v>#DIV/0!</v>
      </c>
      <c r="Y18" s="72">
        <f t="shared" si="14"/>
        <v>0</v>
      </c>
      <c r="Z18" s="72">
        <f t="shared" si="15"/>
        <v>0</v>
      </c>
      <c r="AA18" s="10" t="e">
        <f t="shared" si="7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6"/>
        <v>0</v>
      </c>
      <c r="AK18" s="72">
        <f t="shared" si="17"/>
        <v>0</v>
      </c>
      <c r="AL18" s="10" t="e">
        <f t="shared" si="21"/>
        <v>#DIV/0!</v>
      </c>
      <c r="AM18" s="36"/>
      <c r="AN18" s="36"/>
      <c r="AO18" s="36"/>
      <c r="AP18" s="36"/>
      <c r="AQ18" s="36"/>
      <c r="AR18" s="36"/>
      <c r="AS18" s="59">
        <f t="shared" si="18"/>
        <v>73.6</v>
      </c>
      <c r="AT18" s="59">
        <f t="shared" si="19"/>
        <v>73.6</v>
      </c>
      <c r="AU18" s="10">
        <f t="shared" si="5"/>
        <v>100</v>
      </c>
      <c r="AV18" s="59">
        <f t="shared" si="20"/>
        <v>0</v>
      </c>
      <c r="AW18" s="16">
        <f t="shared" si="8"/>
        <v>0</v>
      </c>
      <c r="AX18" s="21">
        <f t="shared" si="9"/>
        <v>73.6</v>
      </c>
      <c r="AY18" s="21">
        <f t="shared" si="10"/>
        <v>73.6</v>
      </c>
      <c r="AZ18" s="40">
        <f t="shared" si="11"/>
        <v>0</v>
      </c>
    </row>
    <row r="19" spans="1:52" ht="34.5" customHeight="1">
      <c r="A19" s="12" t="s">
        <v>16</v>
      </c>
      <c r="B19" s="58" t="s">
        <v>56</v>
      </c>
      <c r="C19" s="85">
        <v>20.9</v>
      </c>
      <c r="D19" s="36">
        <v>116.2</v>
      </c>
      <c r="E19" s="36">
        <v>101.7</v>
      </c>
      <c r="F19" s="55">
        <f t="shared" si="22"/>
        <v>87.52151462994836</v>
      </c>
      <c r="G19" s="36">
        <v>120.6</v>
      </c>
      <c r="H19" s="36">
        <v>154.5</v>
      </c>
      <c r="I19" s="10">
        <f t="shared" si="1"/>
        <v>128.10945273631842</v>
      </c>
      <c r="J19" s="36">
        <v>109.1</v>
      </c>
      <c r="K19" s="36">
        <v>93.2</v>
      </c>
      <c r="L19" s="10">
        <f t="shared" si="2"/>
        <v>85.4262144821265</v>
      </c>
      <c r="M19" s="72">
        <f t="shared" si="12"/>
        <v>345.9</v>
      </c>
      <c r="N19" s="72">
        <f t="shared" si="13"/>
        <v>349.4</v>
      </c>
      <c r="O19" s="10">
        <f t="shared" si="6"/>
        <v>101.01185313674472</v>
      </c>
      <c r="P19" s="36"/>
      <c r="Q19" s="36"/>
      <c r="R19" s="103"/>
      <c r="S19" s="36"/>
      <c r="T19" s="36"/>
      <c r="U19" s="103"/>
      <c r="V19" s="36"/>
      <c r="W19" s="36"/>
      <c r="X19" s="10" t="e">
        <f t="shared" si="3"/>
        <v>#DIV/0!</v>
      </c>
      <c r="Y19" s="72">
        <f t="shared" si="14"/>
        <v>0</v>
      </c>
      <c r="Z19" s="72">
        <f t="shared" si="15"/>
        <v>0</v>
      </c>
      <c r="AA19" s="10" t="e">
        <f t="shared" si="7"/>
        <v>#DIV/0!</v>
      </c>
      <c r="AB19" s="36"/>
      <c r="AC19" s="36"/>
      <c r="AD19" s="10"/>
      <c r="AE19" s="36"/>
      <c r="AF19" s="36"/>
      <c r="AG19" s="104"/>
      <c r="AH19" s="36"/>
      <c r="AI19" s="36"/>
      <c r="AJ19" s="72">
        <f t="shared" si="16"/>
        <v>0</v>
      </c>
      <c r="AK19" s="72">
        <f t="shared" si="17"/>
        <v>0</v>
      </c>
      <c r="AL19" s="10" t="e">
        <f t="shared" si="21"/>
        <v>#DIV/0!</v>
      </c>
      <c r="AM19" s="36"/>
      <c r="AN19" s="36"/>
      <c r="AO19" s="36"/>
      <c r="AP19" s="36"/>
      <c r="AQ19" s="36"/>
      <c r="AR19" s="36"/>
      <c r="AS19" s="59">
        <f t="shared" si="18"/>
        <v>345.9</v>
      </c>
      <c r="AT19" s="59">
        <f t="shared" si="19"/>
        <v>349.4</v>
      </c>
      <c r="AU19" s="10">
        <f t="shared" si="5"/>
        <v>101.01185313674472</v>
      </c>
      <c r="AV19" s="59">
        <f t="shared" si="20"/>
        <v>-3.5</v>
      </c>
      <c r="AW19" s="16">
        <f t="shared" si="8"/>
        <v>17.399999999999977</v>
      </c>
      <c r="AX19" s="21">
        <f t="shared" si="9"/>
        <v>345.9</v>
      </c>
      <c r="AY19" s="21">
        <f t="shared" si="10"/>
        <v>349.4</v>
      </c>
      <c r="AZ19" s="40">
        <f t="shared" si="11"/>
        <v>17.399999999999977</v>
      </c>
    </row>
    <row r="20" spans="1:52" ht="34.5" customHeight="1">
      <c r="A20" s="12" t="s">
        <v>17</v>
      </c>
      <c r="B20" s="62" t="s">
        <v>57</v>
      </c>
      <c r="C20" s="92">
        <v>4.5</v>
      </c>
      <c r="D20" s="36">
        <v>16.5</v>
      </c>
      <c r="E20" s="36">
        <v>11.2</v>
      </c>
      <c r="F20" s="10">
        <f t="shared" si="22"/>
        <v>67.87878787878788</v>
      </c>
      <c r="G20" s="36">
        <v>19.2</v>
      </c>
      <c r="H20" s="36">
        <v>12.9</v>
      </c>
      <c r="I20" s="10">
        <f t="shared" si="1"/>
        <v>67.1875</v>
      </c>
      <c r="J20" s="36">
        <v>32.3</v>
      </c>
      <c r="K20" s="36">
        <v>42.3</v>
      </c>
      <c r="L20" s="10">
        <f t="shared" si="2"/>
        <v>130.95975232198143</v>
      </c>
      <c r="M20" s="72">
        <f t="shared" si="12"/>
        <v>68</v>
      </c>
      <c r="N20" s="72">
        <f t="shared" si="13"/>
        <v>66.4</v>
      </c>
      <c r="O20" s="10">
        <f t="shared" si="6"/>
        <v>97.64705882352942</v>
      </c>
      <c r="P20" s="36"/>
      <c r="Q20" s="36"/>
      <c r="R20" s="103"/>
      <c r="S20" s="36"/>
      <c r="T20" s="36"/>
      <c r="U20" s="103"/>
      <c r="V20" s="36"/>
      <c r="W20" s="36"/>
      <c r="X20" s="10" t="e">
        <f t="shared" si="3"/>
        <v>#DIV/0!</v>
      </c>
      <c r="Y20" s="72">
        <f t="shared" si="14"/>
        <v>0</v>
      </c>
      <c r="Z20" s="72">
        <f t="shared" si="15"/>
        <v>0</v>
      </c>
      <c r="AA20" s="10" t="e">
        <f t="shared" si="7"/>
        <v>#DIV/0!</v>
      </c>
      <c r="AB20" s="36"/>
      <c r="AC20" s="36"/>
      <c r="AD20" s="10"/>
      <c r="AE20" s="36"/>
      <c r="AF20" s="36"/>
      <c r="AG20" s="10"/>
      <c r="AH20" s="36"/>
      <c r="AI20" s="36"/>
      <c r="AJ20" s="72">
        <f t="shared" si="16"/>
        <v>0</v>
      </c>
      <c r="AK20" s="72">
        <f t="shared" si="17"/>
        <v>0</v>
      </c>
      <c r="AL20" s="10" t="e">
        <f t="shared" si="21"/>
        <v>#DIV/0!</v>
      </c>
      <c r="AM20" s="36"/>
      <c r="AN20" s="36"/>
      <c r="AO20" s="36"/>
      <c r="AP20" s="36"/>
      <c r="AQ20" s="36"/>
      <c r="AR20" s="36"/>
      <c r="AS20" s="59">
        <f t="shared" si="18"/>
        <v>68</v>
      </c>
      <c r="AT20" s="59">
        <f t="shared" si="19"/>
        <v>66.4</v>
      </c>
      <c r="AU20" s="10">
        <f t="shared" si="5"/>
        <v>97.64705882352942</v>
      </c>
      <c r="AV20" s="59">
        <f t="shared" si="20"/>
        <v>1.5999999999999943</v>
      </c>
      <c r="AW20" s="16">
        <f t="shared" si="8"/>
        <v>6.099999999999994</v>
      </c>
      <c r="AX20" s="21">
        <f t="shared" si="9"/>
        <v>68</v>
      </c>
      <c r="AY20" s="21">
        <f t="shared" si="10"/>
        <v>66.4</v>
      </c>
      <c r="AZ20" s="40">
        <f t="shared" si="11"/>
        <v>6.099999999999994</v>
      </c>
    </row>
    <row r="21" spans="1:52" ht="34.5" customHeight="1">
      <c r="A21" s="12" t="s">
        <v>18</v>
      </c>
      <c r="B21" s="62" t="s">
        <v>58</v>
      </c>
      <c r="C21" s="89">
        <v>0</v>
      </c>
      <c r="D21" s="36">
        <v>1.4</v>
      </c>
      <c r="E21" s="36">
        <v>1.4</v>
      </c>
      <c r="F21" s="76">
        <f t="shared" si="22"/>
        <v>100</v>
      </c>
      <c r="G21" s="36">
        <v>1.4</v>
      </c>
      <c r="H21" s="36">
        <v>1.4</v>
      </c>
      <c r="I21" s="10">
        <f t="shared" si="1"/>
        <v>100</v>
      </c>
      <c r="J21" s="36">
        <v>1.6</v>
      </c>
      <c r="K21" s="36">
        <v>1.6</v>
      </c>
      <c r="L21" s="10">
        <f t="shared" si="2"/>
        <v>100</v>
      </c>
      <c r="M21" s="72">
        <f t="shared" si="12"/>
        <v>4.4</v>
      </c>
      <c r="N21" s="72">
        <f t="shared" si="13"/>
        <v>4.4</v>
      </c>
      <c r="O21" s="10">
        <f t="shared" si="6"/>
        <v>100</v>
      </c>
      <c r="P21" s="36"/>
      <c r="Q21" s="36"/>
      <c r="R21" s="103"/>
      <c r="S21" s="36"/>
      <c r="T21" s="36"/>
      <c r="U21" s="103"/>
      <c r="V21" s="36"/>
      <c r="W21" s="36"/>
      <c r="X21" s="10" t="e">
        <f t="shared" si="3"/>
        <v>#DIV/0!</v>
      </c>
      <c r="Y21" s="72">
        <f t="shared" si="14"/>
        <v>0</v>
      </c>
      <c r="Z21" s="72">
        <f t="shared" si="15"/>
        <v>0</v>
      </c>
      <c r="AA21" s="10" t="e">
        <f t="shared" si="7"/>
        <v>#DIV/0!</v>
      </c>
      <c r="AB21" s="36"/>
      <c r="AC21" s="36"/>
      <c r="AD21" s="10"/>
      <c r="AE21" s="36"/>
      <c r="AF21" s="36"/>
      <c r="AG21" s="10"/>
      <c r="AH21" s="36"/>
      <c r="AI21" s="36"/>
      <c r="AJ21" s="72">
        <f t="shared" si="16"/>
        <v>0</v>
      </c>
      <c r="AK21" s="72">
        <f t="shared" si="17"/>
        <v>0</v>
      </c>
      <c r="AL21" s="10" t="e">
        <f t="shared" si="21"/>
        <v>#DIV/0!</v>
      </c>
      <c r="AM21" s="36"/>
      <c r="AN21" s="36"/>
      <c r="AO21" s="36"/>
      <c r="AP21" s="36"/>
      <c r="AQ21" s="36"/>
      <c r="AR21" s="36"/>
      <c r="AS21" s="59">
        <f t="shared" si="18"/>
        <v>4.4</v>
      </c>
      <c r="AT21" s="59">
        <f t="shared" si="19"/>
        <v>4.4</v>
      </c>
      <c r="AU21" s="10">
        <f t="shared" si="5"/>
        <v>100</v>
      </c>
      <c r="AV21" s="59">
        <f t="shared" si="20"/>
        <v>0</v>
      </c>
      <c r="AW21" s="16">
        <f t="shared" si="8"/>
        <v>0</v>
      </c>
      <c r="AX21" s="21">
        <f t="shared" si="9"/>
        <v>4.4</v>
      </c>
      <c r="AY21" s="21">
        <f t="shared" si="10"/>
        <v>4.4</v>
      </c>
      <c r="AZ21" s="40">
        <f t="shared" si="11"/>
        <v>0</v>
      </c>
    </row>
    <row r="22" spans="1:52" ht="34.5" customHeight="1">
      <c r="A22" s="12" t="s">
        <v>19</v>
      </c>
      <c r="B22" s="62" t="s">
        <v>41</v>
      </c>
      <c r="C22" s="93">
        <v>-1.9</v>
      </c>
      <c r="D22" s="36">
        <v>13.4</v>
      </c>
      <c r="E22" s="36">
        <v>11.4</v>
      </c>
      <c r="F22" s="10">
        <f t="shared" si="22"/>
        <v>85.07462686567165</v>
      </c>
      <c r="G22" s="36">
        <v>15.3</v>
      </c>
      <c r="H22" s="36">
        <v>15.4</v>
      </c>
      <c r="I22" s="10">
        <f t="shared" si="1"/>
        <v>100.65359477124183</v>
      </c>
      <c r="J22" s="36">
        <v>12</v>
      </c>
      <c r="K22" s="36">
        <v>10.8</v>
      </c>
      <c r="L22" s="10">
        <f t="shared" si="2"/>
        <v>90</v>
      </c>
      <c r="M22" s="72">
        <f t="shared" si="12"/>
        <v>40.7</v>
      </c>
      <c r="N22" s="72">
        <f t="shared" si="13"/>
        <v>37.6</v>
      </c>
      <c r="O22" s="10">
        <f t="shared" si="6"/>
        <v>92.38329238329239</v>
      </c>
      <c r="P22" s="36"/>
      <c r="Q22" s="36"/>
      <c r="R22" s="103"/>
      <c r="S22" s="36"/>
      <c r="T22" s="36"/>
      <c r="U22" s="103"/>
      <c r="V22" s="36"/>
      <c r="W22" s="36"/>
      <c r="X22" s="10" t="e">
        <f t="shared" si="3"/>
        <v>#DIV/0!</v>
      </c>
      <c r="Y22" s="72">
        <f t="shared" si="14"/>
        <v>0</v>
      </c>
      <c r="Z22" s="72">
        <f t="shared" si="15"/>
        <v>0</v>
      </c>
      <c r="AA22" s="10" t="e">
        <f t="shared" si="7"/>
        <v>#DIV/0!</v>
      </c>
      <c r="AB22" s="36"/>
      <c r="AC22" s="36"/>
      <c r="AD22" s="10"/>
      <c r="AE22" s="36"/>
      <c r="AF22" s="36"/>
      <c r="AG22" s="105"/>
      <c r="AH22" s="36"/>
      <c r="AI22" s="36"/>
      <c r="AJ22" s="72">
        <f t="shared" si="16"/>
        <v>0</v>
      </c>
      <c r="AK22" s="72">
        <f t="shared" si="17"/>
        <v>0</v>
      </c>
      <c r="AL22" s="10" t="e">
        <f t="shared" si="21"/>
        <v>#DIV/0!</v>
      </c>
      <c r="AM22" s="36"/>
      <c r="AN22" s="36"/>
      <c r="AO22" s="36"/>
      <c r="AP22" s="36"/>
      <c r="AQ22" s="36"/>
      <c r="AR22" s="36"/>
      <c r="AS22" s="59">
        <f t="shared" si="18"/>
        <v>40.7</v>
      </c>
      <c r="AT22" s="59">
        <f t="shared" si="19"/>
        <v>37.6</v>
      </c>
      <c r="AU22" s="10">
        <f t="shared" si="5"/>
        <v>92.38329238329239</v>
      </c>
      <c r="AV22" s="59">
        <f t="shared" si="20"/>
        <v>3.1000000000000014</v>
      </c>
      <c r="AW22" s="16">
        <f t="shared" si="8"/>
        <v>1.2000000000000028</v>
      </c>
      <c r="AX22" s="21">
        <f t="shared" si="9"/>
        <v>40.7</v>
      </c>
      <c r="AY22" s="21">
        <f t="shared" si="10"/>
        <v>37.6</v>
      </c>
      <c r="AZ22" s="40">
        <f t="shared" si="11"/>
        <v>1.2000000000000028</v>
      </c>
    </row>
    <row r="23" spans="1:52" ht="34.5" customHeight="1">
      <c r="A23" s="12" t="s">
        <v>20</v>
      </c>
      <c r="B23" s="62" t="s">
        <v>98</v>
      </c>
      <c r="C23" s="85">
        <v>0</v>
      </c>
      <c r="D23" s="36">
        <v>2</v>
      </c>
      <c r="E23" s="36">
        <v>0</v>
      </c>
      <c r="F23" s="10">
        <f t="shared" si="22"/>
        <v>0</v>
      </c>
      <c r="G23" s="36">
        <v>2.3</v>
      </c>
      <c r="H23" s="36">
        <v>2.5</v>
      </c>
      <c r="I23" s="10">
        <f t="shared" si="1"/>
        <v>108.69565217391306</v>
      </c>
      <c r="J23" s="36">
        <v>2.4</v>
      </c>
      <c r="K23" s="36">
        <v>2.5</v>
      </c>
      <c r="L23" s="10">
        <f t="shared" si="2"/>
        <v>104.16666666666667</v>
      </c>
      <c r="M23" s="72">
        <f t="shared" si="12"/>
        <v>6.699999999999999</v>
      </c>
      <c r="N23" s="72">
        <f t="shared" si="13"/>
        <v>5</v>
      </c>
      <c r="O23" s="10">
        <f t="shared" si="6"/>
        <v>74.6268656716418</v>
      </c>
      <c r="P23" s="36"/>
      <c r="Q23" s="36"/>
      <c r="R23" s="10"/>
      <c r="S23" s="36"/>
      <c r="T23" s="36"/>
      <c r="U23" s="10"/>
      <c r="V23" s="36"/>
      <c r="W23" s="36"/>
      <c r="X23" s="10" t="e">
        <f t="shared" si="3"/>
        <v>#DIV/0!</v>
      </c>
      <c r="Y23" s="72">
        <f t="shared" si="14"/>
        <v>0</v>
      </c>
      <c r="Z23" s="72">
        <f t="shared" si="15"/>
        <v>0</v>
      </c>
      <c r="AA23" s="10" t="e">
        <f t="shared" si="7"/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6"/>
        <v>0</v>
      </c>
      <c r="AK23" s="72">
        <f t="shared" si="17"/>
        <v>0</v>
      </c>
      <c r="AL23" s="10" t="e">
        <f t="shared" si="21"/>
        <v>#DIV/0!</v>
      </c>
      <c r="AM23" s="36"/>
      <c r="AN23" s="36"/>
      <c r="AO23" s="36"/>
      <c r="AP23" s="36"/>
      <c r="AQ23" s="36"/>
      <c r="AR23" s="36"/>
      <c r="AS23" s="59">
        <f t="shared" si="18"/>
        <v>6.699999999999999</v>
      </c>
      <c r="AT23" s="59">
        <f t="shared" si="19"/>
        <v>5</v>
      </c>
      <c r="AU23" s="10">
        <f t="shared" si="5"/>
        <v>74.6268656716418</v>
      </c>
      <c r="AV23" s="59">
        <f t="shared" si="20"/>
        <v>1.6999999999999993</v>
      </c>
      <c r="AW23" s="16">
        <f t="shared" si="8"/>
        <v>1.6999999999999993</v>
      </c>
      <c r="AX23" s="21">
        <f t="shared" si="9"/>
        <v>6.699999999999999</v>
      </c>
      <c r="AY23" s="21">
        <f t="shared" si="10"/>
        <v>5</v>
      </c>
      <c r="AZ23" s="40">
        <f t="shared" si="11"/>
        <v>1.6999999999999993</v>
      </c>
    </row>
    <row r="24" spans="1:52" ht="34.5" customHeight="1">
      <c r="A24" s="12" t="s">
        <v>21</v>
      </c>
      <c r="B24" s="62" t="s">
        <v>40</v>
      </c>
      <c r="C24" s="85">
        <v>0</v>
      </c>
      <c r="D24" s="36">
        <v>59.1</v>
      </c>
      <c r="E24" s="36">
        <v>33.5</v>
      </c>
      <c r="F24" s="10">
        <f>E24/D24*100</f>
        <v>56.683587140439926</v>
      </c>
      <c r="G24" s="36">
        <v>73.8</v>
      </c>
      <c r="H24" s="36">
        <v>99.4</v>
      </c>
      <c r="I24" s="10">
        <f t="shared" si="1"/>
        <v>134.68834688346885</v>
      </c>
      <c r="J24" s="36">
        <v>69.6</v>
      </c>
      <c r="K24" s="36">
        <v>69.6</v>
      </c>
      <c r="L24" s="10">
        <f t="shared" si="2"/>
        <v>100</v>
      </c>
      <c r="M24" s="72">
        <f t="shared" si="12"/>
        <v>202.5</v>
      </c>
      <c r="N24" s="72">
        <f t="shared" si="13"/>
        <v>202.5</v>
      </c>
      <c r="O24" s="10">
        <f t="shared" si="6"/>
        <v>100</v>
      </c>
      <c r="P24" s="36"/>
      <c r="Q24" s="36"/>
      <c r="R24" s="10"/>
      <c r="S24" s="36"/>
      <c r="T24" s="36"/>
      <c r="U24" s="10"/>
      <c r="V24" s="36"/>
      <c r="W24" s="36"/>
      <c r="X24" s="10" t="e">
        <f t="shared" si="3"/>
        <v>#DIV/0!</v>
      </c>
      <c r="Y24" s="72">
        <f t="shared" si="14"/>
        <v>0</v>
      </c>
      <c r="Z24" s="72">
        <f t="shared" si="15"/>
        <v>0</v>
      </c>
      <c r="AA24" s="10" t="e">
        <f t="shared" si="7"/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6"/>
        <v>0</v>
      </c>
      <c r="AK24" s="72">
        <f t="shared" si="17"/>
        <v>0</v>
      </c>
      <c r="AL24" s="10" t="e">
        <f t="shared" si="21"/>
        <v>#DIV/0!</v>
      </c>
      <c r="AM24" s="36"/>
      <c r="AN24" s="36"/>
      <c r="AO24" s="36"/>
      <c r="AP24" s="36"/>
      <c r="AQ24" s="36"/>
      <c r="AR24" s="36"/>
      <c r="AS24" s="59">
        <f t="shared" si="18"/>
        <v>202.5</v>
      </c>
      <c r="AT24" s="59">
        <f t="shared" si="19"/>
        <v>202.5</v>
      </c>
      <c r="AU24" s="10">
        <f t="shared" si="5"/>
        <v>100</v>
      </c>
      <c r="AV24" s="59">
        <f t="shared" si="20"/>
        <v>0</v>
      </c>
      <c r="AW24" s="16">
        <f t="shared" si="8"/>
        <v>0</v>
      </c>
      <c r="AX24" s="21">
        <f t="shared" si="9"/>
        <v>202.5</v>
      </c>
      <c r="AY24" s="21">
        <f t="shared" si="10"/>
        <v>202.5</v>
      </c>
      <c r="AZ24" s="40">
        <f t="shared" si="11"/>
        <v>0</v>
      </c>
    </row>
    <row r="25" spans="1:52" ht="34.5" customHeight="1">
      <c r="A25" s="12" t="s">
        <v>22</v>
      </c>
      <c r="B25" s="58" t="s">
        <v>43</v>
      </c>
      <c r="C25" s="85">
        <v>18.8</v>
      </c>
      <c r="D25" s="36">
        <v>89.3</v>
      </c>
      <c r="E25" s="36">
        <v>11.6</v>
      </c>
      <c r="F25" s="10">
        <f>E25/D25*100</f>
        <v>12.989921612541993</v>
      </c>
      <c r="G25" s="36">
        <v>74.7</v>
      </c>
      <c r="H25" s="36">
        <v>88.2</v>
      </c>
      <c r="I25" s="10">
        <f t="shared" si="1"/>
        <v>118.07228915662651</v>
      </c>
      <c r="J25" s="36">
        <v>80</v>
      </c>
      <c r="K25" s="36">
        <v>91.5</v>
      </c>
      <c r="L25" s="10">
        <f t="shared" si="2"/>
        <v>114.375</v>
      </c>
      <c r="M25" s="72">
        <f t="shared" si="12"/>
        <v>244</v>
      </c>
      <c r="N25" s="72">
        <f t="shared" si="13"/>
        <v>191.3</v>
      </c>
      <c r="O25" s="10">
        <f t="shared" si="6"/>
        <v>78.40163934426229</v>
      </c>
      <c r="P25" s="36"/>
      <c r="Q25" s="36"/>
      <c r="R25" s="10"/>
      <c r="S25" s="36"/>
      <c r="T25" s="36"/>
      <c r="U25" s="10"/>
      <c r="V25" s="36"/>
      <c r="W25" s="36"/>
      <c r="X25" s="10" t="e">
        <f t="shared" si="3"/>
        <v>#DIV/0!</v>
      </c>
      <c r="Y25" s="72">
        <f t="shared" si="14"/>
        <v>0</v>
      </c>
      <c r="Z25" s="72">
        <f t="shared" si="15"/>
        <v>0</v>
      </c>
      <c r="AA25" s="10" t="e">
        <f t="shared" si="7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6"/>
        <v>0</v>
      </c>
      <c r="AK25" s="72">
        <f t="shared" si="17"/>
        <v>0</v>
      </c>
      <c r="AL25" s="10" t="e">
        <f t="shared" si="21"/>
        <v>#DIV/0!</v>
      </c>
      <c r="AM25" s="36"/>
      <c r="AN25" s="36"/>
      <c r="AO25" s="36"/>
      <c r="AP25" s="36"/>
      <c r="AQ25" s="36"/>
      <c r="AR25" s="36"/>
      <c r="AS25" s="59">
        <f t="shared" si="18"/>
        <v>244</v>
      </c>
      <c r="AT25" s="59">
        <f t="shared" si="19"/>
        <v>191.3</v>
      </c>
      <c r="AU25" s="10">
        <f t="shared" si="5"/>
        <v>78.40163934426229</v>
      </c>
      <c r="AV25" s="59">
        <f t="shared" si="20"/>
        <v>52.69999999999999</v>
      </c>
      <c r="AW25" s="16">
        <f t="shared" si="8"/>
        <v>71.5</v>
      </c>
      <c r="AX25" s="21">
        <f t="shared" si="9"/>
        <v>244</v>
      </c>
      <c r="AY25" s="21">
        <f t="shared" si="10"/>
        <v>191.3</v>
      </c>
      <c r="AZ25" s="40">
        <f t="shared" si="11"/>
        <v>71.5</v>
      </c>
    </row>
    <row r="26" spans="1:52" ht="34.5" customHeight="1">
      <c r="A26" s="12" t="s">
        <v>23</v>
      </c>
      <c r="B26" s="62" t="s">
        <v>99</v>
      </c>
      <c r="C26" s="85">
        <v>0</v>
      </c>
      <c r="D26" s="36">
        <v>1.5</v>
      </c>
      <c r="E26" s="36">
        <v>1.5</v>
      </c>
      <c r="F26" s="10">
        <f>E26/D26*100</f>
        <v>100</v>
      </c>
      <c r="G26" s="36">
        <v>1.4</v>
      </c>
      <c r="H26" s="36">
        <v>1.4</v>
      </c>
      <c r="I26" s="10">
        <f t="shared" si="1"/>
        <v>100</v>
      </c>
      <c r="J26" s="36">
        <v>1.4</v>
      </c>
      <c r="K26" s="36">
        <v>1.4</v>
      </c>
      <c r="L26" s="10">
        <f t="shared" si="2"/>
        <v>100</v>
      </c>
      <c r="M26" s="72">
        <f t="shared" si="12"/>
        <v>4.3</v>
      </c>
      <c r="N26" s="72">
        <f t="shared" si="13"/>
        <v>4.3</v>
      </c>
      <c r="O26" s="10">
        <f t="shared" si="6"/>
        <v>100</v>
      </c>
      <c r="P26" s="36"/>
      <c r="Q26" s="36"/>
      <c r="R26" s="10"/>
      <c r="S26" s="36"/>
      <c r="T26" s="36"/>
      <c r="U26" s="10"/>
      <c r="V26" s="36"/>
      <c r="W26" s="36"/>
      <c r="X26" s="10" t="e">
        <f t="shared" si="3"/>
        <v>#DIV/0!</v>
      </c>
      <c r="Y26" s="72">
        <f t="shared" si="14"/>
        <v>0</v>
      </c>
      <c r="Z26" s="72">
        <f t="shared" si="15"/>
        <v>0</v>
      </c>
      <c r="AA26" s="10" t="e">
        <f t="shared" si="7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6"/>
        <v>0</v>
      </c>
      <c r="AK26" s="72">
        <f t="shared" si="17"/>
        <v>0</v>
      </c>
      <c r="AL26" s="10" t="e">
        <f t="shared" si="21"/>
        <v>#DIV/0!</v>
      </c>
      <c r="AM26" s="36"/>
      <c r="AN26" s="36"/>
      <c r="AO26" s="36"/>
      <c r="AP26" s="36"/>
      <c r="AQ26" s="36"/>
      <c r="AR26" s="36"/>
      <c r="AS26" s="59">
        <f t="shared" si="18"/>
        <v>4.3</v>
      </c>
      <c r="AT26" s="59">
        <f t="shared" si="19"/>
        <v>4.3</v>
      </c>
      <c r="AU26" s="10">
        <f t="shared" si="5"/>
        <v>100</v>
      </c>
      <c r="AV26" s="59">
        <f t="shared" si="20"/>
        <v>0</v>
      </c>
      <c r="AW26" s="16">
        <f t="shared" si="8"/>
        <v>0</v>
      </c>
      <c r="AX26" s="21">
        <f t="shared" si="9"/>
        <v>4.3</v>
      </c>
      <c r="AY26" s="21">
        <f t="shared" si="10"/>
        <v>4.3</v>
      </c>
      <c r="AZ26" s="40">
        <f t="shared" si="11"/>
        <v>0</v>
      </c>
    </row>
    <row r="27" spans="1:52" ht="34.5" customHeight="1">
      <c r="A27" s="12" t="s">
        <v>24</v>
      </c>
      <c r="B27" s="62" t="s">
        <v>59</v>
      </c>
      <c r="C27" s="85">
        <v>0</v>
      </c>
      <c r="D27" s="36">
        <v>17.7</v>
      </c>
      <c r="E27" s="36">
        <v>1</v>
      </c>
      <c r="F27" s="53">
        <f>E27/D27*100</f>
        <v>5.649717514124294</v>
      </c>
      <c r="G27" s="36">
        <v>23.2</v>
      </c>
      <c r="H27" s="36">
        <v>17.2</v>
      </c>
      <c r="I27" s="10">
        <f t="shared" si="1"/>
        <v>74.13793103448276</v>
      </c>
      <c r="J27" s="36">
        <v>21.8</v>
      </c>
      <c r="K27" s="36">
        <v>44.2</v>
      </c>
      <c r="L27" s="10">
        <f t="shared" si="2"/>
        <v>202.75229357798165</v>
      </c>
      <c r="M27" s="72">
        <f t="shared" si="12"/>
        <v>62.7</v>
      </c>
      <c r="N27" s="72">
        <f t="shared" si="13"/>
        <v>62.400000000000006</v>
      </c>
      <c r="O27" s="10">
        <f t="shared" si="6"/>
        <v>99.52153110047848</v>
      </c>
      <c r="P27" s="36"/>
      <c r="Q27" s="36"/>
      <c r="R27" s="10"/>
      <c r="S27" s="36"/>
      <c r="T27" s="36"/>
      <c r="U27" s="10"/>
      <c r="V27" s="36"/>
      <c r="W27" s="36"/>
      <c r="X27" s="10" t="e">
        <f t="shared" si="3"/>
        <v>#DIV/0!</v>
      </c>
      <c r="Y27" s="72">
        <f t="shared" si="14"/>
        <v>0</v>
      </c>
      <c r="Z27" s="72">
        <f t="shared" si="15"/>
        <v>0</v>
      </c>
      <c r="AA27" s="10" t="e">
        <f t="shared" si="7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6"/>
        <v>0</v>
      </c>
      <c r="AK27" s="72">
        <f t="shared" si="17"/>
        <v>0</v>
      </c>
      <c r="AL27" s="10" t="e">
        <f t="shared" si="21"/>
        <v>#DIV/0!</v>
      </c>
      <c r="AM27" s="36"/>
      <c r="AN27" s="36"/>
      <c r="AO27" s="36"/>
      <c r="AP27" s="36"/>
      <c r="AQ27" s="36"/>
      <c r="AR27" s="36"/>
      <c r="AS27" s="59">
        <f t="shared" si="18"/>
        <v>62.7</v>
      </c>
      <c r="AT27" s="59">
        <f t="shared" si="19"/>
        <v>62.400000000000006</v>
      </c>
      <c r="AU27" s="10">
        <f t="shared" si="5"/>
        <v>99.52153110047848</v>
      </c>
      <c r="AV27" s="59">
        <f t="shared" si="20"/>
        <v>0.29999999999999716</v>
      </c>
      <c r="AW27" s="16">
        <f t="shared" si="8"/>
        <v>0.29999999999999716</v>
      </c>
      <c r="AX27" s="21">
        <f t="shared" si="9"/>
        <v>62.7</v>
      </c>
      <c r="AY27" s="21">
        <f t="shared" si="10"/>
        <v>62.400000000000006</v>
      </c>
      <c r="AZ27" s="40">
        <f t="shared" si="11"/>
        <v>0.29999999999999716</v>
      </c>
    </row>
    <row r="28" spans="1:52" ht="34.5" customHeight="1">
      <c r="A28" s="12" t="s">
        <v>25</v>
      </c>
      <c r="B28" s="115" t="s">
        <v>100</v>
      </c>
      <c r="C28" s="92">
        <v>2.5</v>
      </c>
      <c r="D28" s="36">
        <v>40.5</v>
      </c>
      <c r="E28" s="36">
        <v>1</v>
      </c>
      <c r="F28" s="76">
        <f>E28/D28*100</f>
        <v>2.4691358024691357</v>
      </c>
      <c r="G28" s="36">
        <v>57.6</v>
      </c>
      <c r="H28" s="36">
        <v>37.4</v>
      </c>
      <c r="I28" s="10">
        <f t="shared" si="1"/>
        <v>64.93055555555554</v>
      </c>
      <c r="J28" s="36">
        <v>75.7</v>
      </c>
      <c r="K28" s="36">
        <v>106.6</v>
      </c>
      <c r="L28" s="10">
        <f t="shared" si="2"/>
        <v>140.81902245706738</v>
      </c>
      <c r="M28" s="72">
        <f t="shared" si="12"/>
        <v>173.8</v>
      </c>
      <c r="N28" s="72">
        <f t="shared" si="13"/>
        <v>145</v>
      </c>
      <c r="O28" s="10">
        <f t="shared" si="6"/>
        <v>83.42922899884925</v>
      </c>
      <c r="P28" s="36"/>
      <c r="Q28" s="36"/>
      <c r="R28" s="10"/>
      <c r="S28" s="36"/>
      <c r="T28" s="36"/>
      <c r="U28" s="10"/>
      <c r="V28" s="36"/>
      <c r="W28" s="36"/>
      <c r="X28" s="10" t="e">
        <f t="shared" si="3"/>
        <v>#DIV/0!</v>
      </c>
      <c r="Y28" s="72">
        <f t="shared" si="14"/>
        <v>0</v>
      </c>
      <c r="Z28" s="72">
        <f t="shared" si="15"/>
        <v>0</v>
      </c>
      <c r="AA28" s="10" t="e">
        <f t="shared" si="7"/>
        <v>#DIV/0!</v>
      </c>
      <c r="AB28" s="36"/>
      <c r="AC28" s="36"/>
      <c r="AD28" s="10"/>
      <c r="AE28" s="36"/>
      <c r="AF28" s="80"/>
      <c r="AG28" s="76"/>
      <c r="AH28" s="36"/>
      <c r="AI28" s="80"/>
      <c r="AJ28" s="72">
        <f t="shared" si="16"/>
        <v>0</v>
      </c>
      <c r="AK28" s="72">
        <f t="shared" si="17"/>
        <v>0</v>
      </c>
      <c r="AL28" s="10" t="e">
        <f t="shared" si="21"/>
        <v>#DIV/0!</v>
      </c>
      <c r="AM28" s="36"/>
      <c r="AN28" s="80"/>
      <c r="AO28" s="36"/>
      <c r="AP28" s="80"/>
      <c r="AQ28" s="36"/>
      <c r="AR28" s="80"/>
      <c r="AS28" s="59">
        <f t="shared" si="18"/>
        <v>173.8</v>
      </c>
      <c r="AT28" s="59">
        <f t="shared" si="19"/>
        <v>145</v>
      </c>
      <c r="AU28" s="10">
        <f t="shared" si="5"/>
        <v>83.42922899884925</v>
      </c>
      <c r="AV28" s="59">
        <f t="shared" si="20"/>
        <v>28.80000000000001</v>
      </c>
      <c r="AW28" s="16">
        <f t="shared" si="8"/>
        <v>31.30000000000001</v>
      </c>
      <c r="AX28" s="21">
        <f t="shared" si="9"/>
        <v>173.8</v>
      </c>
      <c r="AY28" s="21">
        <f t="shared" si="10"/>
        <v>145</v>
      </c>
      <c r="AZ28" s="40">
        <f t="shared" si="11"/>
        <v>31.30000000000001</v>
      </c>
    </row>
    <row r="29" spans="1:52" ht="34.5" customHeight="1">
      <c r="A29" s="12" t="s">
        <v>26</v>
      </c>
      <c r="B29" s="58" t="s">
        <v>2</v>
      </c>
      <c r="C29" s="54"/>
      <c r="D29" s="63"/>
      <c r="E29" s="63"/>
      <c r="F29" s="63"/>
      <c r="G29" s="63"/>
      <c r="H29" s="63"/>
      <c r="I29" s="86" t="e">
        <f t="shared" si="1"/>
        <v>#DIV/0!</v>
      </c>
      <c r="J29" s="63"/>
      <c r="K29" s="63"/>
      <c r="L29" s="63"/>
      <c r="M29" s="72"/>
      <c r="N29" s="72"/>
      <c r="O29" s="10"/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  <c r="AX29" s="21">
        <f t="shared" si="9"/>
        <v>0</v>
      </c>
      <c r="AY29" s="21">
        <f t="shared" si="10"/>
        <v>0</v>
      </c>
      <c r="AZ29" s="40">
        <f t="shared" si="11"/>
        <v>0</v>
      </c>
    </row>
    <row r="30" spans="1:52" ht="34.5" customHeight="1">
      <c r="A30" s="12" t="s">
        <v>27</v>
      </c>
      <c r="B30" s="62" t="s">
        <v>39</v>
      </c>
      <c r="C30" s="94">
        <v>0</v>
      </c>
      <c r="D30" s="36">
        <v>26.1</v>
      </c>
      <c r="E30" s="36">
        <v>26.1</v>
      </c>
      <c r="F30" s="78">
        <f aca="true" t="shared" si="23" ref="F30:F36">E30/D30*100</f>
        <v>100</v>
      </c>
      <c r="G30" s="36">
        <v>51.8</v>
      </c>
      <c r="H30" s="36">
        <v>51.8</v>
      </c>
      <c r="I30" s="10">
        <f t="shared" si="1"/>
        <v>100</v>
      </c>
      <c r="J30" s="36">
        <v>53.9</v>
      </c>
      <c r="K30" s="36">
        <v>53.9</v>
      </c>
      <c r="L30" s="61">
        <f aca="true" t="shared" si="24" ref="L30:L45">K30/J30*100</f>
        <v>100</v>
      </c>
      <c r="M30" s="72">
        <f t="shared" si="12"/>
        <v>131.8</v>
      </c>
      <c r="N30" s="72">
        <f t="shared" si="13"/>
        <v>131.8</v>
      </c>
      <c r="O30" s="10">
        <f t="shared" si="6"/>
        <v>100</v>
      </c>
      <c r="P30" s="36"/>
      <c r="Q30" s="36"/>
      <c r="R30" s="103"/>
      <c r="S30" s="36"/>
      <c r="T30" s="36"/>
      <c r="U30" s="103"/>
      <c r="V30" s="36"/>
      <c r="W30" s="36"/>
      <c r="X30" s="103" t="e">
        <f aca="true" t="shared" si="25" ref="X30:X43">W30/V30*100</f>
        <v>#DIV/0!</v>
      </c>
      <c r="Y30" s="72">
        <f aca="true" t="shared" si="26" ref="Y30:Y42">P30+S30+V30</f>
        <v>0</v>
      </c>
      <c r="Z30" s="72">
        <f aca="true" t="shared" si="27" ref="Z30:Z42">Q30+T30+W30</f>
        <v>0</v>
      </c>
      <c r="AA30" s="10" t="e">
        <f aca="true" t="shared" si="28" ref="AA30:AA45">Z30/Y30*100</f>
        <v>#DIV/0!</v>
      </c>
      <c r="AB30" s="36"/>
      <c r="AC30" s="36"/>
      <c r="AD30" s="103"/>
      <c r="AE30" s="36"/>
      <c r="AF30" s="36"/>
      <c r="AG30" s="104"/>
      <c r="AH30" s="36"/>
      <c r="AI30" s="36"/>
      <c r="AJ30" s="72">
        <f t="shared" si="16"/>
        <v>0</v>
      </c>
      <c r="AK30" s="72">
        <f t="shared" si="17"/>
        <v>0</v>
      </c>
      <c r="AL30" s="10" t="e">
        <f aca="true" t="shared" si="29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8"/>
        <v>131.8</v>
      </c>
      <c r="AT30" s="59">
        <f t="shared" si="19"/>
        <v>131.8</v>
      </c>
      <c r="AU30" s="10">
        <f t="shared" si="5"/>
        <v>100</v>
      </c>
      <c r="AV30" s="59">
        <f t="shared" si="20"/>
        <v>0</v>
      </c>
      <c r="AW30" s="16">
        <f aca="true" t="shared" si="30" ref="AW30:AW42">C30+AS30-AT30</f>
        <v>0</v>
      </c>
      <c r="AX30" s="21">
        <f t="shared" si="9"/>
        <v>131.8</v>
      </c>
      <c r="AY30" s="21">
        <f t="shared" si="10"/>
        <v>131.8</v>
      </c>
      <c r="AZ30" s="40">
        <f t="shared" si="11"/>
        <v>0</v>
      </c>
    </row>
    <row r="31" spans="1:52" ht="34.5" customHeight="1">
      <c r="A31" s="12" t="s">
        <v>28</v>
      </c>
      <c r="B31" s="62" t="s">
        <v>3</v>
      </c>
      <c r="C31" s="85">
        <v>0.1</v>
      </c>
      <c r="D31" s="36">
        <v>28.8</v>
      </c>
      <c r="E31" s="36">
        <v>6.3</v>
      </c>
      <c r="F31" s="10">
        <f t="shared" si="23"/>
        <v>21.875</v>
      </c>
      <c r="G31" s="36">
        <v>27.4</v>
      </c>
      <c r="H31" s="36">
        <v>39.1</v>
      </c>
      <c r="I31" s="10">
        <f t="shared" si="1"/>
        <v>142.7007299270073</v>
      </c>
      <c r="J31" s="36">
        <v>24.1</v>
      </c>
      <c r="K31" s="36">
        <v>18.7</v>
      </c>
      <c r="L31" s="10">
        <f t="shared" si="24"/>
        <v>77.59336099585062</v>
      </c>
      <c r="M31" s="72">
        <f t="shared" si="12"/>
        <v>80.30000000000001</v>
      </c>
      <c r="N31" s="72">
        <f t="shared" si="13"/>
        <v>64.1</v>
      </c>
      <c r="O31" s="10">
        <f t="shared" si="6"/>
        <v>79.82565379825652</v>
      </c>
      <c r="P31" s="36"/>
      <c r="Q31" s="36"/>
      <c r="R31" s="10"/>
      <c r="S31" s="36"/>
      <c r="T31" s="36"/>
      <c r="U31" s="10"/>
      <c r="V31" s="36"/>
      <c r="W31" s="36"/>
      <c r="X31" s="10" t="e">
        <f t="shared" si="25"/>
        <v>#DIV/0!</v>
      </c>
      <c r="Y31" s="72">
        <f t="shared" si="26"/>
        <v>0</v>
      </c>
      <c r="Z31" s="72">
        <f t="shared" si="27"/>
        <v>0</v>
      </c>
      <c r="AA31" s="10" t="e">
        <f t="shared" si="28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6"/>
        <v>0</v>
      </c>
      <c r="AK31" s="72">
        <f t="shared" si="17"/>
        <v>0</v>
      </c>
      <c r="AL31" s="10" t="e">
        <f t="shared" si="29"/>
        <v>#DIV/0!</v>
      </c>
      <c r="AM31" s="36"/>
      <c r="AN31" s="36"/>
      <c r="AO31" s="36"/>
      <c r="AP31" s="36"/>
      <c r="AQ31" s="36"/>
      <c r="AR31" s="36"/>
      <c r="AS31" s="59">
        <f t="shared" si="18"/>
        <v>80.30000000000001</v>
      </c>
      <c r="AT31" s="59">
        <f t="shared" si="19"/>
        <v>64.1</v>
      </c>
      <c r="AU31" s="10">
        <f t="shared" si="5"/>
        <v>79.82565379825652</v>
      </c>
      <c r="AV31" s="59">
        <f t="shared" si="20"/>
        <v>16.200000000000017</v>
      </c>
      <c r="AW31" s="16">
        <f t="shared" si="30"/>
        <v>16.30000000000001</v>
      </c>
      <c r="AX31" s="21">
        <f t="shared" si="9"/>
        <v>80.30000000000001</v>
      </c>
      <c r="AY31" s="21">
        <f t="shared" si="10"/>
        <v>64.1</v>
      </c>
      <c r="AZ31" s="40">
        <f t="shared" si="11"/>
        <v>16.30000000000001</v>
      </c>
    </row>
    <row r="32" spans="1:52" ht="34.5" customHeight="1">
      <c r="A32" s="12" t="s">
        <v>29</v>
      </c>
      <c r="B32" s="62" t="s">
        <v>101</v>
      </c>
      <c r="C32" s="68">
        <f>SUM(C33:C34)</f>
        <v>32.5</v>
      </c>
      <c r="D32" s="68">
        <f>SUM(D33:D34)</f>
        <v>113.69999999999999</v>
      </c>
      <c r="E32" s="68">
        <f>SUM(E33:E34)</f>
        <v>4</v>
      </c>
      <c r="F32" s="10">
        <f t="shared" si="23"/>
        <v>3.518029903254178</v>
      </c>
      <c r="G32" s="68">
        <f>SUM(G33:G34)</f>
        <v>132.4</v>
      </c>
      <c r="H32" s="68">
        <f>SUM(H33:H34)</f>
        <v>131.60000000000002</v>
      </c>
      <c r="I32" s="10">
        <f t="shared" si="1"/>
        <v>99.39577039274926</v>
      </c>
      <c r="J32" s="68">
        <f>SUM(J33:J34)</f>
        <v>130.70000000000002</v>
      </c>
      <c r="K32" s="68">
        <f>SUM(K33:K34)</f>
        <v>129.6</v>
      </c>
      <c r="L32" s="10">
        <f t="shared" si="24"/>
        <v>99.15837796480488</v>
      </c>
      <c r="M32" s="10"/>
      <c r="N32" s="10"/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68">
        <f>SUM(AS33:AS34)</f>
        <v>376.80000000000007</v>
      </c>
      <c r="AT32" s="68">
        <f>SUM(AT33:AT34)</f>
        <v>265.2</v>
      </c>
      <c r="AU32" s="10">
        <f t="shared" si="5"/>
        <v>70.38216560509552</v>
      </c>
      <c r="AV32" s="68">
        <f>SUM(AV33:AV34)</f>
        <v>111.60000000000005</v>
      </c>
      <c r="AW32" s="68">
        <f>SUM(AW33:AW34)</f>
        <v>144.10000000000005</v>
      </c>
      <c r="AX32" s="21">
        <f t="shared" si="9"/>
        <v>376.8</v>
      </c>
      <c r="AY32" s="21">
        <f t="shared" si="10"/>
        <v>265.20000000000005</v>
      </c>
      <c r="AZ32" s="40">
        <f t="shared" si="11"/>
        <v>144.09999999999997</v>
      </c>
    </row>
    <row r="33" spans="1:52" ht="34.5" customHeight="1">
      <c r="A33" s="12"/>
      <c r="B33" s="62" t="s">
        <v>102</v>
      </c>
      <c r="C33" s="85">
        <v>32.5</v>
      </c>
      <c r="D33" s="36">
        <f>60+36.1</f>
        <v>96.1</v>
      </c>
      <c r="E33" s="36">
        <v>4</v>
      </c>
      <c r="F33" s="55">
        <f t="shared" si="23"/>
        <v>4.162330905306972</v>
      </c>
      <c r="G33" s="36">
        <f>86.2+30.1</f>
        <v>116.30000000000001</v>
      </c>
      <c r="H33" s="36">
        <f>77.9+36.7</f>
        <v>114.60000000000001</v>
      </c>
      <c r="I33" s="10">
        <f t="shared" si="1"/>
        <v>98.53826311263973</v>
      </c>
      <c r="J33" s="36">
        <f>86.2+30.1</f>
        <v>116.30000000000001</v>
      </c>
      <c r="K33" s="36">
        <f>82.8+30.1</f>
        <v>112.9</v>
      </c>
      <c r="L33" s="10">
        <f>K33/J33*100</f>
        <v>97.07652622527945</v>
      </c>
      <c r="M33" s="72">
        <f t="shared" si="12"/>
        <v>328.70000000000005</v>
      </c>
      <c r="N33" s="72">
        <f t="shared" si="13"/>
        <v>231.5</v>
      </c>
      <c r="O33" s="10">
        <f t="shared" si="6"/>
        <v>70.42896257986004</v>
      </c>
      <c r="P33" s="36"/>
      <c r="Q33" s="36"/>
      <c r="R33" s="10"/>
      <c r="S33" s="36"/>
      <c r="T33" s="36"/>
      <c r="U33" s="10"/>
      <c r="V33" s="36"/>
      <c r="W33" s="36"/>
      <c r="X33" s="10" t="e">
        <f t="shared" si="25"/>
        <v>#DIV/0!</v>
      </c>
      <c r="Y33" s="72">
        <f t="shared" si="26"/>
        <v>0</v>
      </c>
      <c r="Z33" s="72">
        <f t="shared" si="27"/>
        <v>0</v>
      </c>
      <c r="AA33" s="10" t="e">
        <f t="shared" si="28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6"/>
        <v>0</v>
      </c>
      <c r="AK33" s="72">
        <f t="shared" si="17"/>
        <v>0</v>
      </c>
      <c r="AL33" s="10" t="e">
        <f t="shared" si="29"/>
        <v>#DIV/0!</v>
      </c>
      <c r="AM33" s="36"/>
      <c r="AN33" s="36"/>
      <c r="AO33" s="36"/>
      <c r="AP33" s="36"/>
      <c r="AQ33" s="36"/>
      <c r="AR33" s="36"/>
      <c r="AS33" s="59">
        <f t="shared" si="18"/>
        <v>328.70000000000005</v>
      </c>
      <c r="AT33" s="59">
        <f t="shared" si="19"/>
        <v>231.5</v>
      </c>
      <c r="AU33" s="10">
        <f t="shared" si="5"/>
        <v>70.42896257986004</v>
      </c>
      <c r="AV33" s="59">
        <f t="shared" si="20"/>
        <v>97.20000000000005</v>
      </c>
      <c r="AW33" s="16">
        <f t="shared" si="30"/>
        <v>129.70000000000005</v>
      </c>
      <c r="AX33" s="21">
        <f t="shared" si="9"/>
        <v>328.70000000000005</v>
      </c>
      <c r="AY33" s="21">
        <f t="shared" si="10"/>
        <v>231.5</v>
      </c>
      <c r="AZ33" s="40">
        <f t="shared" si="11"/>
        <v>129.70000000000005</v>
      </c>
    </row>
    <row r="34" spans="1:52" ht="37.5" customHeight="1">
      <c r="A34" s="12"/>
      <c r="B34" s="62" t="s">
        <v>103</v>
      </c>
      <c r="C34" s="89">
        <v>0</v>
      </c>
      <c r="D34" s="36">
        <f>17+0.6</f>
        <v>17.6</v>
      </c>
      <c r="E34" s="36">
        <v>0</v>
      </c>
      <c r="F34" s="55">
        <f t="shared" si="23"/>
        <v>0</v>
      </c>
      <c r="G34" s="36">
        <f>15.2+0.9</f>
        <v>16.099999999999998</v>
      </c>
      <c r="H34" s="36">
        <v>17</v>
      </c>
      <c r="I34" s="10">
        <f t="shared" si="1"/>
        <v>105.59006211180126</v>
      </c>
      <c r="J34" s="36">
        <f>13.7+0.7</f>
        <v>14.399999999999999</v>
      </c>
      <c r="K34" s="36">
        <f>15.2+1.5</f>
        <v>16.7</v>
      </c>
      <c r="L34" s="10">
        <f>K34/J34*100</f>
        <v>115.97222222222223</v>
      </c>
      <c r="M34" s="72">
        <f t="shared" si="12"/>
        <v>48.1</v>
      </c>
      <c r="N34" s="72">
        <f t="shared" si="13"/>
        <v>33.7</v>
      </c>
      <c r="O34" s="10">
        <f t="shared" si="6"/>
        <v>70.06237006237006</v>
      </c>
      <c r="P34" s="36"/>
      <c r="Q34" s="36"/>
      <c r="R34" s="10"/>
      <c r="S34" s="36"/>
      <c r="T34" s="36"/>
      <c r="U34" s="10"/>
      <c r="V34" s="36"/>
      <c r="W34" s="36"/>
      <c r="X34" s="10" t="e">
        <f t="shared" si="25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6"/>
        <v>0</v>
      </c>
      <c r="AK34" s="72">
        <f t="shared" si="17"/>
        <v>0</v>
      </c>
      <c r="AL34" s="10" t="e">
        <f t="shared" si="29"/>
        <v>#DIV/0!</v>
      </c>
      <c r="AM34" s="36"/>
      <c r="AN34" s="36"/>
      <c r="AO34" s="36"/>
      <c r="AP34" s="36"/>
      <c r="AQ34" s="36"/>
      <c r="AR34" s="36"/>
      <c r="AS34" s="59">
        <f t="shared" si="18"/>
        <v>48.1</v>
      </c>
      <c r="AT34" s="59">
        <f t="shared" si="19"/>
        <v>33.7</v>
      </c>
      <c r="AU34" s="10">
        <f t="shared" si="5"/>
        <v>70.06237006237006</v>
      </c>
      <c r="AV34" s="59">
        <f t="shared" si="20"/>
        <v>14.399999999999999</v>
      </c>
      <c r="AW34" s="16">
        <f t="shared" si="30"/>
        <v>14.399999999999999</v>
      </c>
      <c r="AX34" s="21">
        <f t="shared" si="9"/>
        <v>48.1</v>
      </c>
      <c r="AY34" s="21">
        <f t="shared" si="10"/>
        <v>33.7</v>
      </c>
      <c r="AZ34" s="40">
        <f t="shared" si="11"/>
        <v>14.399999999999999</v>
      </c>
    </row>
    <row r="35" spans="1:52" ht="34.5" customHeight="1">
      <c r="A35" s="12" t="s">
        <v>30</v>
      </c>
      <c r="B35" s="62" t="s">
        <v>60</v>
      </c>
      <c r="C35" s="89">
        <f>16.2+11.9</f>
        <v>28.1</v>
      </c>
      <c r="D35" s="35">
        <f>83.7+11.9</f>
        <v>95.60000000000001</v>
      </c>
      <c r="E35" s="35">
        <f>19.5</f>
        <v>19.5</v>
      </c>
      <c r="F35" s="10">
        <f t="shared" si="23"/>
        <v>20.397489539748953</v>
      </c>
      <c r="G35" s="36">
        <f>74.7+11.2</f>
        <v>85.9</v>
      </c>
      <c r="H35" s="36">
        <f>61.3</f>
        <v>61.3</v>
      </c>
      <c r="I35" s="10">
        <f t="shared" si="1"/>
        <v>71.36204889406285</v>
      </c>
      <c r="J35" s="36">
        <f>65.3+4.7</f>
        <v>70</v>
      </c>
      <c r="K35" s="36">
        <f>71.6+10.9</f>
        <v>82.5</v>
      </c>
      <c r="L35" s="10">
        <f t="shared" si="24"/>
        <v>117.85714285714286</v>
      </c>
      <c r="M35" s="72">
        <f t="shared" si="12"/>
        <v>251.5</v>
      </c>
      <c r="N35" s="72">
        <f t="shared" si="13"/>
        <v>163.3</v>
      </c>
      <c r="O35" s="10">
        <f t="shared" si="6"/>
        <v>64.93041749502983</v>
      </c>
      <c r="P35" s="36"/>
      <c r="Q35" s="36"/>
      <c r="R35" s="10"/>
      <c r="S35" s="36"/>
      <c r="T35" s="36"/>
      <c r="U35" s="10"/>
      <c r="V35" s="36"/>
      <c r="W35" s="36"/>
      <c r="X35" s="10" t="e">
        <f t="shared" si="25"/>
        <v>#DIV/0!</v>
      </c>
      <c r="Y35" s="72">
        <f t="shared" si="26"/>
        <v>0</v>
      </c>
      <c r="Z35" s="72">
        <f t="shared" si="27"/>
        <v>0</v>
      </c>
      <c r="AA35" s="10" t="e">
        <f t="shared" si="28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6"/>
        <v>0</v>
      </c>
      <c r="AK35" s="72">
        <f t="shared" si="17"/>
        <v>0</v>
      </c>
      <c r="AL35" s="10" t="e">
        <f t="shared" si="29"/>
        <v>#DIV/0!</v>
      </c>
      <c r="AM35" s="36"/>
      <c r="AN35" s="36"/>
      <c r="AO35" s="36"/>
      <c r="AP35" s="36"/>
      <c r="AQ35" s="36"/>
      <c r="AR35" s="36"/>
      <c r="AS35" s="59">
        <f t="shared" si="18"/>
        <v>251.5</v>
      </c>
      <c r="AT35" s="59">
        <f t="shared" si="19"/>
        <v>163.3</v>
      </c>
      <c r="AU35" s="10">
        <f t="shared" si="5"/>
        <v>64.93041749502983</v>
      </c>
      <c r="AV35" s="59">
        <f t="shared" si="20"/>
        <v>88.19999999999999</v>
      </c>
      <c r="AW35" s="16">
        <f t="shared" si="30"/>
        <v>116.30000000000001</v>
      </c>
      <c r="AX35" s="21">
        <f t="shared" si="9"/>
        <v>251.5</v>
      </c>
      <c r="AY35" s="21">
        <f t="shared" si="10"/>
        <v>163.3</v>
      </c>
      <c r="AZ35" s="40">
        <f t="shared" si="11"/>
        <v>116.30000000000001</v>
      </c>
    </row>
    <row r="36" spans="1:52" ht="34.5" customHeight="1">
      <c r="A36" s="12" t="s">
        <v>31</v>
      </c>
      <c r="B36" s="116" t="s">
        <v>61</v>
      </c>
      <c r="C36" s="91">
        <v>-0.1</v>
      </c>
      <c r="D36" s="65">
        <v>36.3</v>
      </c>
      <c r="E36" s="65">
        <v>36.3</v>
      </c>
      <c r="F36" s="10">
        <f t="shared" si="23"/>
        <v>100</v>
      </c>
      <c r="G36" s="36">
        <v>43.7</v>
      </c>
      <c r="H36" s="36">
        <v>43.7</v>
      </c>
      <c r="I36" s="10">
        <f t="shared" si="1"/>
        <v>100</v>
      </c>
      <c r="J36" s="36">
        <v>44.4</v>
      </c>
      <c r="K36" s="36">
        <v>44.4</v>
      </c>
      <c r="L36" s="10">
        <f t="shared" si="24"/>
        <v>100</v>
      </c>
      <c r="M36" s="72">
        <f t="shared" si="12"/>
        <v>124.4</v>
      </c>
      <c r="N36" s="72">
        <f t="shared" si="13"/>
        <v>124.4</v>
      </c>
      <c r="O36" s="10">
        <f t="shared" si="6"/>
        <v>100</v>
      </c>
      <c r="P36" s="36"/>
      <c r="Q36" s="36"/>
      <c r="R36" s="103"/>
      <c r="S36" s="36"/>
      <c r="T36" s="36"/>
      <c r="U36" s="103"/>
      <c r="V36" s="36"/>
      <c r="W36" s="36"/>
      <c r="X36" s="103" t="e">
        <f t="shared" si="25"/>
        <v>#DIV/0!</v>
      </c>
      <c r="Y36" s="72">
        <f t="shared" si="26"/>
        <v>0</v>
      </c>
      <c r="Z36" s="72">
        <f t="shared" si="27"/>
        <v>0</v>
      </c>
      <c r="AA36" s="10" t="e">
        <f t="shared" si="28"/>
        <v>#DIV/0!</v>
      </c>
      <c r="AB36" s="36"/>
      <c r="AC36" s="36"/>
      <c r="AD36" s="103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29"/>
        <v>#DIV/0!</v>
      </c>
      <c r="AM36" s="36"/>
      <c r="AN36" s="36"/>
      <c r="AO36" s="36"/>
      <c r="AP36" s="36"/>
      <c r="AQ36" s="36"/>
      <c r="AR36" s="36"/>
      <c r="AS36" s="59">
        <f t="shared" si="18"/>
        <v>124.4</v>
      </c>
      <c r="AT36" s="59">
        <f t="shared" si="19"/>
        <v>124.4</v>
      </c>
      <c r="AU36" s="10">
        <f t="shared" si="5"/>
        <v>100</v>
      </c>
      <c r="AV36" s="59">
        <f t="shared" si="20"/>
        <v>0</v>
      </c>
      <c r="AW36" s="16">
        <f t="shared" si="30"/>
        <v>-0.09999999999999432</v>
      </c>
      <c r="AX36" s="21">
        <f t="shared" si="9"/>
        <v>124.4</v>
      </c>
      <c r="AY36" s="21">
        <f t="shared" si="10"/>
        <v>124.4</v>
      </c>
      <c r="AZ36" s="40">
        <f t="shared" si="11"/>
        <v>-0.09999999999999432</v>
      </c>
    </row>
    <row r="37" spans="1:52" ht="34.5" customHeight="1">
      <c r="A37" s="12" t="s">
        <v>32</v>
      </c>
      <c r="B37" s="117" t="s">
        <v>62</v>
      </c>
      <c r="C37" s="85">
        <f>-8.9+(-0.4)</f>
        <v>-9.3</v>
      </c>
      <c r="D37" s="36">
        <f>106.8+12.5</f>
        <v>119.3</v>
      </c>
      <c r="E37" s="36">
        <f>54.6+12.5</f>
        <v>67.1</v>
      </c>
      <c r="F37" s="10">
        <f aca="true" t="shared" si="31" ref="F37:F44">E37/D37*100</f>
        <v>56.24476110645431</v>
      </c>
      <c r="G37" s="36">
        <f>121.3+12.6</f>
        <v>133.9</v>
      </c>
      <c r="H37" s="36">
        <f>120.1+12.6</f>
        <v>132.7</v>
      </c>
      <c r="I37" s="10">
        <f t="shared" si="1"/>
        <v>99.10380881254667</v>
      </c>
      <c r="J37" s="36">
        <f>120.5+12.6</f>
        <v>133.1</v>
      </c>
      <c r="K37" s="36">
        <f>165.9+12.1</f>
        <v>178</v>
      </c>
      <c r="L37" s="10">
        <f t="shared" si="24"/>
        <v>133.73403456048086</v>
      </c>
      <c r="M37" s="72">
        <f t="shared" si="12"/>
        <v>386.29999999999995</v>
      </c>
      <c r="N37" s="72">
        <f t="shared" si="13"/>
        <v>377.79999999999995</v>
      </c>
      <c r="O37" s="10">
        <f t="shared" si="6"/>
        <v>97.79963758736733</v>
      </c>
      <c r="P37" s="36"/>
      <c r="Q37" s="36"/>
      <c r="R37" s="10"/>
      <c r="S37" s="36"/>
      <c r="T37" s="36"/>
      <c r="U37" s="10"/>
      <c r="V37" s="36"/>
      <c r="W37" s="36"/>
      <c r="X37" s="10" t="e">
        <f t="shared" si="25"/>
        <v>#DIV/0!</v>
      </c>
      <c r="Y37" s="72">
        <f t="shared" si="26"/>
        <v>0</v>
      </c>
      <c r="Z37" s="72">
        <f t="shared" si="27"/>
        <v>0</v>
      </c>
      <c r="AA37" s="10" t="e">
        <f t="shared" si="28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6"/>
        <v>0</v>
      </c>
      <c r="AK37" s="72">
        <f t="shared" si="17"/>
        <v>0</v>
      </c>
      <c r="AL37" s="10" t="e">
        <f t="shared" si="29"/>
        <v>#DIV/0!</v>
      </c>
      <c r="AM37" s="36"/>
      <c r="AN37" s="36"/>
      <c r="AO37" s="36"/>
      <c r="AP37" s="36"/>
      <c r="AQ37" s="36"/>
      <c r="AR37" s="36"/>
      <c r="AS37" s="59">
        <f t="shared" si="18"/>
        <v>386.29999999999995</v>
      </c>
      <c r="AT37" s="59">
        <f t="shared" si="19"/>
        <v>377.79999999999995</v>
      </c>
      <c r="AU37" s="10">
        <f t="shared" si="5"/>
        <v>97.79963758736733</v>
      </c>
      <c r="AV37" s="59">
        <f t="shared" si="20"/>
        <v>8.5</v>
      </c>
      <c r="AW37" s="16">
        <f t="shared" si="30"/>
        <v>-0.8000000000000114</v>
      </c>
      <c r="AX37" s="21">
        <f t="shared" si="9"/>
        <v>386.29999999999995</v>
      </c>
      <c r="AY37" s="21">
        <f t="shared" si="10"/>
        <v>377.79999999999995</v>
      </c>
      <c r="AZ37" s="40">
        <f t="shared" si="11"/>
        <v>-0.8000000000000114</v>
      </c>
    </row>
    <row r="38" spans="1:52" ht="34.5" customHeight="1">
      <c r="A38" s="12" t="s">
        <v>33</v>
      </c>
      <c r="B38" s="117" t="s">
        <v>104</v>
      </c>
      <c r="C38" s="85">
        <v>0.8</v>
      </c>
      <c r="D38" s="36">
        <f>217.2+6.6</f>
        <v>223.79999999999998</v>
      </c>
      <c r="E38" s="36">
        <f>94+6.6</f>
        <v>100.6</v>
      </c>
      <c r="F38" s="10">
        <f t="shared" si="31"/>
        <v>44.95084897229669</v>
      </c>
      <c r="G38" s="36">
        <f>194+4.9</f>
        <v>198.9</v>
      </c>
      <c r="H38" s="36">
        <f>318.2+4.9</f>
        <v>323.09999999999997</v>
      </c>
      <c r="I38" s="10">
        <f t="shared" si="1"/>
        <v>162.44343891402713</v>
      </c>
      <c r="J38" s="36">
        <f>205.5+4.8</f>
        <v>210.3</v>
      </c>
      <c r="K38" s="36">
        <f>204.4+4.8</f>
        <v>209.20000000000002</v>
      </c>
      <c r="L38" s="10">
        <f t="shared" si="24"/>
        <v>99.47693770803613</v>
      </c>
      <c r="M38" s="72">
        <f t="shared" si="12"/>
        <v>633</v>
      </c>
      <c r="N38" s="72">
        <f t="shared" si="13"/>
        <v>632.9</v>
      </c>
      <c r="O38" s="10">
        <f t="shared" si="6"/>
        <v>99.98420221169036</v>
      </c>
      <c r="P38" s="36"/>
      <c r="Q38" s="36"/>
      <c r="R38" s="10"/>
      <c r="S38" s="36"/>
      <c r="T38" s="36"/>
      <c r="U38" s="10"/>
      <c r="V38" s="36"/>
      <c r="W38" s="36"/>
      <c r="X38" s="10" t="e">
        <f t="shared" si="25"/>
        <v>#DIV/0!</v>
      </c>
      <c r="Y38" s="72">
        <f t="shared" si="26"/>
        <v>0</v>
      </c>
      <c r="Z38" s="72">
        <f t="shared" si="27"/>
        <v>0</v>
      </c>
      <c r="AA38" s="10" t="e">
        <f t="shared" si="28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6"/>
        <v>0</v>
      </c>
      <c r="AK38" s="72">
        <f t="shared" si="17"/>
        <v>0</v>
      </c>
      <c r="AL38" s="10" t="e">
        <f t="shared" si="29"/>
        <v>#DIV/0!</v>
      </c>
      <c r="AM38" s="36"/>
      <c r="AN38" s="36"/>
      <c r="AO38" s="36"/>
      <c r="AP38" s="36"/>
      <c r="AQ38" s="36"/>
      <c r="AR38" s="36"/>
      <c r="AS38" s="59">
        <f t="shared" si="18"/>
        <v>633</v>
      </c>
      <c r="AT38" s="59">
        <f t="shared" si="19"/>
        <v>632.9</v>
      </c>
      <c r="AU38" s="10">
        <f t="shared" si="5"/>
        <v>99.98420221169036</v>
      </c>
      <c r="AV38" s="59">
        <f t="shared" si="20"/>
        <v>0.10000000000002274</v>
      </c>
      <c r="AW38" s="16">
        <f t="shared" si="30"/>
        <v>0.8999999999999773</v>
      </c>
      <c r="AX38" s="21">
        <f t="shared" si="9"/>
        <v>633</v>
      </c>
      <c r="AY38" s="21">
        <f t="shared" si="10"/>
        <v>632.9</v>
      </c>
      <c r="AZ38" s="40">
        <f t="shared" si="11"/>
        <v>0.8999999999999773</v>
      </c>
    </row>
    <row r="39" spans="1:52" ht="34.5" customHeight="1">
      <c r="A39" s="12" t="s">
        <v>34</v>
      </c>
      <c r="B39" s="117" t="s">
        <v>4</v>
      </c>
      <c r="C39" s="85">
        <v>0.1</v>
      </c>
      <c r="D39" s="36">
        <f>352.7+6.1</f>
        <v>358.8</v>
      </c>
      <c r="E39" s="36">
        <v>0</v>
      </c>
      <c r="F39" s="10">
        <f t="shared" si="31"/>
        <v>0</v>
      </c>
      <c r="G39" s="36">
        <f>372.8+6.6</f>
        <v>379.40000000000003</v>
      </c>
      <c r="H39" s="36">
        <f>275.7+6.1</f>
        <v>281.8</v>
      </c>
      <c r="I39" s="10">
        <f t="shared" si="1"/>
        <v>74.27517132314179</v>
      </c>
      <c r="J39" s="36">
        <f>358.7+4.1</f>
        <v>362.8</v>
      </c>
      <c r="K39" s="36">
        <f>785.2+8.7</f>
        <v>793.9000000000001</v>
      </c>
      <c r="L39" s="10">
        <f t="shared" si="24"/>
        <v>218.82579933847853</v>
      </c>
      <c r="M39" s="72">
        <f t="shared" si="12"/>
        <v>1101</v>
      </c>
      <c r="N39" s="72">
        <f t="shared" si="13"/>
        <v>1075.7</v>
      </c>
      <c r="O39" s="10">
        <f t="shared" si="6"/>
        <v>97.70208900999093</v>
      </c>
      <c r="P39" s="36"/>
      <c r="Q39" s="36"/>
      <c r="R39" s="10"/>
      <c r="S39" s="36"/>
      <c r="T39" s="36"/>
      <c r="U39" s="10"/>
      <c r="V39" s="36"/>
      <c r="W39" s="36"/>
      <c r="X39" s="10" t="e">
        <f t="shared" si="25"/>
        <v>#DIV/0!</v>
      </c>
      <c r="Y39" s="72">
        <f t="shared" si="26"/>
        <v>0</v>
      </c>
      <c r="Z39" s="72">
        <f t="shared" si="27"/>
        <v>0</v>
      </c>
      <c r="AA39" s="10" t="e">
        <f t="shared" si="28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6"/>
        <v>0</v>
      </c>
      <c r="AK39" s="72">
        <f t="shared" si="17"/>
        <v>0</v>
      </c>
      <c r="AL39" s="10" t="e">
        <f t="shared" si="29"/>
        <v>#DIV/0!</v>
      </c>
      <c r="AM39" s="36"/>
      <c r="AN39" s="36"/>
      <c r="AO39" s="36"/>
      <c r="AP39" s="36"/>
      <c r="AQ39" s="36"/>
      <c r="AR39" s="36"/>
      <c r="AS39" s="59">
        <f t="shared" si="18"/>
        <v>1101</v>
      </c>
      <c r="AT39" s="59">
        <f t="shared" si="19"/>
        <v>1075.7</v>
      </c>
      <c r="AU39" s="10">
        <f t="shared" si="5"/>
        <v>97.70208900999093</v>
      </c>
      <c r="AV39" s="59">
        <f t="shared" si="20"/>
        <v>25.299999999999955</v>
      </c>
      <c r="AW39" s="16">
        <f t="shared" si="30"/>
        <v>25.399999999999864</v>
      </c>
      <c r="AX39" s="21">
        <f t="shared" si="9"/>
        <v>1101</v>
      </c>
      <c r="AY39" s="21">
        <f t="shared" si="10"/>
        <v>1075.7</v>
      </c>
      <c r="AZ39" s="40">
        <f t="shared" si="11"/>
        <v>25.399999999999864</v>
      </c>
    </row>
    <row r="40" spans="1:52" ht="34.5" customHeight="1">
      <c r="A40" s="12" t="s">
        <v>35</v>
      </c>
      <c r="B40" s="117" t="s">
        <v>63</v>
      </c>
      <c r="C40" s="85">
        <v>37.2</v>
      </c>
      <c r="D40" s="36">
        <v>50.5</v>
      </c>
      <c r="E40" s="36">
        <v>26.9</v>
      </c>
      <c r="F40" s="10">
        <f t="shared" si="31"/>
        <v>53.26732673267326</v>
      </c>
      <c r="G40" s="36">
        <v>59.2</v>
      </c>
      <c r="H40" s="36">
        <v>28.3</v>
      </c>
      <c r="I40" s="10">
        <f t="shared" si="1"/>
        <v>47.80405405405405</v>
      </c>
      <c r="J40" s="36">
        <v>46.9</v>
      </c>
      <c r="K40" s="36">
        <v>74.3</v>
      </c>
      <c r="L40" s="10">
        <f t="shared" si="24"/>
        <v>158.4221748400853</v>
      </c>
      <c r="M40" s="72">
        <f t="shared" si="12"/>
        <v>156.6</v>
      </c>
      <c r="N40" s="72">
        <f t="shared" si="13"/>
        <v>129.5</v>
      </c>
      <c r="O40" s="10">
        <f t="shared" si="6"/>
        <v>82.69476372924649</v>
      </c>
      <c r="P40" s="36"/>
      <c r="Q40" s="36"/>
      <c r="R40" s="10"/>
      <c r="S40" s="36"/>
      <c r="T40" s="36"/>
      <c r="U40" s="10"/>
      <c r="V40" s="36"/>
      <c r="W40" s="36"/>
      <c r="X40" s="10" t="e">
        <f t="shared" si="25"/>
        <v>#DIV/0!</v>
      </c>
      <c r="Y40" s="72">
        <f t="shared" si="26"/>
        <v>0</v>
      </c>
      <c r="Z40" s="72">
        <f t="shared" si="27"/>
        <v>0</v>
      </c>
      <c r="AA40" s="10" t="e">
        <f t="shared" si="28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6"/>
        <v>0</v>
      </c>
      <c r="AK40" s="72">
        <f t="shared" si="17"/>
        <v>0</v>
      </c>
      <c r="AL40" s="10" t="e">
        <f t="shared" si="29"/>
        <v>#DIV/0!</v>
      </c>
      <c r="AM40" s="36"/>
      <c r="AN40" s="36"/>
      <c r="AO40" s="36"/>
      <c r="AP40" s="36"/>
      <c r="AQ40" s="36"/>
      <c r="AR40" s="36"/>
      <c r="AS40" s="59">
        <f t="shared" si="18"/>
        <v>156.6</v>
      </c>
      <c r="AT40" s="59">
        <f t="shared" si="19"/>
        <v>129.5</v>
      </c>
      <c r="AU40" s="10">
        <f t="shared" si="5"/>
        <v>82.69476372924649</v>
      </c>
      <c r="AV40" s="59">
        <f t="shared" si="20"/>
        <v>27.099999999999994</v>
      </c>
      <c r="AW40" s="16">
        <f t="shared" si="30"/>
        <v>64.30000000000001</v>
      </c>
      <c r="AX40" s="21">
        <f t="shared" si="9"/>
        <v>156.6</v>
      </c>
      <c r="AY40" s="21">
        <f t="shared" si="10"/>
        <v>129.5</v>
      </c>
      <c r="AZ40" s="40">
        <f t="shared" si="11"/>
        <v>64.30000000000001</v>
      </c>
    </row>
    <row r="41" spans="1:52" ht="34.5" customHeight="1">
      <c r="A41" s="12" t="s">
        <v>36</v>
      </c>
      <c r="B41" s="60" t="s">
        <v>64</v>
      </c>
      <c r="C41" s="91">
        <v>-4</v>
      </c>
      <c r="D41" s="36">
        <v>75.3</v>
      </c>
      <c r="E41" s="36">
        <v>3.9</v>
      </c>
      <c r="F41" s="10">
        <f t="shared" si="31"/>
        <v>5.179282868525896</v>
      </c>
      <c r="G41" s="36">
        <v>146.6</v>
      </c>
      <c r="H41" s="36">
        <v>214.7</v>
      </c>
      <c r="I41" s="10">
        <f t="shared" si="1"/>
        <v>146.45293315143246</v>
      </c>
      <c r="J41" s="36">
        <v>140.4</v>
      </c>
      <c r="K41" s="36">
        <v>134.6</v>
      </c>
      <c r="L41" s="10">
        <f t="shared" si="24"/>
        <v>95.86894586894587</v>
      </c>
      <c r="M41" s="72">
        <f t="shared" si="12"/>
        <v>362.29999999999995</v>
      </c>
      <c r="N41" s="72">
        <f t="shared" si="13"/>
        <v>353.2</v>
      </c>
      <c r="O41" s="10">
        <f t="shared" si="6"/>
        <v>97.48826939000828</v>
      </c>
      <c r="P41" s="36"/>
      <c r="Q41" s="36"/>
      <c r="R41" s="103"/>
      <c r="S41" s="36"/>
      <c r="T41" s="36"/>
      <c r="U41" s="103"/>
      <c r="V41" s="36"/>
      <c r="W41" s="36"/>
      <c r="X41" s="103" t="e">
        <f t="shared" si="25"/>
        <v>#DIV/0!</v>
      </c>
      <c r="Y41" s="72">
        <f t="shared" si="26"/>
        <v>0</v>
      </c>
      <c r="Z41" s="72">
        <f t="shared" si="27"/>
        <v>0</v>
      </c>
      <c r="AA41" s="10" t="e">
        <f t="shared" si="28"/>
        <v>#DIV/0!</v>
      </c>
      <c r="AB41" s="36"/>
      <c r="AC41" s="36"/>
      <c r="AD41" s="103"/>
      <c r="AE41" s="36"/>
      <c r="AF41" s="36"/>
      <c r="AG41" s="10"/>
      <c r="AH41" s="36"/>
      <c r="AI41" s="36"/>
      <c r="AJ41" s="72">
        <f t="shared" si="16"/>
        <v>0</v>
      </c>
      <c r="AK41" s="72">
        <f t="shared" si="17"/>
        <v>0</v>
      </c>
      <c r="AL41" s="10" t="e">
        <f t="shared" si="29"/>
        <v>#DIV/0!</v>
      </c>
      <c r="AM41" s="36"/>
      <c r="AN41" s="36"/>
      <c r="AO41" s="36"/>
      <c r="AP41" s="36"/>
      <c r="AQ41" s="36"/>
      <c r="AR41" s="36"/>
      <c r="AS41" s="59">
        <f t="shared" si="18"/>
        <v>362.29999999999995</v>
      </c>
      <c r="AT41" s="59">
        <f t="shared" si="19"/>
        <v>353.2</v>
      </c>
      <c r="AU41" s="10">
        <f t="shared" si="5"/>
        <v>97.48826939000828</v>
      </c>
      <c r="AV41" s="59">
        <f t="shared" si="20"/>
        <v>9.099999999999966</v>
      </c>
      <c r="AW41" s="16">
        <f t="shared" si="30"/>
        <v>5.099999999999966</v>
      </c>
      <c r="AX41" s="21">
        <f t="shared" si="9"/>
        <v>362.29999999999995</v>
      </c>
      <c r="AY41" s="21">
        <f t="shared" si="10"/>
        <v>353.2</v>
      </c>
      <c r="AZ41" s="40">
        <f t="shared" si="11"/>
        <v>5.099999999999966</v>
      </c>
    </row>
    <row r="42" spans="1:52" ht="34.5" customHeight="1">
      <c r="A42" s="12" t="s">
        <v>37</v>
      </c>
      <c r="B42" s="117" t="s">
        <v>48</v>
      </c>
      <c r="C42" s="85">
        <f>1.4+(-6)</f>
        <v>-4.6</v>
      </c>
      <c r="D42" s="36">
        <f>24.1+36.4</f>
        <v>60.5</v>
      </c>
      <c r="E42" s="36">
        <f>23.2+3.1</f>
        <v>26.3</v>
      </c>
      <c r="F42" s="10">
        <f t="shared" si="31"/>
        <v>43.47107438016529</v>
      </c>
      <c r="G42" s="36">
        <f>30.7+34.3</f>
        <v>65</v>
      </c>
      <c r="H42" s="36">
        <f>6.2+1.6</f>
        <v>7.800000000000001</v>
      </c>
      <c r="I42" s="10">
        <f t="shared" si="1"/>
        <v>12.000000000000002</v>
      </c>
      <c r="J42" s="36">
        <f>27.2+36.4</f>
        <v>63.599999999999994</v>
      </c>
      <c r="K42" s="36">
        <f>53.9+64.3</f>
        <v>118.19999999999999</v>
      </c>
      <c r="L42" s="10">
        <f t="shared" si="24"/>
        <v>185.8490566037736</v>
      </c>
      <c r="M42" s="72">
        <f t="shared" si="12"/>
        <v>189.1</v>
      </c>
      <c r="N42" s="72">
        <f t="shared" si="13"/>
        <v>152.29999999999998</v>
      </c>
      <c r="O42" s="10">
        <f t="shared" si="6"/>
        <v>80.53939714436805</v>
      </c>
      <c r="P42" s="36"/>
      <c r="Q42" s="36"/>
      <c r="R42" s="103"/>
      <c r="S42" s="36"/>
      <c r="T42" s="36"/>
      <c r="U42" s="103"/>
      <c r="V42" s="36"/>
      <c r="W42" s="36"/>
      <c r="X42" s="103" t="e">
        <f t="shared" si="25"/>
        <v>#DIV/0!</v>
      </c>
      <c r="Y42" s="72">
        <f t="shared" si="26"/>
        <v>0</v>
      </c>
      <c r="Z42" s="72">
        <f t="shared" si="27"/>
        <v>0</v>
      </c>
      <c r="AA42" s="10" t="e">
        <f t="shared" si="28"/>
        <v>#DIV/0!</v>
      </c>
      <c r="AB42" s="36"/>
      <c r="AC42" s="36"/>
      <c r="AD42" s="103"/>
      <c r="AE42" s="36"/>
      <c r="AF42" s="36"/>
      <c r="AG42" s="10"/>
      <c r="AH42" s="36"/>
      <c r="AI42" s="36"/>
      <c r="AJ42" s="72">
        <f t="shared" si="16"/>
        <v>0</v>
      </c>
      <c r="AK42" s="72">
        <f t="shared" si="17"/>
        <v>0</v>
      </c>
      <c r="AL42" s="10" t="e">
        <f t="shared" si="29"/>
        <v>#DIV/0!</v>
      </c>
      <c r="AM42" s="36"/>
      <c r="AN42" s="36"/>
      <c r="AO42" s="36"/>
      <c r="AP42" s="36"/>
      <c r="AQ42" s="36"/>
      <c r="AR42" s="36"/>
      <c r="AS42" s="59">
        <f t="shared" si="18"/>
        <v>189.1</v>
      </c>
      <c r="AT42" s="59">
        <f t="shared" si="19"/>
        <v>152.29999999999998</v>
      </c>
      <c r="AU42" s="10">
        <f t="shared" si="5"/>
        <v>80.53939714436805</v>
      </c>
      <c r="AV42" s="59">
        <f t="shared" si="20"/>
        <v>36.80000000000001</v>
      </c>
      <c r="AW42" s="16">
        <f t="shared" si="30"/>
        <v>32.20000000000002</v>
      </c>
      <c r="AX42" s="21">
        <f t="shared" si="9"/>
        <v>189.1</v>
      </c>
      <c r="AY42" s="21">
        <f t="shared" si="10"/>
        <v>152.29999999999998</v>
      </c>
      <c r="AZ42" s="40">
        <f t="shared" si="11"/>
        <v>32.20000000000002</v>
      </c>
    </row>
    <row r="43" spans="1:52" s="11" customFormat="1" ht="34.5" customHeight="1">
      <c r="A43" s="12" t="s">
        <v>38</v>
      </c>
      <c r="B43" s="14" t="s">
        <v>66</v>
      </c>
      <c r="C43" s="68">
        <f>SUM(C44:C44)</f>
        <v>2874.7</v>
      </c>
      <c r="D43" s="16">
        <f>SUM(D44:D44)</f>
        <v>2362.9</v>
      </c>
      <c r="E43" s="16">
        <f>SUM(E44:E44)</f>
        <v>2321.4</v>
      </c>
      <c r="F43" s="10">
        <f t="shared" si="31"/>
        <v>98.24368360912437</v>
      </c>
      <c r="G43" s="16">
        <f>SUM(G44:G44)</f>
        <v>2616.4</v>
      </c>
      <c r="H43" s="16">
        <f>SUM(H44:H44)</f>
        <v>2496.4</v>
      </c>
      <c r="I43" s="10">
        <f t="shared" si="1"/>
        <v>95.41354532946032</v>
      </c>
      <c r="J43" s="16">
        <f>SUM(J44:J44)</f>
        <v>2324.6000000000004</v>
      </c>
      <c r="K43" s="16">
        <f>SUM(K44:K44)</f>
        <v>3347.6</v>
      </c>
      <c r="L43" s="10">
        <f t="shared" si="24"/>
        <v>144.00757119504428</v>
      </c>
      <c r="M43" s="16">
        <f>SUM(M44:M44)</f>
        <v>7303.900000000001</v>
      </c>
      <c r="N43" s="16">
        <f>SUM(N44:N44)</f>
        <v>8165.4</v>
      </c>
      <c r="O43" s="10">
        <f t="shared" si="6"/>
        <v>111.79506838812141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 t="shared" si="25"/>
        <v>#DIV/0!</v>
      </c>
      <c r="Y43" s="16">
        <f>SUM(Y44:Y44)</f>
        <v>0</v>
      </c>
      <c r="Z43" s="16">
        <f>SUM(Z44:Z44)</f>
        <v>0</v>
      </c>
      <c r="AA43" s="10" t="e">
        <f t="shared" si="28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29"/>
        <v>#DIV/0!</v>
      </c>
      <c r="AM43" s="16">
        <f aca="true" t="shared" si="32" ref="AM43:AR43">SUM(AM44:AM44)</f>
        <v>0</v>
      </c>
      <c r="AN43" s="16">
        <f t="shared" si="32"/>
        <v>0</v>
      </c>
      <c r="AO43" s="16">
        <f t="shared" si="32"/>
        <v>0</v>
      </c>
      <c r="AP43" s="16">
        <f t="shared" si="32"/>
        <v>0</v>
      </c>
      <c r="AQ43" s="16">
        <f t="shared" si="32"/>
        <v>0</v>
      </c>
      <c r="AR43" s="16">
        <f t="shared" si="32"/>
        <v>0</v>
      </c>
      <c r="AS43" s="103">
        <f>AS44</f>
        <v>7303.900000000001</v>
      </c>
      <c r="AT43" s="103">
        <f>AT44</f>
        <v>8165.4</v>
      </c>
      <c r="AU43" s="10">
        <f t="shared" si="5"/>
        <v>111.79506838812141</v>
      </c>
      <c r="AV43" s="16">
        <f>SUM(AV44:AV44)</f>
        <v>-861.4999999999991</v>
      </c>
      <c r="AW43" s="16">
        <f>SUM(AW44:AW44)</f>
        <v>2013.2000000000007</v>
      </c>
      <c r="AX43" s="21">
        <f t="shared" si="9"/>
        <v>7303.900000000001</v>
      </c>
      <c r="AY43" s="21">
        <f t="shared" si="10"/>
        <v>8165.4</v>
      </c>
      <c r="AZ43" s="40">
        <f t="shared" si="11"/>
        <v>2013.2000000000007</v>
      </c>
    </row>
    <row r="44" spans="1:52" s="11" customFormat="1" ht="34.5" customHeight="1">
      <c r="A44" s="8"/>
      <c r="B44" s="39" t="s">
        <v>67</v>
      </c>
      <c r="C44" s="85">
        <f>1150.1+1724.6</f>
        <v>2874.7</v>
      </c>
      <c r="D44" s="36">
        <f>895.2+1467.7</f>
        <v>2362.9</v>
      </c>
      <c r="E44" s="36">
        <f>320+2001.4</f>
        <v>2321.4</v>
      </c>
      <c r="F44" s="10">
        <f t="shared" si="31"/>
        <v>98.24368360912437</v>
      </c>
      <c r="G44" s="36">
        <f>940+1676.4</f>
        <v>2616.4</v>
      </c>
      <c r="H44" s="36">
        <f>1065.7+1430.7</f>
        <v>2496.4</v>
      </c>
      <c r="I44" s="10">
        <f t="shared" si="1"/>
        <v>95.41354532946032</v>
      </c>
      <c r="J44" s="36">
        <f>875.2+1449.4</f>
        <v>2324.6000000000004</v>
      </c>
      <c r="K44" s="36">
        <f>1500+1847.6</f>
        <v>3347.6</v>
      </c>
      <c r="L44" s="10">
        <f t="shared" si="24"/>
        <v>144.00757119504428</v>
      </c>
      <c r="M44" s="72">
        <f t="shared" si="12"/>
        <v>7303.900000000001</v>
      </c>
      <c r="N44" s="72">
        <f t="shared" si="13"/>
        <v>8165.4</v>
      </c>
      <c r="O44" s="10">
        <f t="shared" si="6"/>
        <v>111.79506838812141</v>
      </c>
      <c r="P44" s="36"/>
      <c r="Q44" s="36"/>
      <c r="R44" s="10"/>
      <c r="S44" s="36"/>
      <c r="T44" s="36"/>
      <c r="U44" s="10"/>
      <c r="V44" s="36"/>
      <c r="W44" s="36"/>
      <c r="X44" s="10">
        <f>944.5+1563.5</f>
        <v>2508</v>
      </c>
      <c r="Y44" s="72">
        <f>P44+S44+V44</f>
        <v>0</v>
      </c>
      <c r="Z44" s="72">
        <f>Q44+T44+W44</f>
        <v>0</v>
      </c>
      <c r="AA44" s="10" t="e">
        <f t="shared" si="28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29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7303.900000000001</v>
      </c>
      <c r="AT44" s="59">
        <f>N44+Z44+AK44+AN44+AP44+AR44</f>
        <v>8165.4</v>
      </c>
      <c r="AU44" s="10">
        <f t="shared" si="5"/>
        <v>111.79506838812141</v>
      </c>
      <c r="AV44" s="59">
        <f t="shared" si="20"/>
        <v>-861.4999999999991</v>
      </c>
      <c r="AW44" s="16">
        <f>C44+AS44-AT44</f>
        <v>2013.2000000000007</v>
      </c>
      <c r="AX44" s="21">
        <f t="shared" si="9"/>
        <v>7303.900000000001</v>
      </c>
      <c r="AY44" s="21">
        <f t="shared" si="10"/>
        <v>8165.4</v>
      </c>
      <c r="AZ44" s="40">
        <f t="shared" si="11"/>
        <v>2013.2000000000007</v>
      </c>
    </row>
    <row r="45" spans="1:52" ht="34.5" customHeight="1">
      <c r="A45" s="12"/>
      <c r="B45" s="14" t="s">
        <v>105</v>
      </c>
      <c r="C45" s="68">
        <f>C43+C7</f>
        <v>2905.5</v>
      </c>
      <c r="D45" s="16">
        <f>D43+D7</f>
        <v>4759.9</v>
      </c>
      <c r="E45" s="16">
        <f>E43+E7</f>
        <v>3539.6000000000004</v>
      </c>
      <c r="F45" s="10">
        <f>E45/D45*100</f>
        <v>74.36290678375597</v>
      </c>
      <c r="G45" s="16">
        <f>G7+G43</f>
        <v>5293.8</v>
      </c>
      <c r="H45" s="16">
        <f>H7+H43</f>
        <v>5234.9000000000015</v>
      </c>
      <c r="I45" s="10">
        <f t="shared" si="1"/>
        <v>98.8873776871057</v>
      </c>
      <c r="J45" s="16">
        <f>J7+J43</f>
        <v>4986.8</v>
      </c>
      <c r="K45" s="16">
        <f>K7+K43</f>
        <v>6646.099999999999</v>
      </c>
      <c r="L45" s="10">
        <f t="shared" si="24"/>
        <v>133.27384294537578</v>
      </c>
      <c r="M45" s="16">
        <f>M7+M43</f>
        <v>15040.500000000002</v>
      </c>
      <c r="N45" s="16">
        <f>N7+N43</f>
        <v>15420.599999999999</v>
      </c>
      <c r="O45" s="10">
        <f t="shared" si="6"/>
        <v>102.52717662311757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0</v>
      </c>
      <c r="Z45" s="16">
        <f>Z7+Z43</f>
        <v>0</v>
      </c>
      <c r="AA45" s="10" t="e">
        <f t="shared" si="28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29"/>
        <v>#DIV/0!</v>
      </c>
      <c r="AM45" s="16">
        <f aca="true" t="shared" si="33" ref="AM45:AR45">AM43+AM7</f>
        <v>0</v>
      </c>
      <c r="AN45" s="16">
        <f t="shared" si="33"/>
        <v>0</v>
      </c>
      <c r="AO45" s="16">
        <f t="shared" si="33"/>
        <v>0</v>
      </c>
      <c r="AP45" s="16">
        <f t="shared" si="33"/>
        <v>0</v>
      </c>
      <c r="AQ45" s="16">
        <f t="shared" si="33"/>
        <v>0</v>
      </c>
      <c r="AR45" s="16">
        <f t="shared" si="33"/>
        <v>0</v>
      </c>
      <c r="AS45" s="68">
        <f>AS7+AS43</f>
        <v>15040.500000000002</v>
      </c>
      <c r="AT45" s="68">
        <f>AT7+AT43</f>
        <v>15420.599999999999</v>
      </c>
      <c r="AU45" s="10">
        <f>AT45/AS45*100</f>
        <v>102.52717662311757</v>
      </c>
      <c r="AV45" s="16">
        <f>AV7+AV43</f>
        <v>-380.0999999999991</v>
      </c>
      <c r="AW45" s="16">
        <f>AW7+AW43</f>
        <v>2525.4000000000005</v>
      </c>
      <c r="AX45" s="21">
        <f t="shared" si="9"/>
        <v>15040.5</v>
      </c>
      <c r="AY45" s="21">
        <f t="shared" si="10"/>
        <v>15420.600000000002</v>
      </c>
      <c r="AZ45" s="40">
        <f t="shared" si="11"/>
        <v>2525.399999999998</v>
      </c>
    </row>
    <row r="46" spans="1:61" s="113" customFormat="1" ht="96" customHeight="1">
      <c r="A46" s="163" t="s">
        <v>110</v>
      </c>
      <c r="B46" s="163"/>
      <c r="C46" s="163"/>
      <c r="D46" s="128"/>
      <c r="E46" s="128"/>
      <c r="F46" s="136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109</v>
      </c>
      <c r="AX46" s="128"/>
      <c r="AY46" s="128"/>
      <c r="AZ46" s="128"/>
      <c r="BA46" s="128"/>
      <c r="BB46" s="128"/>
      <c r="BC46" s="128"/>
      <c r="BD46" s="128"/>
      <c r="BE46" s="128"/>
      <c r="BF46" s="131"/>
      <c r="BG46" s="131"/>
      <c r="BH46" s="131"/>
      <c r="BI46" s="13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96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7" t="s">
        <v>75</v>
      </c>
      <c r="AW47" s="178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8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49" s="30" customFormat="1" ht="63.75" customHeight="1">
      <c r="A51" s="27"/>
      <c r="B51" s="173" t="s">
        <v>76</v>
      </c>
      <c r="C51" s="173"/>
      <c r="D51" s="173"/>
      <c r="E51" s="173"/>
      <c r="F51" s="173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</row>
    <row r="52" spans="1:49" ht="73.5" customHeight="1" hidden="1">
      <c r="A52" s="172" t="s">
        <v>72</v>
      </c>
      <c r="B52" s="172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18.75">
      <c r="B53" s="95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7:49" ht="18.75"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2:49" ht="18.75">
      <c r="B55" s="95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18.75">
      <c r="B56" s="95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18.75">
      <c r="B57" s="95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7:49" ht="18.75"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7:49" ht="18.75"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18.75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18.75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18.75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18.75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18.75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18.75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18.75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18.75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18.75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18.75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18.75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18.75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18.75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18.75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18.75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18.75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18.75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18.75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18.75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18.75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18.75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18.75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18.75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18.75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18.75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18.75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18.75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18.75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18.75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18.75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18.75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18.75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18.75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18.75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18.75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18.75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18.75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18.75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5">
    <mergeCell ref="I1:AW1"/>
    <mergeCell ref="B4:F4"/>
    <mergeCell ref="AS5:AU5"/>
    <mergeCell ref="AV5:AV6"/>
    <mergeCell ref="AM5:AN5"/>
    <mergeCell ref="AJ5:AL5"/>
    <mergeCell ref="S5:U5"/>
    <mergeCell ref="AW5:AW6"/>
    <mergeCell ref="A2:AW3"/>
    <mergeCell ref="AB5:AD5"/>
    <mergeCell ref="A52:B52"/>
    <mergeCell ref="B51:F51"/>
    <mergeCell ref="D5:F5"/>
    <mergeCell ref="G5:I5"/>
    <mergeCell ref="P5:R5"/>
    <mergeCell ref="J5:L5"/>
    <mergeCell ref="M5:O5"/>
    <mergeCell ref="A46:C46"/>
    <mergeCell ref="AH5:AI5"/>
    <mergeCell ref="AV47:AW47"/>
    <mergeCell ref="Y5:AA5"/>
    <mergeCell ref="V5:X5"/>
    <mergeCell ref="AE5:AG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0" zoomScaleNormal="50" zoomScaleSheetLayoutView="70" zoomScalePageLayoutView="0" workbookViewId="0" topLeftCell="A2">
      <pane xSplit="6" ySplit="4" topLeftCell="G15" activePane="bottomRight" state="frozen"/>
      <selection pane="topLeft" activeCell="A2" sqref="A2"/>
      <selection pane="topRight" activeCell="G2" sqref="G2"/>
      <selection pane="bottomLeft" activeCell="A6" sqref="A6"/>
      <selection pane="bottomRight" activeCell="AX2" sqref="A2:IV2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47" customWidth="1"/>
    <col min="4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customWidth="1"/>
    <col min="11" max="11" width="16.00390625" style="2" customWidth="1"/>
    <col min="12" max="12" width="11.125" style="11" customWidth="1"/>
    <col min="13" max="13" width="12.7539062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2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75390625" style="11" hidden="1" customWidth="1"/>
    <col min="35" max="35" width="11.00390625" style="11" hidden="1" customWidth="1"/>
    <col min="36" max="36" width="12.75390625" style="11" hidden="1" customWidth="1"/>
    <col min="37" max="37" width="12.375" style="11" hidden="1" customWidth="1"/>
    <col min="38" max="38" width="11.125" style="11" hidden="1" customWidth="1"/>
    <col min="39" max="39" width="12.75390625" style="11" hidden="1" customWidth="1"/>
    <col min="40" max="40" width="11.00390625" style="11" hidden="1" customWidth="1"/>
    <col min="41" max="41" width="12.75390625" style="11" hidden="1" customWidth="1"/>
    <col min="42" max="42" width="11.00390625" style="11" hidden="1" customWidth="1"/>
    <col min="43" max="43" width="12.75390625" style="11" hidden="1" customWidth="1"/>
    <col min="44" max="44" width="11.00390625" style="11" hidden="1" customWidth="1"/>
    <col min="45" max="46" width="14.75390625" style="2" customWidth="1"/>
    <col min="47" max="47" width="11.125" style="11" customWidth="1"/>
    <col min="48" max="48" width="17.875" style="2" hidden="1" customWidth="1"/>
    <col min="49" max="49" width="26.625" style="2" customWidth="1"/>
    <col min="50" max="50" width="13.00390625" style="2" customWidth="1"/>
    <col min="51" max="51" width="11.625" style="2" customWidth="1"/>
    <col min="52" max="52" width="8.625" style="2" customWidth="1"/>
    <col min="53" max="16384" width="6.75390625" style="2" customWidth="1"/>
  </cols>
  <sheetData>
    <row r="1" spans="9:49" ht="14.2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2" customFormat="1" ht="60" customHeight="1">
      <c r="A2" s="162" t="s">
        <v>124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</row>
    <row r="3" spans="1:49" s="52" customFormat="1" ht="60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</row>
    <row r="4" spans="2:49" ht="49.5" customHeight="1">
      <c r="B4" s="166"/>
      <c r="C4" s="166"/>
      <c r="D4" s="166"/>
      <c r="E4" s="166"/>
      <c r="F4" s="166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94</v>
      </c>
    </row>
    <row r="5" spans="1:49" ht="58.5" customHeight="1">
      <c r="A5" s="42" t="s">
        <v>46</v>
      </c>
      <c r="B5" s="43"/>
      <c r="C5" s="44" t="s">
        <v>1</v>
      </c>
      <c r="D5" s="169" t="s">
        <v>111</v>
      </c>
      <c r="E5" s="170"/>
      <c r="F5" s="171"/>
      <c r="G5" s="159" t="s">
        <v>114</v>
      </c>
      <c r="H5" s="160"/>
      <c r="I5" s="161"/>
      <c r="J5" s="159" t="s">
        <v>118</v>
      </c>
      <c r="K5" s="160"/>
      <c r="L5" s="161"/>
      <c r="M5" s="159" t="s">
        <v>90</v>
      </c>
      <c r="N5" s="160"/>
      <c r="O5" s="161"/>
      <c r="P5" s="159" t="s">
        <v>79</v>
      </c>
      <c r="Q5" s="160"/>
      <c r="R5" s="161"/>
      <c r="S5" s="159" t="s">
        <v>80</v>
      </c>
      <c r="T5" s="160"/>
      <c r="U5" s="161"/>
      <c r="V5" s="159" t="s">
        <v>81</v>
      </c>
      <c r="W5" s="160"/>
      <c r="X5" s="161"/>
      <c r="Y5" s="159" t="s">
        <v>91</v>
      </c>
      <c r="Z5" s="160"/>
      <c r="AA5" s="161"/>
      <c r="AB5" s="159" t="s">
        <v>82</v>
      </c>
      <c r="AC5" s="160"/>
      <c r="AD5" s="161"/>
      <c r="AE5" s="159" t="s">
        <v>83</v>
      </c>
      <c r="AF5" s="160"/>
      <c r="AG5" s="161"/>
      <c r="AH5" s="159" t="s">
        <v>84</v>
      </c>
      <c r="AI5" s="161"/>
      <c r="AJ5" s="159" t="s">
        <v>92</v>
      </c>
      <c r="AK5" s="160"/>
      <c r="AL5" s="161"/>
      <c r="AM5" s="159" t="s">
        <v>85</v>
      </c>
      <c r="AN5" s="161"/>
      <c r="AO5" s="159" t="s">
        <v>86</v>
      </c>
      <c r="AP5" s="161"/>
      <c r="AQ5" s="159" t="s">
        <v>87</v>
      </c>
      <c r="AR5" s="161"/>
      <c r="AS5" s="169" t="s">
        <v>112</v>
      </c>
      <c r="AT5" s="170"/>
      <c r="AU5" s="171"/>
      <c r="AV5" s="181" t="s">
        <v>89</v>
      </c>
      <c r="AW5" s="167" t="s">
        <v>117</v>
      </c>
    </row>
    <row r="6" spans="1:49" ht="56.25" customHeight="1">
      <c r="A6" s="45" t="s">
        <v>47</v>
      </c>
      <c r="B6" s="46" t="s">
        <v>106</v>
      </c>
      <c r="C6" s="41" t="s">
        <v>113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93</v>
      </c>
      <c r="AT6" s="46" t="s">
        <v>69</v>
      </c>
      <c r="AU6" s="48" t="s">
        <v>0</v>
      </c>
      <c r="AV6" s="182"/>
      <c r="AW6" s="168"/>
    </row>
    <row r="7" spans="1:52" s="11" customFormat="1" ht="36" customHeight="1">
      <c r="A7" s="8"/>
      <c r="B7" s="114" t="s">
        <v>107</v>
      </c>
      <c r="C7" s="10">
        <f>SUM(C8:C42)-C33-C34</f>
        <v>-28.3</v>
      </c>
      <c r="D7" s="10">
        <f>SUM(D8:D42)-D33-D34</f>
        <v>217.29999999999995</v>
      </c>
      <c r="E7" s="10">
        <f>SUM(E8:E42)-E33-E34</f>
        <v>145.70000000000002</v>
      </c>
      <c r="F7" s="10">
        <f>E7/D7*100</f>
        <v>67.05016106764845</v>
      </c>
      <c r="G7" s="10">
        <f>SUM(G8:G42)-G33-G34</f>
        <v>322.6</v>
      </c>
      <c r="H7" s="10">
        <f>SUM(H8:H42)-H33-H34</f>
        <v>257.79999999999995</v>
      </c>
      <c r="I7" s="10">
        <f aca="true" t="shared" si="0" ref="I7:I30">H7/G7*100</f>
        <v>79.91320520768753</v>
      </c>
      <c r="J7" s="10">
        <f>SUM(J8:J42)-J33-J34</f>
        <v>277.40000000000003</v>
      </c>
      <c r="K7" s="10">
        <f>SUM(K8:K42)-K33-K34</f>
        <v>367.40000000000003</v>
      </c>
      <c r="L7" s="10">
        <f>K7/J7*100</f>
        <v>132.44412400865176</v>
      </c>
      <c r="M7" s="10">
        <f>SUM(M8:M42)</f>
        <v>817.3000000000001</v>
      </c>
      <c r="N7" s="10">
        <f>SUM(N8:N42)</f>
        <v>770.9</v>
      </c>
      <c r="O7" s="10">
        <f>N7/M7*100</f>
        <v>94.32277009665972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>T7/S7*100</f>
        <v>#DIV/0!</v>
      </c>
      <c r="V7" s="10">
        <f>SUM(V8:V42)</f>
        <v>0</v>
      </c>
      <c r="W7" s="10">
        <f>SUM(W8:W42)</f>
        <v>0</v>
      </c>
      <c r="X7" s="10" t="e">
        <f>W7/V7*100</f>
        <v>#DIV/0!</v>
      </c>
      <c r="Y7" s="10">
        <f>SUM(Y8:Y42)</f>
        <v>0</v>
      </c>
      <c r="Z7" s="10">
        <f>SUM(Z8:Z42)</f>
        <v>0</v>
      </c>
      <c r="AA7" s="10" t="e">
        <f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>AK7/AJ7*100</f>
        <v>#DIV/0!</v>
      </c>
      <c r="AM7" s="10">
        <f aca="true" t="shared" si="1" ref="AM7:AR7">SUM(AM8:AM42)</f>
        <v>0</v>
      </c>
      <c r="AN7" s="10">
        <f t="shared" si="1"/>
        <v>0</v>
      </c>
      <c r="AO7" s="10">
        <f t="shared" si="1"/>
        <v>0</v>
      </c>
      <c r="AP7" s="10">
        <f t="shared" si="1"/>
        <v>0</v>
      </c>
      <c r="AQ7" s="10">
        <f t="shared" si="1"/>
        <v>0</v>
      </c>
      <c r="AR7" s="10">
        <f t="shared" si="1"/>
        <v>0</v>
      </c>
      <c r="AS7" s="10">
        <f>SUM(AS8:AS42)-AS33-AS34</f>
        <v>817.2999999999998</v>
      </c>
      <c r="AT7" s="10">
        <f>SUM(AT8:AT42)-AT33-AT34</f>
        <v>770.9</v>
      </c>
      <c r="AU7" s="10">
        <f>AT7/AS7*100</f>
        <v>94.32277009665975</v>
      </c>
      <c r="AV7" s="55">
        <f>SUM(AV8:AV42)</f>
        <v>46.400000000000006</v>
      </c>
      <c r="AW7" s="10">
        <f>SUM(AW8:AW42)-AW33-AW34</f>
        <v>18.10000000000001</v>
      </c>
      <c r="AX7" s="21">
        <f>D7+G7+J7</f>
        <v>817.3</v>
      </c>
      <c r="AY7" s="21">
        <f>E7+H7+K7</f>
        <v>770.9000000000001</v>
      </c>
      <c r="AZ7" s="40">
        <f>C7+AX7-AY7</f>
        <v>18.09999999999991</v>
      </c>
    </row>
    <row r="8" spans="1:52" ht="34.5" customHeight="1">
      <c r="A8" s="12" t="s">
        <v>5</v>
      </c>
      <c r="B8" s="58" t="s">
        <v>49</v>
      </c>
      <c r="C8" s="13">
        <v>-0.2</v>
      </c>
      <c r="D8" s="36">
        <v>9.6</v>
      </c>
      <c r="E8" s="36">
        <v>7.6</v>
      </c>
      <c r="F8" s="10">
        <f>E8/D8*100</f>
        <v>79.16666666666666</v>
      </c>
      <c r="G8" s="36">
        <v>21.2</v>
      </c>
      <c r="H8" s="36">
        <v>22.4</v>
      </c>
      <c r="I8" s="10">
        <f t="shared" si="0"/>
        <v>105.66037735849056</v>
      </c>
      <c r="J8" s="36">
        <v>21</v>
      </c>
      <c r="K8" s="36">
        <v>21</v>
      </c>
      <c r="L8" s="10">
        <f>K8/J8*100</f>
        <v>100</v>
      </c>
      <c r="M8" s="72">
        <f>D8+G8+J8</f>
        <v>51.8</v>
      </c>
      <c r="N8" s="72">
        <f>E8+H8+K8</f>
        <v>51</v>
      </c>
      <c r="O8" s="10">
        <f>N8/M8*100</f>
        <v>98.45559845559846</v>
      </c>
      <c r="P8" s="36"/>
      <c r="Q8" s="36"/>
      <c r="R8" s="10"/>
      <c r="S8" s="36"/>
      <c r="T8" s="36"/>
      <c r="U8" s="10"/>
      <c r="V8" s="36"/>
      <c r="W8" s="36"/>
      <c r="X8" s="10" t="e">
        <f>W8/V8*100</f>
        <v>#DIV/0!</v>
      </c>
      <c r="Y8" s="72">
        <f>P8+S8+V8</f>
        <v>0</v>
      </c>
      <c r="Z8" s="72">
        <f>Q8+T8+W8</f>
        <v>0</v>
      </c>
      <c r="AA8" s="10" t="e">
        <f>Z8/Y8*100</f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>AK8/AJ8*100</f>
        <v>#DIV/0!</v>
      </c>
      <c r="AM8" s="36"/>
      <c r="AN8" s="36"/>
      <c r="AO8" s="36"/>
      <c r="AP8" s="36"/>
      <c r="AQ8" s="36"/>
      <c r="AR8" s="36"/>
      <c r="AS8" s="59">
        <f>M8+Y8+AJ8+AM8+AO8+AQ8</f>
        <v>51.8</v>
      </c>
      <c r="AT8" s="59">
        <f>N8+Z8+AK8+AN8+AP8+AR8</f>
        <v>51</v>
      </c>
      <c r="AU8" s="10">
        <f>AT8/AS8*100</f>
        <v>98.45559845559846</v>
      </c>
      <c r="AV8" s="59">
        <f>AS8-AT8</f>
        <v>0.7999999999999972</v>
      </c>
      <c r="AW8" s="16">
        <f>C8+AS8-AT8</f>
        <v>0.5999999999999943</v>
      </c>
      <c r="AX8" s="21">
        <f aca="true" t="shared" si="2" ref="AX8:AX45">D8+G8+J8</f>
        <v>51.8</v>
      </c>
      <c r="AY8" s="21">
        <f aca="true" t="shared" si="3" ref="AY8:AY45">E8+H8+K8</f>
        <v>51</v>
      </c>
      <c r="AZ8" s="40">
        <f aca="true" t="shared" si="4" ref="AZ8:AZ45">C8+AX8-AY8</f>
        <v>0.5999999999999943</v>
      </c>
    </row>
    <row r="9" spans="1:52" ht="34.5" customHeight="1">
      <c r="A9" s="12" t="s">
        <v>6</v>
      </c>
      <c r="B9" s="60" t="s">
        <v>65</v>
      </c>
      <c r="C9" s="13">
        <v>-4.4</v>
      </c>
      <c r="D9" s="36">
        <v>1.3</v>
      </c>
      <c r="E9" s="36">
        <v>0.5</v>
      </c>
      <c r="F9" s="10">
        <f aca="true" t="shared" si="5" ref="F9:F32">E9/D9*100</f>
        <v>38.46153846153846</v>
      </c>
      <c r="G9" s="36">
        <v>0.7</v>
      </c>
      <c r="H9" s="36">
        <v>1</v>
      </c>
      <c r="I9" s="10">
        <f t="shared" si="0"/>
        <v>142.85714285714286</v>
      </c>
      <c r="J9" s="36">
        <v>1.2</v>
      </c>
      <c r="K9" s="36">
        <v>1.1</v>
      </c>
      <c r="L9" s="10">
        <f>K9/J9*100</f>
        <v>91.66666666666667</v>
      </c>
      <c r="M9" s="72">
        <f>D9+G9+J9</f>
        <v>3.2</v>
      </c>
      <c r="N9" s="72">
        <f>E9+H9+K9</f>
        <v>2.6</v>
      </c>
      <c r="O9" s="10">
        <f>N9/M9*100</f>
        <v>81.25</v>
      </c>
      <c r="P9" s="36"/>
      <c r="Q9" s="36"/>
      <c r="R9" s="10"/>
      <c r="S9" s="36"/>
      <c r="T9" s="36"/>
      <c r="U9" s="10"/>
      <c r="V9" s="36"/>
      <c r="W9" s="36"/>
      <c r="X9" s="10" t="e">
        <f>W9/V9*100</f>
        <v>#DIV/0!</v>
      </c>
      <c r="Y9" s="72">
        <f>P9+S9+V9</f>
        <v>0</v>
      </c>
      <c r="Z9" s="72">
        <f>Q9+T9+W9</f>
        <v>0</v>
      </c>
      <c r="AA9" s="10" t="e">
        <f>Z9/Y9*100</f>
        <v>#DIV/0!</v>
      </c>
      <c r="AB9" s="36"/>
      <c r="AC9" s="36"/>
      <c r="AD9" s="10"/>
      <c r="AE9" s="36"/>
      <c r="AF9" s="36"/>
      <c r="AG9" s="10"/>
      <c r="AH9" s="36"/>
      <c r="AI9" s="36"/>
      <c r="AJ9" s="72">
        <f>AB9+AE9+AH9</f>
        <v>0</v>
      </c>
      <c r="AK9" s="72">
        <f>AC9+AF9+AI9</f>
        <v>0</v>
      </c>
      <c r="AL9" s="10" t="e">
        <f>AK9/AJ9*100</f>
        <v>#DIV/0!</v>
      </c>
      <c r="AM9" s="36"/>
      <c r="AN9" s="36"/>
      <c r="AO9" s="36"/>
      <c r="AP9" s="36"/>
      <c r="AQ9" s="36"/>
      <c r="AR9" s="36"/>
      <c r="AS9" s="59">
        <f>M9+Y9+AJ9+AM9+AO9+AQ9</f>
        <v>3.2</v>
      </c>
      <c r="AT9" s="59">
        <f>N9+Z9+AK9+AN9+AP9+AR9</f>
        <v>2.6</v>
      </c>
      <c r="AU9" s="10">
        <f>AT9/AS9*100</f>
        <v>81.25</v>
      </c>
      <c r="AV9" s="59">
        <f>AS9-AT9</f>
        <v>0.6000000000000001</v>
      </c>
      <c r="AW9" s="16">
        <f>C9+AS9-AT9</f>
        <v>-3.8000000000000003</v>
      </c>
      <c r="AX9" s="21">
        <f t="shared" si="2"/>
        <v>3.2</v>
      </c>
      <c r="AY9" s="21">
        <f t="shared" si="3"/>
        <v>2.6</v>
      </c>
      <c r="AZ9" s="40">
        <f t="shared" si="4"/>
        <v>-3.8000000000000003</v>
      </c>
    </row>
    <row r="10" spans="1:52" ht="34.5" customHeight="1">
      <c r="A10" s="12" t="s">
        <v>7</v>
      </c>
      <c r="B10" s="62" t="s">
        <v>95</v>
      </c>
      <c r="C10" s="13"/>
      <c r="D10" s="36"/>
      <c r="E10" s="36"/>
      <c r="F10" s="86" t="e">
        <f t="shared" si="5"/>
        <v>#DIV/0!</v>
      </c>
      <c r="G10" s="36"/>
      <c r="H10" s="36"/>
      <c r="I10" s="86" t="e">
        <f t="shared" si="0"/>
        <v>#DIV/0!</v>
      </c>
      <c r="J10" s="36"/>
      <c r="K10" s="36"/>
      <c r="L10" s="86"/>
      <c r="M10" s="72"/>
      <c r="N10" s="72"/>
      <c r="O10" s="10"/>
      <c r="P10" s="36"/>
      <c r="Q10" s="36"/>
      <c r="R10" s="86"/>
      <c r="S10" s="36"/>
      <c r="T10" s="36"/>
      <c r="U10" s="86"/>
      <c r="V10" s="36"/>
      <c r="W10" s="36"/>
      <c r="X10" s="86"/>
      <c r="Y10" s="72"/>
      <c r="Z10" s="72"/>
      <c r="AA10" s="10"/>
      <c r="AB10" s="36"/>
      <c r="AC10" s="36"/>
      <c r="AD10" s="86"/>
      <c r="AE10" s="36"/>
      <c r="AF10" s="36"/>
      <c r="AG10" s="10"/>
      <c r="AH10" s="36"/>
      <c r="AI10" s="36"/>
      <c r="AJ10" s="72"/>
      <c r="AK10" s="72"/>
      <c r="AL10" s="10"/>
      <c r="AM10" s="36"/>
      <c r="AN10" s="36"/>
      <c r="AO10" s="36"/>
      <c r="AP10" s="36"/>
      <c r="AQ10" s="36"/>
      <c r="AR10" s="36"/>
      <c r="AS10" s="59"/>
      <c r="AT10" s="59"/>
      <c r="AU10" s="86"/>
      <c r="AV10" s="59"/>
      <c r="AW10" s="16"/>
      <c r="AX10" s="21">
        <f t="shared" si="2"/>
        <v>0</v>
      </c>
      <c r="AY10" s="21">
        <f t="shared" si="3"/>
        <v>0</v>
      </c>
      <c r="AZ10" s="40">
        <f t="shared" si="4"/>
        <v>0</v>
      </c>
    </row>
    <row r="11" spans="1:52" ht="34.5" customHeight="1">
      <c r="A11" s="12" t="s">
        <v>8</v>
      </c>
      <c r="B11" s="58" t="s">
        <v>50</v>
      </c>
      <c r="C11" s="13">
        <v>-18.5</v>
      </c>
      <c r="D11" s="36">
        <v>48.9</v>
      </c>
      <c r="E11" s="36">
        <v>16.9</v>
      </c>
      <c r="F11" s="10">
        <f t="shared" si="5"/>
        <v>34.56032719836401</v>
      </c>
      <c r="G11" s="36">
        <v>73</v>
      </c>
      <c r="H11" s="36">
        <v>54.4</v>
      </c>
      <c r="I11" s="10">
        <f t="shared" si="0"/>
        <v>74.52054794520548</v>
      </c>
      <c r="J11" s="36">
        <v>67.3</v>
      </c>
      <c r="K11" s="36">
        <v>97.8</v>
      </c>
      <c r="L11" s="10">
        <f>K11/J11*100</f>
        <v>145.31946508172362</v>
      </c>
      <c r="M11" s="72">
        <f>D11+G11+J11</f>
        <v>189.2</v>
      </c>
      <c r="N11" s="72">
        <f>E11+H11+K11</f>
        <v>169.1</v>
      </c>
      <c r="O11" s="10">
        <f>N11/M11*100</f>
        <v>89.37632135306555</v>
      </c>
      <c r="P11" s="36"/>
      <c r="Q11" s="36"/>
      <c r="R11" s="10"/>
      <c r="S11" s="36"/>
      <c r="T11" s="36"/>
      <c r="U11" s="10"/>
      <c r="V11" s="36"/>
      <c r="W11" s="36"/>
      <c r="X11" s="10" t="e">
        <f>W11/V11*100</f>
        <v>#DIV/0!</v>
      </c>
      <c r="Y11" s="72">
        <f>P11+S11+V11</f>
        <v>0</v>
      </c>
      <c r="Z11" s="72">
        <f>Q11+T11+W11</f>
        <v>0</v>
      </c>
      <c r="AA11" s="10" t="e">
        <f>Z11/Y11*100</f>
        <v>#DIV/0!</v>
      </c>
      <c r="AB11" s="36"/>
      <c r="AC11" s="36"/>
      <c r="AD11" s="10"/>
      <c r="AE11" s="36"/>
      <c r="AF11" s="36"/>
      <c r="AG11" s="108"/>
      <c r="AH11" s="36"/>
      <c r="AI11" s="36"/>
      <c r="AJ11" s="72">
        <f>AB11+AE11+AH11</f>
        <v>0</v>
      </c>
      <c r="AK11" s="72">
        <f>AC11+AF11+AI11</f>
        <v>0</v>
      </c>
      <c r="AL11" s="10" t="e">
        <f>AK11/AJ11*100</f>
        <v>#DIV/0!</v>
      </c>
      <c r="AM11" s="36"/>
      <c r="AN11" s="36"/>
      <c r="AO11" s="36"/>
      <c r="AP11" s="36"/>
      <c r="AQ11" s="36"/>
      <c r="AR11" s="36"/>
      <c r="AS11" s="59">
        <f>M11+Y11+AJ11+AM11+AO11+AQ11</f>
        <v>189.2</v>
      </c>
      <c r="AT11" s="59">
        <f>N11+Z11+AK11+AN11+AP11+AR11</f>
        <v>169.1</v>
      </c>
      <c r="AU11" s="10">
        <f>AT11/AS11*100</f>
        <v>89.37632135306555</v>
      </c>
      <c r="AV11" s="59">
        <f>AS11-AT11</f>
        <v>20.099999999999994</v>
      </c>
      <c r="AW11" s="16">
        <f>C11+AS11-AT11</f>
        <v>1.5999999999999943</v>
      </c>
      <c r="AX11" s="21">
        <f t="shared" si="2"/>
        <v>189.2</v>
      </c>
      <c r="AY11" s="21">
        <f t="shared" si="3"/>
        <v>169.1</v>
      </c>
      <c r="AZ11" s="40">
        <f t="shared" si="4"/>
        <v>1.5999999999999943</v>
      </c>
    </row>
    <row r="12" spans="1:52" ht="34.5" customHeight="1">
      <c r="A12" s="12" t="s">
        <v>9</v>
      </c>
      <c r="B12" s="58" t="s">
        <v>51</v>
      </c>
      <c r="C12" s="13"/>
      <c r="D12" s="36"/>
      <c r="E12" s="36"/>
      <c r="F12" s="86" t="e">
        <f t="shared" si="5"/>
        <v>#DIV/0!</v>
      </c>
      <c r="G12" s="36"/>
      <c r="H12" s="36"/>
      <c r="I12" s="86" t="e">
        <f t="shared" si="0"/>
        <v>#DIV/0!</v>
      </c>
      <c r="J12" s="36"/>
      <c r="K12" s="36"/>
      <c r="L12" s="10"/>
      <c r="M12" s="72"/>
      <c r="N12" s="72"/>
      <c r="O12" s="10"/>
      <c r="P12" s="36"/>
      <c r="Q12" s="36"/>
      <c r="R12" s="10"/>
      <c r="S12" s="36"/>
      <c r="T12" s="36"/>
      <c r="U12" s="10"/>
      <c r="V12" s="36"/>
      <c r="W12" s="36"/>
      <c r="X12" s="10"/>
      <c r="Y12" s="72"/>
      <c r="Z12" s="72"/>
      <c r="AA12" s="10"/>
      <c r="AB12" s="36"/>
      <c r="AC12" s="36"/>
      <c r="AD12" s="10"/>
      <c r="AE12" s="36"/>
      <c r="AF12" s="36"/>
      <c r="AG12" s="104"/>
      <c r="AH12" s="36"/>
      <c r="AI12" s="36"/>
      <c r="AJ12" s="72"/>
      <c r="AK12" s="72"/>
      <c r="AL12" s="10"/>
      <c r="AM12" s="36"/>
      <c r="AN12" s="36"/>
      <c r="AO12" s="36"/>
      <c r="AP12" s="36"/>
      <c r="AQ12" s="36"/>
      <c r="AR12" s="36"/>
      <c r="AS12" s="59"/>
      <c r="AT12" s="59"/>
      <c r="AU12" s="10"/>
      <c r="AV12" s="59"/>
      <c r="AW12" s="16"/>
      <c r="AX12" s="21">
        <f t="shared" si="2"/>
        <v>0</v>
      </c>
      <c r="AY12" s="21">
        <f t="shared" si="3"/>
        <v>0</v>
      </c>
      <c r="AZ12" s="40">
        <f t="shared" si="4"/>
        <v>0</v>
      </c>
    </row>
    <row r="13" spans="1:52" ht="34.5" customHeight="1">
      <c r="A13" s="12" t="s">
        <v>10</v>
      </c>
      <c r="B13" s="58" t="s">
        <v>52</v>
      </c>
      <c r="C13" s="13"/>
      <c r="D13" s="36"/>
      <c r="E13" s="36"/>
      <c r="F13" s="86" t="e">
        <f t="shared" si="5"/>
        <v>#DIV/0!</v>
      </c>
      <c r="G13" s="36"/>
      <c r="H13" s="36"/>
      <c r="I13" s="86" t="e">
        <f t="shared" si="0"/>
        <v>#DIV/0!</v>
      </c>
      <c r="J13" s="36"/>
      <c r="K13" s="36"/>
      <c r="L13" s="61"/>
      <c r="M13" s="72"/>
      <c r="N13" s="72"/>
      <c r="O13" s="10"/>
      <c r="P13" s="36"/>
      <c r="Q13" s="36"/>
      <c r="R13" s="61"/>
      <c r="S13" s="36"/>
      <c r="T13" s="36"/>
      <c r="U13" s="61"/>
      <c r="V13" s="36"/>
      <c r="W13" s="36"/>
      <c r="X13" s="61"/>
      <c r="Y13" s="72"/>
      <c r="Z13" s="72"/>
      <c r="AA13" s="10"/>
      <c r="AB13" s="36"/>
      <c r="AC13" s="36"/>
      <c r="AD13" s="61"/>
      <c r="AE13" s="36"/>
      <c r="AF13" s="36"/>
      <c r="AG13" s="10"/>
      <c r="AH13" s="36"/>
      <c r="AI13" s="36"/>
      <c r="AJ13" s="72"/>
      <c r="AK13" s="72"/>
      <c r="AL13" s="10"/>
      <c r="AM13" s="36"/>
      <c r="AN13" s="36"/>
      <c r="AO13" s="36"/>
      <c r="AP13" s="36"/>
      <c r="AQ13" s="36"/>
      <c r="AR13" s="36"/>
      <c r="AS13" s="59"/>
      <c r="AT13" s="59"/>
      <c r="AU13" s="10"/>
      <c r="AV13" s="59"/>
      <c r="AW13" s="16"/>
      <c r="AX13" s="21">
        <f t="shared" si="2"/>
        <v>0</v>
      </c>
      <c r="AY13" s="21">
        <f t="shared" si="3"/>
        <v>0</v>
      </c>
      <c r="AZ13" s="40">
        <f t="shared" si="4"/>
        <v>0</v>
      </c>
    </row>
    <row r="14" spans="1:52" ht="34.5" customHeight="1">
      <c r="A14" s="12" t="s">
        <v>11</v>
      </c>
      <c r="B14" s="58" t="s">
        <v>96</v>
      </c>
      <c r="C14" s="13">
        <v>-0.4</v>
      </c>
      <c r="D14" s="36">
        <v>0.7</v>
      </c>
      <c r="E14" s="36">
        <v>0.3</v>
      </c>
      <c r="F14" s="10">
        <f t="shared" si="5"/>
        <v>42.85714285714286</v>
      </c>
      <c r="G14" s="36">
        <v>0.6</v>
      </c>
      <c r="H14" s="36">
        <v>0.7</v>
      </c>
      <c r="I14" s="10">
        <f t="shared" si="0"/>
        <v>116.66666666666667</v>
      </c>
      <c r="J14" s="36">
        <v>0.8</v>
      </c>
      <c r="K14" s="36">
        <v>1.2</v>
      </c>
      <c r="L14" s="10">
        <f>K14/J14*100</f>
        <v>149.99999999999997</v>
      </c>
      <c r="M14" s="72">
        <f>D14+G14+J14</f>
        <v>2.0999999999999996</v>
      </c>
      <c r="N14" s="72">
        <f>E14+H14+K14</f>
        <v>2.2</v>
      </c>
      <c r="O14" s="10">
        <f>N14/M14*100</f>
        <v>104.76190476190479</v>
      </c>
      <c r="P14" s="36"/>
      <c r="Q14" s="36"/>
      <c r="R14" s="10"/>
      <c r="S14" s="36"/>
      <c r="T14" s="36"/>
      <c r="U14" s="10"/>
      <c r="V14" s="36"/>
      <c r="W14" s="36"/>
      <c r="X14" s="10" t="e">
        <f>W14/V14*100</f>
        <v>#DIV/0!</v>
      </c>
      <c r="Y14" s="72">
        <f>P14+S14+V14</f>
        <v>0</v>
      </c>
      <c r="Z14" s="72">
        <f>Q14+T14+W14</f>
        <v>0</v>
      </c>
      <c r="AA14" s="10" t="e">
        <f>Z14/Y14*100</f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>AB14+AE14+AH14</f>
        <v>0</v>
      </c>
      <c r="AK14" s="72">
        <f>AC14+AF14+AI14</f>
        <v>0</v>
      </c>
      <c r="AL14" s="10" t="e">
        <f>AK14/AJ14*100</f>
        <v>#DIV/0!</v>
      </c>
      <c r="AM14" s="36"/>
      <c r="AN14" s="36"/>
      <c r="AO14" s="36"/>
      <c r="AP14" s="36"/>
      <c r="AQ14" s="36"/>
      <c r="AR14" s="36"/>
      <c r="AS14" s="59">
        <f>M14+Y14+AJ14+AM14+AO14+AQ14</f>
        <v>2.0999999999999996</v>
      </c>
      <c r="AT14" s="59">
        <f>N14+Z14+AK14+AN14+AP14+AR14</f>
        <v>2.2</v>
      </c>
      <c r="AU14" s="10">
        <f>AT14/AS14*100</f>
        <v>104.76190476190479</v>
      </c>
      <c r="AV14" s="59">
        <f>AS14-AT14</f>
        <v>-0.10000000000000053</v>
      </c>
      <c r="AW14" s="16">
        <f>C14+AS14-AT14</f>
        <v>-0.5000000000000004</v>
      </c>
      <c r="AX14" s="21">
        <f t="shared" si="2"/>
        <v>2.0999999999999996</v>
      </c>
      <c r="AY14" s="21">
        <f t="shared" si="3"/>
        <v>2.2</v>
      </c>
      <c r="AZ14" s="40">
        <f t="shared" si="4"/>
        <v>-0.5000000000000004</v>
      </c>
    </row>
    <row r="15" spans="1:52" ht="34.5" customHeight="1">
      <c r="A15" s="12" t="s">
        <v>12</v>
      </c>
      <c r="B15" s="58" t="s">
        <v>53</v>
      </c>
      <c r="C15" s="13">
        <v>-0.6</v>
      </c>
      <c r="D15" s="36">
        <v>46.6</v>
      </c>
      <c r="E15" s="36">
        <v>45.4</v>
      </c>
      <c r="F15" s="10">
        <f t="shared" si="5"/>
        <v>97.42489270386265</v>
      </c>
      <c r="G15" s="36">
        <v>45.8</v>
      </c>
      <c r="H15" s="36">
        <v>45.8</v>
      </c>
      <c r="I15" s="10">
        <f t="shared" si="0"/>
        <v>100</v>
      </c>
      <c r="J15" s="36">
        <v>45.7</v>
      </c>
      <c r="K15" s="36">
        <v>46.6</v>
      </c>
      <c r="L15" s="61">
        <f>K15/J15*100</f>
        <v>101.96936542669583</v>
      </c>
      <c r="M15" s="72">
        <f>D15+G15+J15</f>
        <v>138.10000000000002</v>
      </c>
      <c r="N15" s="72">
        <f>E15+H15+K15</f>
        <v>137.79999999999998</v>
      </c>
      <c r="O15" s="10">
        <f>N15/M15*100</f>
        <v>99.78276611151337</v>
      </c>
      <c r="P15" s="36"/>
      <c r="Q15" s="36"/>
      <c r="R15" s="103"/>
      <c r="S15" s="36"/>
      <c r="T15" s="36"/>
      <c r="U15" s="103"/>
      <c r="V15" s="36"/>
      <c r="W15" s="36"/>
      <c r="X15" s="103" t="e">
        <f>W15/V15*100</f>
        <v>#DIV/0!</v>
      </c>
      <c r="Y15" s="72">
        <f>P15+S15+V15</f>
        <v>0</v>
      </c>
      <c r="Z15" s="72">
        <f>Q15+T15+W15</f>
        <v>0</v>
      </c>
      <c r="AA15" s="10" t="e">
        <f>Z15/Y15*100</f>
        <v>#DIV/0!</v>
      </c>
      <c r="AB15" s="36"/>
      <c r="AC15" s="36"/>
      <c r="AD15" s="103"/>
      <c r="AE15" s="36"/>
      <c r="AF15" s="36"/>
      <c r="AG15" s="10"/>
      <c r="AH15" s="36"/>
      <c r="AI15" s="36"/>
      <c r="AJ15" s="72">
        <f>AB15+AE15+AH15</f>
        <v>0</v>
      </c>
      <c r="AK15" s="72">
        <f>AC15+AF15+AI15</f>
        <v>0</v>
      </c>
      <c r="AL15" s="10" t="e">
        <f>AK15/AJ15*100</f>
        <v>#DIV/0!</v>
      </c>
      <c r="AM15" s="36"/>
      <c r="AN15" s="36"/>
      <c r="AO15" s="36"/>
      <c r="AP15" s="36"/>
      <c r="AQ15" s="36"/>
      <c r="AR15" s="36"/>
      <c r="AS15" s="59">
        <f>M15+Y15+AJ15+AM15+AO15+AQ15</f>
        <v>138.10000000000002</v>
      </c>
      <c r="AT15" s="59">
        <f>N15+Z15+AK15+AN15+AP15+AR15</f>
        <v>137.79999999999998</v>
      </c>
      <c r="AU15" s="10">
        <f>AT15/AS15*100</f>
        <v>99.78276611151337</v>
      </c>
      <c r="AV15" s="59">
        <f>AS15-AT15</f>
        <v>0.3000000000000398</v>
      </c>
      <c r="AW15" s="16">
        <f>C15+AS15-AT15</f>
        <v>-0.2999999999999545</v>
      </c>
      <c r="AX15" s="21">
        <f t="shared" si="2"/>
        <v>138.10000000000002</v>
      </c>
      <c r="AY15" s="21">
        <f t="shared" si="3"/>
        <v>137.79999999999998</v>
      </c>
      <c r="AZ15" s="40">
        <f t="shared" si="4"/>
        <v>-0.2999999999999545</v>
      </c>
    </row>
    <row r="16" spans="1:52" ht="34.5" customHeight="1">
      <c r="A16" s="12" t="s">
        <v>13</v>
      </c>
      <c r="B16" s="58" t="s">
        <v>54</v>
      </c>
      <c r="C16" s="73"/>
      <c r="D16" s="36"/>
      <c r="E16" s="36"/>
      <c r="F16" s="86" t="e">
        <f t="shared" si="5"/>
        <v>#DIV/0!</v>
      </c>
      <c r="G16" s="36"/>
      <c r="H16" s="36"/>
      <c r="I16" s="86" t="e">
        <f t="shared" si="0"/>
        <v>#DIV/0!</v>
      </c>
      <c r="J16" s="36"/>
      <c r="K16" s="36"/>
      <c r="L16" s="10"/>
      <c r="M16" s="72"/>
      <c r="N16" s="72"/>
      <c r="O16" s="10"/>
      <c r="P16" s="36"/>
      <c r="Q16" s="36"/>
      <c r="R16" s="10"/>
      <c r="S16" s="36"/>
      <c r="T16" s="36"/>
      <c r="U16" s="10"/>
      <c r="V16" s="36"/>
      <c r="W16" s="36"/>
      <c r="X16" s="10"/>
      <c r="Y16" s="72"/>
      <c r="Z16" s="72"/>
      <c r="AA16" s="10"/>
      <c r="AB16" s="36"/>
      <c r="AC16" s="36"/>
      <c r="AD16" s="10"/>
      <c r="AE16" s="36"/>
      <c r="AF16" s="36"/>
      <c r="AG16" s="10"/>
      <c r="AH16" s="36"/>
      <c r="AI16" s="36"/>
      <c r="AJ16" s="72"/>
      <c r="AK16" s="72"/>
      <c r="AL16" s="10"/>
      <c r="AM16" s="36"/>
      <c r="AN16" s="36"/>
      <c r="AO16" s="36"/>
      <c r="AP16" s="36"/>
      <c r="AQ16" s="36"/>
      <c r="AR16" s="36"/>
      <c r="AS16" s="59"/>
      <c r="AT16" s="59"/>
      <c r="AU16" s="10"/>
      <c r="AV16" s="59"/>
      <c r="AW16" s="16"/>
      <c r="AX16" s="21">
        <f t="shared" si="2"/>
        <v>0</v>
      </c>
      <c r="AY16" s="21">
        <f t="shared" si="3"/>
        <v>0</v>
      </c>
      <c r="AZ16" s="40">
        <f t="shared" si="4"/>
        <v>0</v>
      </c>
    </row>
    <row r="17" spans="1:52" ht="34.5" customHeight="1">
      <c r="A17" s="12" t="s">
        <v>14</v>
      </c>
      <c r="B17" s="62" t="s">
        <v>97</v>
      </c>
      <c r="C17" s="73"/>
      <c r="D17" s="36"/>
      <c r="E17" s="36"/>
      <c r="F17" s="86" t="e">
        <f t="shared" si="5"/>
        <v>#DIV/0!</v>
      </c>
      <c r="G17" s="36"/>
      <c r="H17" s="36"/>
      <c r="I17" s="86" t="e">
        <f t="shared" si="0"/>
        <v>#DIV/0!</v>
      </c>
      <c r="J17" s="36"/>
      <c r="K17" s="36"/>
      <c r="L17" s="88"/>
      <c r="M17" s="72"/>
      <c r="N17" s="72"/>
      <c r="O17" s="10"/>
      <c r="P17" s="36"/>
      <c r="Q17" s="36"/>
      <c r="R17" s="88"/>
      <c r="S17" s="36"/>
      <c r="T17" s="36"/>
      <c r="U17" s="88"/>
      <c r="V17" s="36"/>
      <c r="W17" s="36"/>
      <c r="X17" s="88"/>
      <c r="Y17" s="72"/>
      <c r="Z17" s="72"/>
      <c r="AA17" s="10"/>
      <c r="AB17" s="36"/>
      <c r="AC17" s="36"/>
      <c r="AD17" s="88"/>
      <c r="AE17" s="36"/>
      <c r="AF17" s="36"/>
      <c r="AG17" s="10"/>
      <c r="AH17" s="36"/>
      <c r="AI17" s="36"/>
      <c r="AJ17" s="72"/>
      <c r="AK17" s="72"/>
      <c r="AL17" s="10"/>
      <c r="AM17" s="36"/>
      <c r="AN17" s="36"/>
      <c r="AO17" s="36"/>
      <c r="AP17" s="36"/>
      <c r="AQ17" s="36"/>
      <c r="AR17" s="36"/>
      <c r="AS17" s="59"/>
      <c r="AT17" s="59"/>
      <c r="AU17" s="88"/>
      <c r="AV17" s="59"/>
      <c r="AW17" s="16"/>
      <c r="AX17" s="21">
        <f t="shared" si="2"/>
        <v>0</v>
      </c>
      <c r="AY17" s="21">
        <f t="shared" si="3"/>
        <v>0</v>
      </c>
      <c r="AZ17" s="40">
        <f t="shared" si="4"/>
        <v>0</v>
      </c>
    </row>
    <row r="18" spans="1:52" ht="34.5" customHeight="1">
      <c r="A18" s="12" t="s">
        <v>15</v>
      </c>
      <c r="B18" s="62" t="s">
        <v>55</v>
      </c>
      <c r="C18" s="13"/>
      <c r="D18" s="36"/>
      <c r="E18" s="36"/>
      <c r="F18" s="86" t="e">
        <f t="shared" si="5"/>
        <v>#DIV/0!</v>
      </c>
      <c r="G18" s="36"/>
      <c r="H18" s="36"/>
      <c r="I18" s="86" t="e">
        <f t="shared" si="0"/>
        <v>#DIV/0!</v>
      </c>
      <c r="J18" s="36"/>
      <c r="K18" s="36"/>
      <c r="L18" s="88"/>
      <c r="M18" s="72"/>
      <c r="N18" s="72"/>
      <c r="O18" s="10"/>
      <c r="P18" s="36"/>
      <c r="Q18" s="36"/>
      <c r="R18" s="88"/>
      <c r="S18" s="36"/>
      <c r="T18" s="36"/>
      <c r="U18" s="88"/>
      <c r="V18" s="36"/>
      <c r="W18" s="36"/>
      <c r="X18" s="88"/>
      <c r="Y18" s="72"/>
      <c r="Z18" s="72"/>
      <c r="AA18" s="10"/>
      <c r="AB18" s="36"/>
      <c r="AC18" s="36"/>
      <c r="AD18" s="88"/>
      <c r="AE18" s="36"/>
      <c r="AF18" s="36"/>
      <c r="AG18" s="10"/>
      <c r="AH18" s="36"/>
      <c r="AI18" s="36"/>
      <c r="AJ18" s="72"/>
      <c r="AK18" s="72"/>
      <c r="AL18" s="10"/>
      <c r="AM18" s="36"/>
      <c r="AN18" s="36"/>
      <c r="AO18" s="36"/>
      <c r="AP18" s="36"/>
      <c r="AQ18" s="36"/>
      <c r="AR18" s="36"/>
      <c r="AS18" s="59"/>
      <c r="AT18" s="59"/>
      <c r="AU18" s="10"/>
      <c r="AV18" s="59"/>
      <c r="AW18" s="16"/>
      <c r="AX18" s="21">
        <f t="shared" si="2"/>
        <v>0</v>
      </c>
      <c r="AY18" s="21">
        <f t="shared" si="3"/>
        <v>0</v>
      </c>
      <c r="AZ18" s="40">
        <f t="shared" si="4"/>
        <v>0</v>
      </c>
    </row>
    <row r="19" spans="1:52" ht="34.5" customHeight="1">
      <c r="A19" s="12" t="s">
        <v>16</v>
      </c>
      <c r="B19" s="58" t="s">
        <v>56</v>
      </c>
      <c r="C19" s="125"/>
      <c r="D19" s="125"/>
      <c r="E19" s="125"/>
      <c r="F19" s="86" t="e">
        <f t="shared" si="5"/>
        <v>#DIV/0!</v>
      </c>
      <c r="G19" s="125"/>
      <c r="H19" s="125"/>
      <c r="I19" s="86" t="e">
        <f t="shared" si="0"/>
        <v>#DIV/0!</v>
      </c>
      <c r="J19" s="125"/>
      <c r="K19" s="125"/>
      <c r="L19" s="86"/>
      <c r="M19" s="126"/>
      <c r="N19" s="126"/>
      <c r="O19" s="86"/>
      <c r="P19" s="125"/>
      <c r="Q19" s="125"/>
      <c r="R19" s="86"/>
      <c r="S19" s="125"/>
      <c r="T19" s="125"/>
      <c r="U19" s="86"/>
      <c r="V19" s="125"/>
      <c r="W19" s="125"/>
      <c r="X19" s="86"/>
      <c r="Y19" s="126"/>
      <c r="Z19" s="126"/>
      <c r="AA19" s="86"/>
      <c r="AB19" s="125"/>
      <c r="AC19" s="125"/>
      <c r="AD19" s="86"/>
      <c r="AE19" s="125"/>
      <c r="AF19" s="125"/>
      <c r="AG19" s="86"/>
      <c r="AH19" s="125"/>
      <c r="AI19" s="125"/>
      <c r="AJ19" s="126"/>
      <c r="AK19" s="126"/>
      <c r="AL19" s="86"/>
      <c r="AM19" s="125"/>
      <c r="AN19" s="125"/>
      <c r="AO19" s="125"/>
      <c r="AP19" s="125"/>
      <c r="AQ19" s="125"/>
      <c r="AR19" s="125"/>
      <c r="AS19" s="126"/>
      <c r="AT19" s="126"/>
      <c r="AU19" s="86"/>
      <c r="AV19" s="126"/>
      <c r="AW19" s="127"/>
      <c r="AX19" s="21">
        <f t="shared" si="2"/>
        <v>0</v>
      </c>
      <c r="AY19" s="21">
        <f t="shared" si="3"/>
        <v>0</v>
      </c>
      <c r="AZ19" s="40">
        <f t="shared" si="4"/>
        <v>0</v>
      </c>
    </row>
    <row r="20" spans="1:52" ht="34.5" customHeight="1">
      <c r="A20" s="12" t="s">
        <v>17</v>
      </c>
      <c r="B20" s="62" t="s">
        <v>57</v>
      </c>
      <c r="C20" s="97"/>
      <c r="D20" s="36"/>
      <c r="E20" s="36"/>
      <c r="F20" s="86" t="e">
        <f t="shared" si="5"/>
        <v>#DIV/0!</v>
      </c>
      <c r="G20" s="36"/>
      <c r="H20" s="36"/>
      <c r="I20" s="86" t="e">
        <f t="shared" si="0"/>
        <v>#DIV/0!</v>
      </c>
      <c r="J20" s="36"/>
      <c r="K20" s="36"/>
      <c r="L20" s="88"/>
      <c r="M20" s="72"/>
      <c r="N20" s="72"/>
      <c r="O20" s="10"/>
      <c r="P20" s="36"/>
      <c r="Q20" s="36"/>
      <c r="R20" s="88"/>
      <c r="S20" s="36"/>
      <c r="T20" s="36"/>
      <c r="U20" s="88"/>
      <c r="V20" s="36"/>
      <c r="W20" s="36"/>
      <c r="X20" s="88"/>
      <c r="Y20" s="72"/>
      <c r="Z20" s="72"/>
      <c r="AA20" s="10"/>
      <c r="AB20" s="36"/>
      <c r="AC20" s="36"/>
      <c r="AD20" s="88"/>
      <c r="AE20" s="36"/>
      <c r="AF20" s="36"/>
      <c r="AG20" s="10"/>
      <c r="AH20" s="36"/>
      <c r="AI20" s="36"/>
      <c r="AJ20" s="72"/>
      <c r="AK20" s="72"/>
      <c r="AL20" s="10"/>
      <c r="AM20" s="36"/>
      <c r="AN20" s="36"/>
      <c r="AO20" s="36"/>
      <c r="AP20" s="36"/>
      <c r="AQ20" s="36"/>
      <c r="AR20" s="36"/>
      <c r="AS20" s="59"/>
      <c r="AT20" s="59"/>
      <c r="AU20" s="88"/>
      <c r="AV20" s="59"/>
      <c r="AW20" s="16"/>
      <c r="AX20" s="21">
        <f t="shared" si="2"/>
        <v>0</v>
      </c>
      <c r="AY20" s="21">
        <f t="shared" si="3"/>
        <v>0</v>
      </c>
      <c r="AZ20" s="40">
        <f t="shared" si="4"/>
        <v>0</v>
      </c>
    </row>
    <row r="21" spans="1:52" ht="34.5" customHeight="1">
      <c r="A21" s="12" t="s">
        <v>18</v>
      </c>
      <c r="B21" s="62" t="s">
        <v>58</v>
      </c>
      <c r="C21" s="64"/>
      <c r="D21" s="36"/>
      <c r="E21" s="36"/>
      <c r="F21" s="86" t="e">
        <f t="shared" si="5"/>
        <v>#DIV/0!</v>
      </c>
      <c r="G21" s="36"/>
      <c r="H21" s="36"/>
      <c r="I21" s="86" t="e">
        <f t="shared" si="0"/>
        <v>#DIV/0!</v>
      </c>
      <c r="J21" s="36"/>
      <c r="K21" s="36"/>
      <c r="L21" s="88"/>
      <c r="M21" s="72"/>
      <c r="N21" s="72"/>
      <c r="O21" s="10"/>
      <c r="P21" s="36"/>
      <c r="Q21" s="36"/>
      <c r="R21" s="88"/>
      <c r="S21" s="36"/>
      <c r="T21" s="36"/>
      <c r="U21" s="88"/>
      <c r="V21" s="36"/>
      <c r="W21" s="36"/>
      <c r="X21" s="88"/>
      <c r="Y21" s="72"/>
      <c r="Z21" s="72"/>
      <c r="AA21" s="10"/>
      <c r="AB21" s="36"/>
      <c r="AC21" s="36"/>
      <c r="AD21" s="88"/>
      <c r="AE21" s="36"/>
      <c r="AF21" s="36"/>
      <c r="AG21" s="10"/>
      <c r="AH21" s="36"/>
      <c r="AI21" s="36"/>
      <c r="AJ21" s="72"/>
      <c r="AK21" s="72"/>
      <c r="AL21" s="10"/>
      <c r="AM21" s="36"/>
      <c r="AN21" s="36"/>
      <c r="AO21" s="36"/>
      <c r="AP21" s="36"/>
      <c r="AQ21" s="36"/>
      <c r="AR21" s="36"/>
      <c r="AS21" s="59"/>
      <c r="AT21" s="59"/>
      <c r="AU21" s="10"/>
      <c r="AV21" s="59"/>
      <c r="AW21" s="16"/>
      <c r="AX21" s="21">
        <f t="shared" si="2"/>
        <v>0</v>
      </c>
      <c r="AY21" s="21">
        <f t="shared" si="3"/>
        <v>0</v>
      </c>
      <c r="AZ21" s="40">
        <f t="shared" si="4"/>
        <v>0</v>
      </c>
    </row>
    <row r="22" spans="1:52" ht="34.5" customHeight="1">
      <c r="A22" s="12" t="s">
        <v>19</v>
      </c>
      <c r="B22" s="62" t="s">
        <v>41</v>
      </c>
      <c r="C22" s="98"/>
      <c r="D22" s="36"/>
      <c r="E22" s="125"/>
      <c r="F22" s="86" t="e">
        <f t="shared" si="5"/>
        <v>#DIV/0!</v>
      </c>
      <c r="G22" s="36"/>
      <c r="H22" s="36"/>
      <c r="I22" s="86" t="e">
        <f t="shared" si="0"/>
        <v>#DIV/0!</v>
      </c>
      <c r="J22" s="36"/>
      <c r="K22" s="36"/>
      <c r="L22" s="61"/>
      <c r="M22" s="72"/>
      <c r="N22" s="72"/>
      <c r="O22" s="10"/>
      <c r="P22" s="36"/>
      <c r="Q22" s="36"/>
      <c r="R22" s="61"/>
      <c r="S22" s="36"/>
      <c r="T22" s="36"/>
      <c r="U22" s="61"/>
      <c r="V22" s="36"/>
      <c r="W22" s="36"/>
      <c r="X22" s="61"/>
      <c r="Y22" s="72"/>
      <c r="Z22" s="72"/>
      <c r="AA22" s="10"/>
      <c r="AB22" s="36"/>
      <c r="AC22" s="36"/>
      <c r="AD22" s="61"/>
      <c r="AE22" s="36"/>
      <c r="AF22" s="36"/>
      <c r="AG22" s="105"/>
      <c r="AH22" s="36"/>
      <c r="AI22" s="36"/>
      <c r="AJ22" s="72"/>
      <c r="AK22" s="72"/>
      <c r="AL22" s="10"/>
      <c r="AM22" s="36"/>
      <c r="AN22" s="36"/>
      <c r="AO22" s="36"/>
      <c r="AP22" s="36"/>
      <c r="AQ22" s="36"/>
      <c r="AR22" s="36"/>
      <c r="AS22" s="59"/>
      <c r="AT22" s="59"/>
      <c r="AU22" s="10"/>
      <c r="AV22" s="59"/>
      <c r="AW22" s="16"/>
      <c r="AX22" s="21">
        <f t="shared" si="2"/>
        <v>0</v>
      </c>
      <c r="AY22" s="21">
        <f t="shared" si="3"/>
        <v>0</v>
      </c>
      <c r="AZ22" s="40">
        <f t="shared" si="4"/>
        <v>0</v>
      </c>
    </row>
    <row r="23" spans="1:52" ht="34.5" customHeight="1">
      <c r="A23" s="12" t="s">
        <v>20</v>
      </c>
      <c r="B23" s="62" t="s">
        <v>98</v>
      </c>
      <c r="C23" s="13"/>
      <c r="D23" s="36"/>
      <c r="E23" s="36"/>
      <c r="F23" s="86" t="e">
        <f t="shared" si="5"/>
        <v>#DIV/0!</v>
      </c>
      <c r="G23" s="36"/>
      <c r="H23" s="36"/>
      <c r="I23" s="86" t="e">
        <f t="shared" si="0"/>
        <v>#DIV/0!</v>
      </c>
      <c r="J23" s="36"/>
      <c r="K23" s="36"/>
      <c r="L23" s="10"/>
      <c r="M23" s="72"/>
      <c r="N23" s="72"/>
      <c r="O23" s="10"/>
      <c r="P23" s="36"/>
      <c r="Q23" s="36"/>
      <c r="R23" s="10"/>
      <c r="S23" s="36"/>
      <c r="T23" s="36"/>
      <c r="U23" s="10"/>
      <c r="V23" s="36"/>
      <c r="W23" s="36"/>
      <c r="X23" s="10"/>
      <c r="Y23" s="72"/>
      <c r="Z23" s="72"/>
      <c r="AA23" s="10"/>
      <c r="AB23" s="36"/>
      <c r="AC23" s="36"/>
      <c r="AD23" s="10"/>
      <c r="AE23" s="36"/>
      <c r="AF23" s="36"/>
      <c r="AG23" s="105"/>
      <c r="AH23" s="36"/>
      <c r="AI23" s="36"/>
      <c r="AJ23" s="72"/>
      <c r="AK23" s="72"/>
      <c r="AL23" s="10"/>
      <c r="AM23" s="36"/>
      <c r="AN23" s="36"/>
      <c r="AO23" s="36"/>
      <c r="AP23" s="36"/>
      <c r="AQ23" s="36"/>
      <c r="AR23" s="36"/>
      <c r="AS23" s="59"/>
      <c r="AT23" s="59"/>
      <c r="AU23" s="10"/>
      <c r="AV23" s="59"/>
      <c r="AW23" s="16"/>
      <c r="AX23" s="21">
        <f t="shared" si="2"/>
        <v>0</v>
      </c>
      <c r="AY23" s="21">
        <f t="shared" si="3"/>
        <v>0</v>
      </c>
      <c r="AZ23" s="40">
        <f t="shared" si="4"/>
        <v>0</v>
      </c>
    </row>
    <row r="24" spans="1:52" ht="34.5" customHeight="1">
      <c r="A24" s="12" t="s">
        <v>21</v>
      </c>
      <c r="B24" s="62" t="s">
        <v>40</v>
      </c>
      <c r="C24" s="13">
        <v>0</v>
      </c>
      <c r="D24" s="36">
        <v>3.2</v>
      </c>
      <c r="E24" s="36">
        <v>0</v>
      </c>
      <c r="F24" s="10">
        <f t="shared" si="5"/>
        <v>0</v>
      </c>
      <c r="G24" s="36">
        <v>23.5</v>
      </c>
      <c r="H24" s="36">
        <v>24.2</v>
      </c>
      <c r="I24" s="10">
        <f t="shared" si="0"/>
        <v>102.9787234042553</v>
      </c>
      <c r="J24" s="36">
        <v>14.6</v>
      </c>
      <c r="K24" s="36">
        <v>17.1</v>
      </c>
      <c r="L24" s="10">
        <f>K24/J24*100</f>
        <v>117.12328767123287</v>
      </c>
      <c r="M24" s="72">
        <f>D24+G24+J24</f>
        <v>41.3</v>
      </c>
      <c r="N24" s="72">
        <f>E24+H24+K24</f>
        <v>41.3</v>
      </c>
      <c r="O24" s="10">
        <f>N24/M24*100</f>
        <v>100</v>
      </c>
      <c r="P24" s="36"/>
      <c r="Q24" s="36"/>
      <c r="R24" s="10"/>
      <c r="S24" s="36"/>
      <c r="T24" s="36"/>
      <c r="U24" s="10"/>
      <c r="V24" s="36"/>
      <c r="W24" s="36"/>
      <c r="X24" s="10" t="e">
        <f>W24/V24*100</f>
        <v>#DIV/0!</v>
      </c>
      <c r="Y24" s="72">
        <f>P24+S24+V24</f>
        <v>0</v>
      </c>
      <c r="Z24" s="72">
        <f>Q24+T24+W24</f>
        <v>0</v>
      </c>
      <c r="AA24" s="10" t="e">
        <f>Z24/Y24*100</f>
        <v>#DIV/0!</v>
      </c>
      <c r="AB24" s="36"/>
      <c r="AC24" s="36"/>
      <c r="AD24" s="10"/>
      <c r="AE24" s="36"/>
      <c r="AF24" s="36"/>
      <c r="AG24" s="112"/>
      <c r="AH24" s="36"/>
      <c r="AI24" s="36"/>
      <c r="AJ24" s="72">
        <f>AB24+AE24+AH24</f>
        <v>0</v>
      </c>
      <c r="AK24" s="72">
        <f>AC24+AF24+AI24</f>
        <v>0</v>
      </c>
      <c r="AL24" s="10" t="e">
        <f>AK24/AJ24*100</f>
        <v>#DIV/0!</v>
      </c>
      <c r="AM24" s="36"/>
      <c r="AN24" s="36"/>
      <c r="AO24" s="36"/>
      <c r="AP24" s="36"/>
      <c r="AQ24" s="36"/>
      <c r="AR24" s="36"/>
      <c r="AS24" s="59">
        <f aca="true" t="shared" si="6" ref="AS24:AT28">M24+Y24+AJ24+AM24+AO24+AQ24</f>
        <v>41.3</v>
      </c>
      <c r="AT24" s="59">
        <f t="shared" si="6"/>
        <v>41.3</v>
      </c>
      <c r="AU24" s="10">
        <f>AT24/AS24*100</f>
        <v>100</v>
      </c>
      <c r="AV24" s="59">
        <f>AS24-AT24</f>
        <v>0</v>
      </c>
      <c r="AW24" s="16">
        <f>C24+AS24-AT24</f>
        <v>0</v>
      </c>
      <c r="AX24" s="21">
        <f t="shared" si="2"/>
        <v>41.3</v>
      </c>
      <c r="AY24" s="21">
        <f t="shared" si="3"/>
        <v>41.3</v>
      </c>
      <c r="AZ24" s="40">
        <f t="shared" si="4"/>
        <v>0</v>
      </c>
    </row>
    <row r="25" spans="1:52" ht="34.5" customHeight="1">
      <c r="A25" s="12" t="s">
        <v>22</v>
      </c>
      <c r="B25" s="58" t="s">
        <v>43</v>
      </c>
      <c r="C25" s="13"/>
      <c r="D25" s="36"/>
      <c r="E25" s="36"/>
      <c r="F25" s="86" t="e">
        <f t="shared" si="5"/>
        <v>#DIV/0!</v>
      </c>
      <c r="G25" s="36"/>
      <c r="H25" s="36"/>
      <c r="I25" s="86" t="e">
        <f t="shared" si="0"/>
        <v>#DIV/0!</v>
      </c>
      <c r="J25" s="36"/>
      <c r="K25" s="36"/>
      <c r="L25" s="10"/>
      <c r="M25" s="72">
        <f aca="true" t="shared" si="7" ref="M25:M30">D25+G25+J25</f>
        <v>0</v>
      </c>
      <c r="N25" s="72">
        <f aca="true" t="shared" si="8" ref="N25:N30">E25+H25+K25</f>
        <v>0</v>
      </c>
      <c r="O25" s="10" t="e">
        <f aca="true" t="shared" si="9" ref="O25:O30">N25/M25*100</f>
        <v>#DIV/0!</v>
      </c>
      <c r="P25" s="36"/>
      <c r="Q25" s="36"/>
      <c r="R25" s="10"/>
      <c r="S25" s="36"/>
      <c r="T25" s="36"/>
      <c r="U25" s="10"/>
      <c r="V25" s="36"/>
      <c r="W25" s="36"/>
      <c r="X25" s="10"/>
      <c r="Y25" s="72"/>
      <c r="Z25" s="72"/>
      <c r="AA25" s="10"/>
      <c r="AB25" s="36"/>
      <c r="AC25" s="36"/>
      <c r="AD25" s="10"/>
      <c r="AE25" s="36"/>
      <c r="AF25" s="36"/>
      <c r="AG25" s="86" t="e">
        <f>AF25/AE25*100</f>
        <v>#DIV/0!</v>
      </c>
      <c r="AH25" s="36"/>
      <c r="AI25" s="36"/>
      <c r="AJ25" s="72"/>
      <c r="AK25" s="72"/>
      <c r="AL25" s="10"/>
      <c r="AM25" s="36"/>
      <c r="AN25" s="36"/>
      <c r="AO25" s="36"/>
      <c r="AP25" s="36"/>
      <c r="AQ25" s="36"/>
      <c r="AR25" s="36"/>
      <c r="AS25" s="126">
        <f t="shared" si="6"/>
        <v>0</v>
      </c>
      <c r="AT25" s="126">
        <f t="shared" si="6"/>
        <v>0</v>
      </c>
      <c r="AU25" s="86" t="e">
        <f>AT25/AS25*100</f>
        <v>#DIV/0!</v>
      </c>
      <c r="AV25" s="126"/>
      <c r="AW25" s="127">
        <f>C25+AS25-AT25</f>
        <v>0</v>
      </c>
      <c r="AX25" s="21">
        <f t="shared" si="2"/>
        <v>0</v>
      </c>
      <c r="AY25" s="21">
        <f t="shared" si="3"/>
        <v>0</v>
      </c>
      <c r="AZ25" s="40">
        <f t="shared" si="4"/>
        <v>0</v>
      </c>
    </row>
    <row r="26" spans="1:52" ht="34.5" customHeight="1">
      <c r="A26" s="12" t="s">
        <v>23</v>
      </c>
      <c r="B26" s="62" t="s">
        <v>99</v>
      </c>
      <c r="C26" s="13"/>
      <c r="D26" s="36"/>
      <c r="E26" s="36"/>
      <c r="F26" s="86" t="e">
        <f t="shared" si="5"/>
        <v>#DIV/0!</v>
      </c>
      <c r="G26" s="125"/>
      <c r="H26" s="125"/>
      <c r="I26" s="86" t="e">
        <f t="shared" si="0"/>
        <v>#DIV/0!</v>
      </c>
      <c r="J26" s="125"/>
      <c r="K26" s="125"/>
      <c r="L26" s="86"/>
      <c r="M26" s="126">
        <f t="shared" si="7"/>
        <v>0</v>
      </c>
      <c r="N26" s="126">
        <f t="shared" si="8"/>
        <v>0</v>
      </c>
      <c r="O26" s="86" t="e">
        <f t="shared" si="9"/>
        <v>#DIV/0!</v>
      </c>
      <c r="P26" s="125"/>
      <c r="Q26" s="125"/>
      <c r="R26" s="86"/>
      <c r="S26" s="125"/>
      <c r="T26" s="125"/>
      <c r="U26" s="86"/>
      <c r="V26" s="125"/>
      <c r="W26" s="125"/>
      <c r="X26" s="86"/>
      <c r="Y26" s="126"/>
      <c r="Z26" s="126"/>
      <c r="AA26" s="86"/>
      <c r="AB26" s="125"/>
      <c r="AC26" s="125"/>
      <c r="AD26" s="86"/>
      <c r="AE26" s="125"/>
      <c r="AF26" s="125"/>
      <c r="AG26" s="86"/>
      <c r="AH26" s="125"/>
      <c r="AI26" s="125"/>
      <c r="AJ26" s="126"/>
      <c r="AK26" s="126"/>
      <c r="AL26" s="86"/>
      <c r="AM26" s="125"/>
      <c r="AN26" s="125"/>
      <c r="AO26" s="125"/>
      <c r="AP26" s="125"/>
      <c r="AQ26" s="125"/>
      <c r="AR26" s="125"/>
      <c r="AS26" s="126">
        <f t="shared" si="6"/>
        <v>0</v>
      </c>
      <c r="AT26" s="126">
        <f t="shared" si="6"/>
        <v>0</v>
      </c>
      <c r="AU26" s="86" t="e">
        <f>AT26/AS26*100</f>
        <v>#DIV/0!</v>
      </c>
      <c r="AV26" s="126"/>
      <c r="AW26" s="127">
        <f>C26+AS26-AT26</f>
        <v>0</v>
      </c>
      <c r="AX26" s="21">
        <f t="shared" si="2"/>
        <v>0</v>
      </c>
      <c r="AY26" s="21">
        <f t="shared" si="3"/>
        <v>0</v>
      </c>
      <c r="AZ26" s="40">
        <f t="shared" si="4"/>
        <v>0</v>
      </c>
    </row>
    <row r="27" spans="1:52" ht="34.5" customHeight="1">
      <c r="A27" s="12" t="s">
        <v>24</v>
      </c>
      <c r="B27" s="62" t="s">
        <v>59</v>
      </c>
      <c r="C27" s="13"/>
      <c r="D27" s="36"/>
      <c r="E27" s="36"/>
      <c r="F27" s="86" t="e">
        <f t="shared" si="5"/>
        <v>#DIV/0!</v>
      </c>
      <c r="G27" s="125"/>
      <c r="H27" s="125"/>
      <c r="I27" s="86" t="e">
        <f t="shared" si="0"/>
        <v>#DIV/0!</v>
      </c>
      <c r="J27" s="125"/>
      <c r="K27" s="125"/>
      <c r="L27" s="86"/>
      <c r="M27" s="126">
        <f t="shared" si="7"/>
        <v>0</v>
      </c>
      <c r="N27" s="126">
        <f t="shared" si="8"/>
        <v>0</v>
      </c>
      <c r="O27" s="86" t="e">
        <f t="shared" si="9"/>
        <v>#DIV/0!</v>
      </c>
      <c r="P27" s="125"/>
      <c r="Q27" s="125"/>
      <c r="R27" s="86"/>
      <c r="S27" s="125"/>
      <c r="T27" s="125"/>
      <c r="U27" s="86"/>
      <c r="V27" s="125"/>
      <c r="W27" s="125"/>
      <c r="X27" s="86"/>
      <c r="Y27" s="126"/>
      <c r="Z27" s="126"/>
      <c r="AA27" s="86"/>
      <c r="AB27" s="125"/>
      <c r="AC27" s="125"/>
      <c r="AD27" s="86"/>
      <c r="AE27" s="125"/>
      <c r="AF27" s="125"/>
      <c r="AG27" s="86"/>
      <c r="AH27" s="125"/>
      <c r="AI27" s="125"/>
      <c r="AJ27" s="126"/>
      <c r="AK27" s="126"/>
      <c r="AL27" s="86"/>
      <c r="AM27" s="125"/>
      <c r="AN27" s="125"/>
      <c r="AO27" s="125"/>
      <c r="AP27" s="125"/>
      <c r="AQ27" s="125"/>
      <c r="AR27" s="125"/>
      <c r="AS27" s="126">
        <f t="shared" si="6"/>
        <v>0</v>
      </c>
      <c r="AT27" s="126">
        <f t="shared" si="6"/>
        <v>0</v>
      </c>
      <c r="AU27" s="86" t="e">
        <f>AT27/AS27*100</f>
        <v>#DIV/0!</v>
      </c>
      <c r="AV27" s="126"/>
      <c r="AW27" s="127">
        <f>C27+AS27-AT27</f>
        <v>0</v>
      </c>
      <c r="AX27" s="21">
        <f t="shared" si="2"/>
        <v>0</v>
      </c>
      <c r="AY27" s="21">
        <f t="shared" si="3"/>
        <v>0</v>
      </c>
      <c r="AZ27" s="40">
        <f t="shared" si="4"/>
        <v>0</v>
      </c>
    </row>
    <row r="28" spans="1:52" ht="34.5" customHeight="1">
      <c r="A28" s="12" t="s">
        <v>25</v>
      </c>
      <c r="B28" s="115" t="s">
        <v>100</v>
      </c>
      <c r="C28" s="137"/>
      <c r="D28" s="138"/>
      <c r="E28" s="138"/>
      <c r="F28" s="86" t="e">
        <f t="shared" si="5"/>
        <v>#DIV/0!</v>
      </c>
      <c r="G28" s="138">
        <v>29</v>
      </c>
      <c r="H28" s="138">
        <v>0</v>
      </c>
      <c r="I28" s="10">
        <f t="shared" si="0"/>
        <v>0</v>
      </c>
      <c r="J28" s="138">
        <v>12.8</v>
      </c>
      <c r="K28" s="138">
        <v>41.8</v>
      </c>
      <c r="L28" s="108">
        <f>K28/J28*100</f>
        <v>326.56249999999994</v>
      </c>
      <c r="M28" s="139">
        <f t="shared" si="7"/>
        <v>41.8</v>
      </c>
      <c r="N28" s="139">
        <f t="shared" si="8"/>
        <v>41.8</v>
      </c>
      <c r="O28" s="108">
        <f t="shared" si="9"/>
        <v>100</v>
      </c>
      <c r="P28" s="138"/>
      <c r="Q28" s="138"/>
      <c r="R28" s="108"/>
      <c r="S28" s="138"/>
      <c r="T28" s="138"/>
      <c r="U28" s="108"/>
      <c r="V28" s="138"/>
      <c r="W28" s="138"/>
      <c r="X28" s="108" t="e">
        <f>W28/V28*100</f>
        <v>#DIV/0!</v>
      </c>
      <c r="Y28" s="139">
        <f>P28+S28+V28</f>
        <v>0</v>
      </c>
      <c r="Z28" s="139">
        <f>Q28+T28+W28</f>
        <v>0</v>
      </c>
      <c r="AA28" s="108" t="e">
        <f>Z28/Y28*100</f>
        <v>#DIV/0!</v>
      </c>
      <c r="AB28" s="138"/>
      <c r="AC28" s="138"/>
      <c r="AD28" s="108"/>
      <c r="AE28" s="138"/>
      <c r="AF28" s="137"/>
      <c r="AG28" s="140"/>
      <c r="AH28" s="138"/>
      <c r="AI28" s="137"/>
      <c r="AJ28" s="139">
        <f>AB28+AE28+AH28</f>
        <v>0</v>
      </c>
      <c r="AK28" s="139">
        <f>AC28+AF28+AI28</f>
        <v>0</v>
      </c>
      <c r="AL28" s="108" t="e">
        <f>AK28/AJ28*100</f>
        <v>#DIV/0!</v>
      </c>
      <c r="AM28" s="138"/>
      <c r="AN28" s="137"/>
      <c r="AO28" s="138"/>
      <c r="AP28" s="137"/>
      <c r="AQ28" s="138"/>
      <c r="AR28" s="137"/>
      <c r="AS28" s="139">
        <f t="shared" si="6"/>
        <v>41.8</v>
      </c>
      <c r="AT28" s="139">
        <f t="shared" si="6"/>
        <v>41.8</v>
      </c>
      <c r="AU28" s="108">
        <f>AT28/AS28*100</f>
        <v>100</v>
      </c>
      <c r="AV28" s="139">
        <f>AS28-AT28</f>
        <v>0</v>
      </c>
      <c r="AW28" s="141">
        <f>C28+AS28-AT28</f>
        <v>0</v>
      </c>
      <c r="AX28" s="21">
        <f t="shared" si="2"/>
        <v>41.8</v>
      </c>
      <c r="AY28" s="21">
        <f t="shared" si="3"/>
        <v>41.8</v>
      </c>
      <c r="AZ28" s="40">
        <f t="shared" si="4"/>
        <v>0</v>
      </c>
    </row>
    <row r="29" spans="1:52" ht="34.5" customHeight="1">
      <c r="A29" s="12" t="s">
        <v>26</v>
      </c>
      <c r="B29" s="58" t="s">
        <v>2</v>
      </c>
      <c r="C29" s="54"/>
      <c r="D29" s="63"/>
      <c r="E29" s="63"/>
      <c r="F29" s="86" t="e">
        <f t="shared" si="5"/>
        <v>#DIV/0!</v>
      </c>
      <c r="G29" s="63"/>
      <c r="H29" s="63"/>
      <c r="I29" s="86" t="e">
        <f t="shared" si="0"/>
        <v>#DIV/0!</v>
      </c>
      <c r="J29" s="63"/>
      <c r="K29" s="63"/>
      <c r="L29" s="63"/>
      <c r="M29" s="72">
        <f t="shared" si="7"/>
        <v>0</v>
      </c>
      <c r="N29" s="72">
        <f t="shared" si="8"/>
        <v>0</v>
      </c>
      <c r="O29" s="10" t="e">
        <f t="shared" si="9"/>
        <v>#DIV/0!</v>
      </c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  <c r="AX29" s="21">
        <f t="shared" si="2"/>
        <v>0</v>
      </c>
      <c r="AY29" s="21">
        <f t="shared" si="3"/>
        <v>0</v>
      </c>
      <c r="AZ29" s="40">
        <f t="shared" si="4"/>
        <v>0</v>
      </c>
    </row>
    <row r="30" spans="1:52" ht="34.5" customHeight="1">
      <c r="A30" s="12" t="s">
        <v>27</v>
      </c>
      <c r="B30" s="62" t="s">
        <v>39</v>
      </c>
      <c r="C30" s="99"/>
      <c r="D30" s="36"/>
      <c r="E30" s="36"/>
      <c r="F30" s="86" t="e">
        <f t="shared" si="5"/>
        <v>#DIV/0!</v>
      </c>
      <c r="G30" s="36"/>
      <c r="H30" s="36"/>
      <c r="I30" s="86" t="e">
        <f t="shared" si="0"/>
        <v>#DIV/0!</v>
      </c>
      <c r="J30" s="36"/>
      <c r="K30" s="36"/>
      <c r="L30" s="61"/>
      <c r="M30" s="72">
        <f t="shared" si="7"/>
        <v>0</v>
      </c>
      <c r="N30" s="72">
        <f t="shared" si="8"/>
        <v>0</v>
      </c>
      <c r="O30" s="10" t="e">
        <f t="shared" si="9"/>
        <v>#DIV/0!</v>
      </c>
      <c r="P30" s="36"/>
      <c r="Q30" s="36"/>
      <c r="R30" s="61"/>
      <c r="S30" s="36"/>
      <c r="T30" s="36"/>
      <c r="U30" s="61"/>
      <c r="V30" s="36"/>
      <c r="W30" s="36"/>
      <c r="X30" s="61"/>
      <c r="Y30" s="72"/>
      <c r="Z30" s="72"/>
      <c r="AA30" s="10"/>
      <c r="AB30" s="36"/>
      <c r="AC30" s="36"/>
      <c r="AD30" s="61"/>
      <c r="AE30" s="36"/>
      <c r="AF30" s="36"/>
      <c r="AG30" s="104"/>
      <c r="AH30" s="36"/>
      <c r="AI30" s="36"/>
      <c r="AJ30" s="72"/>
      <c r="AK30" s="72"/>
      <c r="AL30" s="10"/>
      <c r="AM30" s="36"/>
      <c r="AN30" s="36"/>
      <c r="AO30" s="36"/>
      <c r="AP30" s="36"/>
      <c r="AQ30" s="36"/>
      <c r="AR30" s="36"/>
      <c r="AS30" s="59"/>
      <c r="AT30" s="59"/>
      <c r="AU30" s="10"/>
      <c r="AV30" s="59"/>
      <c r="AW30" s="16"/>
      <c r="AX30" s="21">
        <f t="shared" si="2"/>
        <v>0</v>
      </c>
      <c r="AY30" s="21">
        <f t="shared" si="3"/>
        <v>0</v>
      </c>
      <c r="AZ30" s="40">
        <f t="shared" si="4"/>
        <v>0</v>
      </c>
    </row>
    <row r="31" spans="1:52" ht="34.5" customHeight="1">
      <c r="A31" s="12" t="s">
        <v>28</v>
      </c>
      <c r="B31" s="62" t="s">
        <v>3</v>
      </c>
      <c r="C31" s="13">
        <v>0</v>
      </c>
      <c r="D31" s="36">
        <v>1.3</v>
      </c>
      <c r="E31" s="36">
        <v>0</v>
      </c>
      <c r="F31" s="10">
        <f t="shared" si="5"/>
        <v>0</v>
      </c>
      <c r="G31" s="36">
        <v>10.9</v>
      </c>
      <c r="H31" s="36">
        <v>4.4</v>
      </c>
      <c r="I31" s="10">
        <f>H31/G31*100</f>
        <v>40.36697247706422</v>
      </c>
      <c r="J31" s="36">
        <v>3.8</v>
      </c>
      <c r="K31" s="36">
        <v>4.8</v>
      </c>
      <c r="L31" s="10">
        <f>K31/J31*100</f>
        <v>126.3157894736842</v>
      </c>
      <c r="M31" s="72">
        <f aca="true" t="shared" si="10" ref="M31:N36">D31+G31+J31</f>
        <v>16</v>
      </c>
      <c r="N31" s="72">
        <f t="shared" si="10"/>
        <v>9.2</v>
      </c>
      <c r="O31" s="10">
        <f>N31/M31*100</f>
        <v>57.49999999999999</v>
      </c>
      <c r="P31" s="36"/>
      <c r="Q31" s="36"/>
      <c r="R31" s="10"/>
      <c r="S31" s="36"/>
      <c r="T31" s="36"/>
      <c r="U31" s="10"/>
      <c r="V31" s="36"/>
      <c r="W31" s="36"/>
      <c r="X31" s="10" t="e">
        <f>W31/V31*100</f>
        <v>#DIV/0!</v>
      </c>
      <c r="Y31" s="72">
        <f aca="true" t="shared" si="11" ref="Y31:Z36">P31+S31+V31</f>
        <v>0</v>
      </c>
      <c r="Z31" s="72">
        <f t="shared" si="11"/>
        <v>0</v>
      </c>
      <c r="AA31" s="10" t="e">
        <f>Z31/Y31*100</f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aca="true" t="shared" si="12" ref="AJ31:AK35">AB31+AE31+AH31</f>
        <v>0</v>
      </c>
      <c r="AK31" s="72">
        <f t="shared" si="12"/>
        <v>0</v>
      </c>
      <c r="AL31" s="10" t="e">
        <f>AK31/AJ31*100</f>
        <v>#DIV/0!</v>
      </c>
      <c r="AM31" s="36"/>
      <c r="AN31" s="36"/>
      <c r="AO31" s="36"/>
      <c r="AP31" s="36"/>
      <c r="AQ31" s="36"/>
      <c r="AR31" s="36"/>
      <c r="AS31" s="59">
        <f aca="true" t="shared" si="13" ref="AS31:AT36">M31+Y31+AJ31+AM31+AO31+AQ31</f>
        <v>16</v>
      </c>
      <c r="AT31" s="59">
        <f t="shared" si="13"/>
        <v>9.2</v>
      </c>
      <c r="AU31" s="10">
        <f>AT31/AS31*100</f>
        <v>57.49999999999999</v>
      </c>
      <c r="AV31" s="59">
        <f>AS31-AT31</f>
        <v>6.800000000000001</v>
      </c>
      <c r="AW31" s="16">
        <f>C31+AS31-AT31</f>
        <v>6.800000000000001</v>
      </c>
      <c r="AX31" s="21">
        <f t="shared" si="2"/>
        <v>16</v>
      </c>
      <c r="AY31" s="21">
        <f t="shared" si="3"/>
        <v>9.2</v>
      </c>
      <c r="AZ31" s="40">
        <f t="shared" si="4"/>
        <v>6.800000000000001</v>
      </c>
    </row>
    <row r="32" spans="1:52" ht="34.5" customHeight="1">
      <c r="A32" s="12" t="s">
        <v>29</v>
      </c>
      <c r="B32" s="62" t="s">
        <v>101</v>
      </c>
      <c r="C32" s="123">
        <f>SUM(C33:C34)</f>
        <v>-1.3</v>
      </c>
      <c r="D32" s="123">
        <f>SUM(D33:D34)</f>
        <v>2.6</v>
      </c>
      <c r="E32" s="123">
        <f>SUM(E33:E34)</f>
        <v>0</v>
      </c>
      <c r="F32" s="10">
        <f t="shared" si="5"/>
        <v>0</v>
      </c>
      <c r="G32" s="123">
        <f>SUM(G33:G34)</f>
        <v>3.3</v>
      </c>
      <c r="H32" s="123">
        <f>SUM(H33:H34)</f>
        <v>2.6</v>
      </c>
      <c r="I32" s="10">
        <f>H32/G32*100</f>
        <v>78.7878787878788</v>
      </c>
      <c r="J32" s="123">
        <f>SUM(J33:J34)</f>
        <v>3.3</v>
      </c>
      <c r="K32" s="123">
        <f>SUM(K33:K34)</f>
        <v>24.5</v>
      </c>
      <c r="L32" s="10">
        <f>K32/J32*100</f>
        <v>742.4242424242425</v>
      </c>
      <c r="M32" s="10"/>
      <c r="N32" s="10"/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123">
        <f>SUM(AS33:AS34)</f>
        <v>9.2</v>
      </c>
      <c r="AT32" s="123">
        <f>SUM(AT33:AT34)</f>
        <v>27.1</v>
      </c>
      <c r="AU32" s="10">
        <f>AT32/AS32*100</f>
        <v>294.5652173913044</v>
      </c>
      <c r="AV32" s="61"/>
      <c r="AW32" s="16">
        <f>SUM(AW33:AW34)</f>
        <v>-19.200000000000003</v>
      </c>
      <c r="AX32" s="21">
        <f t="shared" si="2"/>
        <v>9.2</v>
      </c>
      <c r="AY32" s="21">
        <f t="shared" si="3"/>
        <v>27.1</v>
      </c>
      <c r="AZ32" s="40">
        <f t="shared" si="4"/>
        <v>-19.200000000000003</v>
      </c>
    </row>
    <row r="33" spans="1:52" ht="34.5" customHeight="1">
      <c r="A33" s="12"/>
      <c r="B33" s="62" t="s">
        <v>102</v>
      </c>
      <c r="C33" s="64">
        <v>-1.3</v>
      </c>
      <c r="D33" s="36">
        <v>2.6</v>
      </c>
      <c r="E33" s="36">
        <v>0</v>
      </c>
      <c r="F33" s="10">
        <f>E33/D33*100</f>
        <v>0</v>
      </c>
      <c r="G33" s="36">
        <v>3.3</v>
      </c>
      <c r="H33" s="36">
        <v>2.6</v>
      </c>
      <c r="I33" s="10">
        <f>H33/G33*100</f>
        <v>78.7878787878788</v>
      </c>
      <c r="J33" s="36">
        <v>3.3</v>
      </c>
      <c r="K33" s="36">
        <v>24.5</v>
      </c>
      <c r="L33" s="10">
        <f>K33/J33*100</f>
        <v>742.4242424242425</v>
      </c>
      <c r="M33" s="72">
        <f t="shared" si="10"/>
        <v>9.2</v>
      </c>
      <c r="N33" s="72">
        <f t="shared" si="10"/>
        <v>27.1</v>
      </c>
      <c r="O33" s="10">
        <f>N33/M33*100</f>
        <v>294.5652173913044</v>
      </c>
      <c r="P33" s="36"/>
      <c r="Q33" s="36"/>
      <c r="R33" s="10"/>
      <c r="S33" s="36"/>
      <c r="T33" s="36"/>
      <c r="U33" s="10"/>
      <c r="V33" s="36"/>
      <c r="W33" s="36"/>
      <c r="X33" s="10" t="e">
        <f>W33/V33*100</f>
        <v>#DIV/0!</v>
      </c>
      <c r="Y33" s="72">
        <f t="shared" si="11"/>
        <v>0</v>
      </c>
      <c r="Z33" s="72">
        <f t="shared" si="11"/>
        <v>0</v>
      </c>
      <c r="AA33" s="10" t="e">
        <f>Z33/Y33*100</f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2"/>
        <v>0</v>
      </c>
      <c r="AK33" s="72">
        <f t="shared" si="12"/>
        <v>0</v>
      </c>
      <c r="AL33" s="10" t="e">
        <f>AK33/AJ33*100</f>
        <v>#DIV/0!</v>
      </c>
      <c r="AM33" s="36"/>
      <c r="AN33" s="36"/>
      <c r="AO33" s="36"/>
      <c r="AP33" s="36"/>
      <c r="AQ33" s="36"/>
      <c r="AR33" s="36"/>
      <c r="AS33" s="59">
        <f t="shared" si="13"/>
        <v>9.2</v>
      </c>
      <c r="AT33" s="59">
        <f t="shared" si="13"/>
        <v>27.1</v>
      </c>
      <c r="AU33" s="10">
        <f>AT33/AS33*100</f>
        <v>294.5652173913044</v>
      </c>
      <c r="AV33" s="59">
        <f>AS33-AT33</f>
        <v>-17.900000000000002</v>
      </c>
      <c r="AW33" s="16">
        <f>C33+AS33-AT33</f>
        <v>-19.200000000000003</v>
      </c>
      <c r="AX33" s="21">
        <f t="shared" si="2"/>
        <v>9.2</v>
      </c>
      <c r="AY33" s="21">
        <f t="shared" si="3"/>
        <v>27.1</v>
      </c>
      <c r="AZ33" s="40">
        <f t="shared" si="4"/>
        <v>-19.200000000000003</v>
      </c>
    </row>
    <row r="34" spans="1:52" ht="34.5" customHeight="1">
      <c r="A34" s="12"/>
      <c r="B34" s="62" t="s">
        <v>103</v>
      </c>
      <c r="C34" s="124">
        <v>0</v>
      </c>
      <c r="D34" s="125">
        <v>0</v>
      </c>
      <c r="E34" s="125">
        <v>0</v>
      </c>
      <c r="F34" s="86" t="e">
        <f>E34/D34*100</f>
        <v>#DIV/0!</v>
      </c>
      <c r="G34" s="125"/>
      <c r="H34" s="125"/>
      <c r="I34" s="86"/>
      <c r="J34" s="125"/>
      <c r="K34" s="125"/>
      <c r="L34" s="86"/>
      <c r="M34" s="126"/>
      <c r="N34" s="126"/>
      <c r="O34" s="86"/>
      <c r="P34" s="125"/>
      <c r="Q34" s="125"/>
      <c r="R34" s="86"/>
      <c r="S34" s="125"/>
      <c r="T34" s="125"/>
      <c r="U34" s="86"/>
      <c r="V34" s="125"/>
      <c r="W34" s="125"/>
      <c r="X34" s="86"/>
      <c r="Y34" s="126"/>
      <c r="Z34" s="126"/>
      <c r="AA34" s="86"/>
      <c r="AB34" s="125"/>
      <c r="AC34" s="125"/>
      <c r="AD34" s="86"/>
      <c r="AE34" s="125"/>
      <c r="AF34" s="125"/>
      <c r="AG34" s="86"/>
      <c r="AH34" s="125"/>
      <c r="AI34" s="125"/>
      <c r="AJ34" s="126"/>
      <c r="AK34" s="126"/>
      <c r="AL34" s="86"/>
      <c r="AM34" s="125"/>
      <c r="AN34" s="125"/>
      <c r="AO34" s="125"/>
      <c r="AP34" s="125"/>
      <c r="AQ34" s="125"/>
      <c r="AR34" s="125"/>
      <c r="AS34" s="126"/>
      <c r="AT34" s="126"/>
      <c r="AU34" s="86"/>
      <c r="AV34" s="126"/>
      <c r="AW34" s="127">
        <v>0</v>
      </c>
      <c r="AX34" s="21">
        <f t="shared" si="2"/>
        <v>0</v>
      </c>
      <c r="AY34" s="21">
        <f t="shared" si="3"/>
        <v>0</v>
      </c>
      <c r="AZ34" s="40">
        <f t="shared" si="4"/>
        <v>0</v>
      </c>
    </row>
    <row r="35" spans="1:52" ht="34.5" customHeight="1">
      <c r="A35" s="12" t="s">
        <v>30</v>
      </c>
      <c r="B35" s="62" t="s">
        <v>60</v>
      </c>
      <c r="C35" s="64">
        <v>0.1</v>
      </c>
      <c r="D35" s="35">
        <v>35.8</v>
      </c>
      <c r="E35" s="35">
        <v>35.7</v>
      </c>
      <c r="F35" s="10">
        <f>E35/D35*100</f>
        <v>99.72067039106147</v>
      </c>
      <c r="G35" s="36">
        <v>45.3</v>
      </c>
      <c r="H35" s="36">
        <v>45.3</v>
      </c>
      <c r="I35" s="103">
        <f>H35/G35*100</f>
        <v>100</v>
      </c>
      <c r="J35" s="36">
        <v>35.1</v>
      </c>
      <c r="K35" s="36">
        <v>35.1</v>
      </c>
      <c r="L35" s="10">
        <f>K35/J35*100</f>
        <v>100</v>
      </c>
      <c r="M35" s="72">
        <f t="shared" si="10"/>
        <v>116.19999999999999</v>
      </c>
      <c r="N35" s="72">
        <f t="shared" si="10"/>
        <v>116.1</v>
      </c>
      <c r="O35" s="10">
        <f>N35/M35*100</f>
        <v>99.91394148020655</v>
      </c>
      <c r="P35" s="36"/>
      <c r="Q35" s="36"/>
      <c r="R35" s="10"/>
      <c r="S35" s="36"/>
      <c r="T35" s="36"/>
      <c r="U35" s="10"/>
      <c r="V35" s="36"/>
      <c r="W35" s="36"/>
      <c r="X35" s="10" t="e">
        <f>W35/V35*100</f>
        <v>#DIV/0!</v>
      </c>
      <c r="Y35" s="72">
        <f t="shared" si="11"/>
        <v>0</v>
      </c>
      <c r="Z35" s="72">
        <f t="shared" si="11"/>
        <v>0</v>
      </c>
      <c r="AA35" s="10" t="e">
        <f>Z35/Y35*100</f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2"/>
        <v>0</v>
      </c>
      <c r="AK35" s="72">
        <f t="shared" si="12"/>
        <v>0</v>
      </c>
      <c r="AL35" s="10" t="e">
        <f>AK35/AJ35*100</f>
        <v>#DIV/0!</v>
      </c>
      <c r="AM35" s="36"/>
      <c r="AN35" s="36"/>
      <c r="AO35" s="36"/>
      <c r="AP35" s="36"/>
      <c r="AQ35" s="36"/>
      <c r="AR35" s="36"/>
      <c r="AS35" s="59">
        <f t="shared" si="13"/>
        <v>116.19999999999999</v>
      </c>
      <c r="AT35" s="59">
        <f t="shared" si="13"/>
        <v>116.1</v>
      </c>
      <c r="AU35" s="10">
        <f>AT35/AS35*100</f>
        <v>99.91394148020655</v>
      </c>
      <c r="AV35" s="59">
        <f>AS35-AT35</f>
        <v>0.09999999999999432</v>
      </c>
      <c r="AW35" s="16">
        <f>C35+AS35-AT35</f>
        <v>0.19999999999998863</v>
      </c>
      <c r="AX35" s="21">
        <f t="shared" si="2"/>
        <v>116.19999999999999</v>
      </c>
      <c r="AY35" s="21">
        <f t="shared" si="3"/>
        <v>116.1</v>
      </c>
      <c r="AZ35" s="40">
        <f t="shared" si="4"/>
        <v>0.19999999999998863</v>
      </c>
    </row>
    <row r="36" spans="1:52" ht="34.5" customHeight="1">
      <c r="A36" s="12" t="s">
        <v>31</v>
      </c>
      <c r="B36" s="116" t="s">
        <v>61</v>
      </c>
      <c r="C36" s="100">
        <v>0</v>
      </c>
      <c r="D36" s="36">
        <v>18.2</v>
      </c>
      <c r="E36" s="36">
        <v>19.4</v>
      </c>
      <c r="F36" s="10">
        <f>E36/D36*100</f>
        <v>106.5934065934066</v>
      </c>
      <c r="G36" s="36">
        <v>18</v>
      </c>
      <c r="H36" s="36">
        <v>17.4</v>
      </c>
      <c r="I36" s="103">
        <f>H36/G36*100</f>
        <v>96.66666666666666</v>
      </c>
      <c r="J36" s="36">
        <v>18.9</v>
      </c>
      <c r="K36" s="36">
        <v>19.4</v>
      </c>
      <c r="L36" s="61">
        <f>K36/J36*100</f>
        <v>102.64550264550265</v>
      </c>
      <c r="M36" s="72">
        <f t="shared" si="10"/>
        <v>55.1</v>
      </c>
      <c r="N36" s="72">
        <f t="shared" si="10"/>
        <v>56.199999999999996</v>
      </c>
      <c r="O36" s="10">
        <f>N36/M36*100</f>
        <v>101.99637023593466</v>
      </c>
      <c r="P36" s="36"/>
      <c r="Q36" s="36"/>
      <c r="R36" s="103"/>
      <c r="S36" s="36"/>
      <c r="T36" s="36"/>
      <c r="U36" s="103"/>
      <c r="V36" s="36"/>
      <c r="W36" s="36"/>
      <c r="X36" s="103" t="e">
        <f>W36/V36*100</f>
        <v>#DIV/0!</v>
      </c>
      <c r="Y36" s="72">
        <f t="shared" si="11"/>
        <v>0</v>
      </c>
      <c r="Z36" s="72">
        <f t="shared" si="11"/>
        <v>0</v>
      </c>
      <c r="AA36" s="10" t="e">
        <f>Z36/Y36*100</f>
        <v>#DIV/0!</v>
      </c>
      <c r="AB36" s="36"/>
      <c r="AC36" s="36"/>
      <c r="AD36" s="103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>AK36/AJ36*100</f>
        <v>#DIV/0!</v>
      </c>
      <c r="AM36" s="36"/>
      <c r="AN36" s="36"/>
      <c r="AO36" s="36"/>
      <c r="AP36" s="36"/>
      <c r="AQ36" s="36"/>
      <c r="AR36" s="36"/>
      <c r="AS36" s="59">
        <f t="shared" si="13"/>
        <v>55.1</v>
      </c>
      <c r="AT36" s="59">
        <f t="shared" si="13"/>
        <v>56.199999999999996</v>
      </c>
      <c r="AU36" s="10">
        <f>AT36/AS36*100</f>
        <v>101.99637023593466</v>
      </c>
      <c r="AV36" s="59">
        <f>AS36-AT36</f>
        <v>-1.0999999999999943</v>
      </c>
      <c r="AW36" s="16">
        <f>C36+AS36-AT36</f>
        <v>-1.0999999999999943</v>
      </c>
      <c r="AX36" s="21">
        <f t="shared" si="2"/>
        <v>55.1</v>
      </c>
      <c r="AY36" s="21">
        <f t="shared" si="3"/>
        <v>56.199999999999996</v>
      </c>
      <c r="AZ36" s="40">
        <f t="shared" si="4"/>
        <v>-1.0999999999999943</v>
      </c>
    </row>
    <row r="37" spans="1:52" ht="34.5" customHeight="1">
      <c r="A37" s="12" t="s">
        <v>32</v>
      </c>
      <c r="B37" s="117" t="s">
        <v>62</v>
      </c>
      <c r="C37" s="13"/>
      <c r="D37" s="36"/>
      <c r="E37" s="36"/>
      <c r="F37" s="10"/>
      <c r="G37" s="36"/>
      <c r="H37" s="36"/>
      <c r="I37" s="10"/>
      <c r="J37" s="36"/>
      <c r="K37" s="36"/>
      <c r="L37" s="10"/>
      <c r="M37" s="72"/>
      <c r="N37" s="72"/>
      <c r="O37" s="10"/>
      <c r="P37" s="36"/>
      <c r="Q37" s="36"/>
      <c r="R37" s="10"/>
      <c r="S37" s="36"/>
      <c r="T37" s="36"/>
      <c r="U37" s="10"/>
      <c r="V37" s="36"/>
      <c r="W37" s="36"/>
      <c r="X37" s="10"/>
      <c r="Y37" s="72"/>
      <c r="Z37" s="72"/>
      <c r="AA37" s="10"/>
      <c r="AB37" s="36"/>
      <c r="AC37" s="36"/>
      <c r="AD37" s="10"/>
      <c r="AE37" s="36"/>
      <c r="AF37" s="36"/>
      <c r="AG37" s="10"/>
      <c r="AH37" s="36"/>
      <c r="AI37" s="36"/>
      <c r="AJ37" s="72"/>
      <c r="AK37" s="72"/>
      <c r="AL37" s="10"/>
      <c r="AM37" s="36"/>
      <c r="AN37" s="36"/>
      <c r="AO37" s="36"/>
      <c r="AP37" s="36"/>
      <c r="AQ37" s="36"/>
      <c r="AR37" s="36"/>
      <c r="AS37" s="59"/>
      <c r="AT37" s="59"/>
      <c r="AU37" s="10"/>
      <c r="AV37" s="59"/>
      <c r="AW37" s="16"/>
      <c r="AX37" s="21">
        <f t="shared" si="2"/>
        <v>0</v>
      </c>
      <c r="AY37" s="21">
        <f t="shared" si="3"/>
        <v>0</v>
      </c>
      <c r="AZ37" s="40">
        <f t="shared" si="4"/>
        <v>0</v>
      </c>
    </row>
    <row r="38" spans="1:52" ht="34.5" customHeight="1">
      <c r="A38" s="12" t="s">
        <v>33</v>
      </c>
      <c r="B38" s="117" t="s">
        <v>104</v>
      </c>
      <c r="C38" s="13">
        <v>-1.6</v>
      </c>
      <c r="D38" s="36">
        <v>30.7</v>
      </c>
      <c r="E38" s="36">
        <v>19.9</v>
      </c>
      <c r="F38" s="55">
        <f aca="true" t="shared" si="14" ref="F38:F43">E38/D38*100</f>
        <v>64.82084690553745</v>
      </c>
      <c r="G38" s="36">
        <v>40.1</v>
      </c>
      <c r="H38" s="36">
        <v>21.1</v>
      </c>
      <c r="I38" s="10">
        <f>H38/G38*100</f>
        <v>52.618453865336654</v>
      </c>
      <c r="J38" s="36">
        <v>42.9</v>
      </c>
      <c r="K38" s="36">
        <v>45.4</v>
      </c>
      <c r="L38" s="10">
        <f>K38/J38*100</f>
        <v>105.82750582750582</v>
      </c>
      <c r="M38" s="72">
        <f>D38+G38+J38</f>
        <v>113.69999999999999</v>
      </c>
      <c r="N38" s="72">
        <f>E38+H38+K38</f>
        <v>86.4</v>
      </c>
      <c r="O38" s="10">
        <f>N38/M38*100</f>
        <v>75.98944591029026</v>
      </c>
      <c r="P38" s="36"/>
      <c r="Q38" s="36"/>
      <c r="R38" s="10"/>
      <c r="S38" s="36"/>
      <c r="T38" s="36"/>
      <c r="U38" s="10"/>
      <c r="V38" s="36"/>
      <c r="W38" s="36"/>
      <c r="X38" s="10" t="e">
        <f>W38/V38*100</f>
        <v>#DIV/0!</v>
      </c>
      <c r="Y38" s="72">
        <f>P38+S38+V38</f>
        <v>0</v>
      </c>
      <c r="Z38" s="72">
        <f>Q38+T38+W38</f>
        <v>0</v>
      </c>
      <c r="AA38" s="10" t="e">
        <f>Z38/Y38*100</f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>AB38+AE38+AH38</f>
        <v>0</v>
      </c>
      <c r="AK38" s="72">
        <f>AC38+AF38+AI38</f>
        <v>0</v>
      </c>
      <c r="AL38" s="10" t="e">
        <f>AK38/AJ38*100</f>
        <v>#DIV/0!</v>
      </c>
      <c r="AM38" s="36"/>
      <c r="AN38" s="36"/>
      <c r="AO38" s="36"/>
      <c r="AP38" s="36"/>
      <c r="AQ38" s="36"/>
      <c r="AR38" s="36"/>
      <c r="AS38" s="59">
        <f>M38+Y38+AJ38+AM38+AO38+AQ38</f>
        <v>113.69999999999999</v>
      </c>
      <c r="AT38" s="59">
        <f>N38+Z38+AK38+AN38+AP38+AR38</f>
        <v>86.4</v>
      </c>
      <c r="AU38" s="10">
        <f>AT38/AS38*100</f>
        <v>75.98944591029026</v>
      </c>
      <c r="AV38" s="59">
        <f>AS38-AT38</f>
        <v>27.299999999999983</v>
      </c>
      <c r="AW38" s="16">
        <f>C38+AS38-AT38</f>
        <v>25.69999999999999</v>
      </c>
      <c r="AX38" s="21">
        <f t="shared" si="2"/>
        <v>113.69999999999999</v>
      </c>
      <c r="AY38" s="21">
        <f t="shared" si="3"/>
        <v>86.4</v>
      </c>
      <c r="AZ38" s="40">
        <f t="shared" si="4"/>
        <v>25.69999999999999</v>
      </c>
    </row>
    <row r="39" spans="1:52" ht="34.5" customHeight="1">
      <c r="A39" s="12" t="s">
        <v>34</v>
      </c>
      <c r="B39" s="117" t="s">
        <v>4</v>
      </c>
      <c r="C39" s="13">
        <v>-1.4</v>
      </c>
      <c r="D39" s="36">
        <v>18.4</v>
      </c>
      <c r="E39" s="36">
        <v>0</v>
      </c>
      <c r="F39" s="10">
        <f t="shared" si="14"/>
        <v>0</v>
      </c>
      <c r="G39" s="36">
        <v>11.2</v>
      </c>
      <c r="H39" s="36">
        <v>18.5</v>
      </c>
      <c r="I39" s="10">
        <f>H39/G39*100</f>
        <v>165.17857142857144</v>
      </c>
      <c r="J39" s="36">
        <v>10</v>
      </c>
      <c r="K39" s="36">
        <v>11.6</v>
      </c>
      <c r="L39" s="10">
        <f>K39/J39*100</f>
        <v>115.99999999999999</v>
      </c>
      <c r="M39" s="72">
        <f>D39+G39+J39</f>
        <v>39.599999999999994</v>
      </c>
      <c r="N39" s="72">
        <f>E39+H39+K39</f>
        <v>30.1</v>
      </c>
      <c r="O39" s="10">
        <f>N39/M39*100</f>
        <v>76.01010101010102</v>
      </c>
      <c r="P39" s="36"/>
      <c r="Q39" s="36"/>
      <c r="R39" s="10"/>
      <c r="S39" s="36"/>
      <c r="T39" s="36"/>
      <c r="U39" s="10"/>
      <c r="V39" s="36"/>
      <c r="W39" s="36"/>
      <c r="X39" s="10" t="e">
        <f>W39/V39*100</f>
        <v>#DIV/0!</v>
      </c>
      <c r="Y39" s="72">
        <f>P39+S39+V39</f>
        <v>0</v>
      </c>
      <c r="Z39" s="72">
        <f>Q39+T39+W39</f>
        <v>0</v>
      </c>
      <c r="AA39" s="10" t="e">
        <f>Z39/Y39*100</f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>AB39+AE39+AH39</f>
        <v>0</v>
      </c>
      <c r="AK39" s="72">
        <f>AC39+AF39+AI39</f>
        <v>0</v>
      </c>
      <c r="AL39" s="10" t="e">
        <f>AK39/AJ39*100</f>
        <v>#DIV/0!</v>
      </c>
      <c r="AM39" s="36"/>
      <c r="AN39" s="36"/>
      <c r="AO39" s="36"/>
      <c r="AP39" s="36"/>
      <c r="AQ39" s="36"/>
      <c r="AR39" s="36"/>
      <c r="AS39" s="59">
        <f>M39+Y39+AJ39+AM39+AO39+AQ39</f>
        <v>39.599999999999994</v>
      </c>
      <c r="AT39" s="59">
        <f>N39+Z39+AK39+AN39+AP39+AR39</f>
        <v>30.1</v>
      </c>
      <c r="AU39" s="10">
        <f>AT39/AS39*100</f>
        <v>76.01010101010102</v>
      </c>
      <c r="AV39" s="59">
        <f>AS39-AT39</f>
        <v>9.499999999999993</v>
      </c>
      <c r="AW39" s="16">
        <f>C39+AS39-AT39</f>
        <v>8.099999999999994</v>
      </c>
      <c r="AX39" s="21">
        <f t="shared" si="2"/>
        <v>39.599999999999994</v>
      </c>
      <c r="AY39" s="21">
        <f t="shared" si="3"/>
        <v>30.1</v>
      </c>
      <c r="AZ39" s="40">
        <f t="shared" si="4"/>
        <v>8.099999999999994</v>
      </c>
    </row>
    <row r="40" spans="1:52" ht="34.5" customHeight="1">
      <c r="A40" s="12" t="s">
        <v>35</v>
      </c>
      <c r="B40" s="117" t="s">
        <v>63</v>
      </c>
      <c r="C40" s="13"/>
      <c r="D40" s="36"/>
      <c r="E40" s="36"/>
      <c r="F40" s="10"/>
      <c r="G40" s="36"/>
      <c r="H40" s="36"/>
      <c r="I40" s="10"/>
      <c r="J40" s="36"/>
      <c r="K40" s="36"/>
      <c r="L40" s="10"/>
      <c r="M40" s="72"/>
      <c r="N40" s="72"/>
      <c r="O40" s="10"/>
      <c r="P40" s="36"/>
      <c r="Q40" s="36"/>
      <c r="R40" s="10"/>
      <c r="S40" s="36"/>
      <c r="T40" s="36"/>
      <c r="U40" s="10"/>
      <c r="V40" s="36"/>
      <c r="W40" s="36"/>
      <c r="X40" s="10"/>
      <c r="Y40" s="72"/>
      <c r="Z40" s="72"/>
      <c r="AA40" s="10"/>
      <c r="AB40" s="36"/>
      <c r="AC40" s="36"/>
      <c r="AD40" s="10"/>
      <c r="AE40" s="36"/>
      <c r="AF40" s="36"/>
      <c r="AG40" s="10"/>
      <c r="AH40" s="36"/>
      <c r="AI40" s="36"/>
      <c r="AJ40" s="72"/>
      <c r="AK40" s="72"/>
      <c r="AL40" s="10"/>
      <c r="AM40" s="36"/>
      <c r="AN40" s="36"/>
      <c r="AO40" s="36"/>
      <c r="AP40" s="36"/>
      <c r="AQ40" s="36"/>
      <c r="AR40" s="36"/>
      <c r="AS40" s="59"/>
      <c r="AT40" s="59"/>
      <c r="AU40" s="10"/>
      <c r="AV40" s="59"/>
      <c r="AW40" s="16"/>
      <c r="AX40" s="21">
        <f t="shared" si="2"/>
        <v>0</v>
      </c>
      <c r="AY40" s="21">
        <f t="shared" si="3"/>
        <v>0</v>
      </c>
      <c r="AZ40" s="40">
        <f t="shared" si="4"/>
        <v>0</v>
      </c>
    </row>
    <row r="41" spans="1:52" ht="34.5" customHeight="1">
      <c r="A41" s="12" t="s">
        <v>36</v>
      </c>
      <c r="B41" s="60" t="s">
        <v>64</v>
      </c>
      <c r="C41" s="73"/>
      <c r="D41" s="36"/>
      <c r="E41" s="36"/>
      <c r="F41" s="10"/>
      <c r="G41" s="36"/>
      <c r="H41" s="36"/>
      <c r="I41" s="61"/>
      <c r="J41" s="36"/>
      <c r="K41" s="36"/>
      <c r="L41" s="61"/>
      <c r="M41" s="72"/>
      <c r="N41" s="72"/>
      <c r="O41" s="10"/>
      <c r="P41" s="36"/>
      <c r="Q41" s="36"/>
      <c r="R41" s="61"/>
      <c r="S41" s="36"/>
      <c r="T41" s="36"/>
      <c r="U41" s="61"/>
      <c r="V41" s="36"/>
      <c r="W41" s="36"/>
      <c r="X41" s="61"/>
      <c r="Y41" s="72"/>
      <c r="Z41" s="72"/>
      <c r="AA41" s="10"/>
      <c r="AB41" s="36"/>
      <c r="AC41" s="36"/>
      <c r="AD41" s="61"/>
      <c r="AE41" s="36"/>
      <c r="AF41" s="36"/>
      <c r="AG41" s="10"/>
      <c r="AH41" s="36"/>
      <c r="AI41" s="36"/>
      <c r="AJ41" s="72"/>
      <c r="AK41" s="72"/>
      <c r="AL41" s="10"/>
      <c r="AM41" s="36"/>
      <c r="AN41" s="36"/>
      <c r="AO41" s="36"/>
      <c r="AP41" s="36"/>
      <c r="AQ41" s="36"/>
      <c r="AR41" s="36"/>
      <c r="AS41" s="59"/>
      <c r="AT41" s="59"/>
      <c r="AU41" s="10"/>
      <c r="AV41" s="59"/>
      <c r="AW41" s="16"/>
      <c r="AX41" s="21">
        <f t="shared" si="2"/>
        <v>0</v>
      </c>
      <c r="AY41" s="21">
        <f t="shared" si="3"/>
        <v>0</v>
      </c>
      <c r="AZ41" s="40">
        <f t="shared" si="4"/>
        <v>0</v>
      </c>
    </row>
    <row r="42" spans="1:52" ht="34.5" customHeight="1">
      <c r="A42" s="12" t="s">
        <v>37</v>
      </c>
      <c r="B42" s="117" t="s">
        <v>48</v>
      </c>
      <c r="C42" s="13"/>
      <c r="D42" s="36"/>
      <c r="E42" s="36"/>
      <c r="F42" s="88"/>
      <c r="G42" s="36"/>
      <c r="H42" s="36"/>
      <c r="I42" s="88"/>
      <c r="J42" s="36"/>
      <c r="K42" s="36"/>
      <c r="L42" s="88"/>
      <c r="M42" s="72"/>
      <c r="N42" s="72"/>
      <c r="O42" s="10"/>
      <c r="P42" s="36"/>
      <c r="Q42" s="36"/>
      <c r="R42" s="88"/>
      <c r="S42" s="36"/>
      <c r="T42" s="36"/>
      <c r="U42" s="88"/>
      <c r="V42" s="36"/>
      <c r="W42" s="36"/>
      <c r="X42" s="88"/>
      <c r="Y42" s="72"/>
      <c r="Z42" s="72"/>
      <c r="AA42" s="10"/>
      <c r="AB42" s="36"/>
      <c r="AC42" s="36"/>
      <c r="AD42" s="88"/>
      <c r="AE42" s="36"/>
      <c r="AF42" s="36"/>
      <c r="AG42" s="10"/>
      <c r="AH42" s="36"/>
      <c r="AI42" s="36"/>
      <c r="AJ42" s="72"/>
      <c r="AK42" s="72"/>
      <c r="AL42" s="10"/>
      <c r="AM42" s="36"/>
      <c r="AN42" s="36"/>
      <c r="AO42" s="36"/>
      <c r="AP42" s="36"/>
      <c r="AQ42" s="36"/>
      <c r="AR42" s="36"/>
      <c r="AS42" s="59"/>
      <c r="AT42" s="59"/>
      <c r="AU42" s="10"/>
      <c r="AV42" s="59"/>
      <c r="AW42" s="16"/>
      <c r="AX42" s="21">
        <f t="shared" si="2"/>
        <v>0</v>
      </c>
      <c r="AY42" s="21">
        <f t="shared" si="3"/>
        <v>0</v>
      </c>
      <c r="AZ42" s="40">
        <f t="shared" si="4"/>
        <v>0</v>
      </c>
    </row>
    <row r="43" spans="1:52" s="11" customFormat="1" ht="34.5" customHeight="1">
      <c r="A43" s="12" t="s">
        <v>38</v>
      </c>
      <c r="B43" s="14" t="s">
        <v>66</v>
      </c>
      <c r="C43" s="16">
        <f>SUM(C44:C44)</f>
        <v>-731.3</v>
      </c>
      <c r="D43" s="16">
        <f>SUM(D44:D44)</f>
        <v>1095.1</v>
      </c>
      <c r="E43" s="16">
        <f>SUM(E44:E44)</f>
        <v>227.5</v>
      </c>
      <c r="F43" s="10">
        <f t="shared" si="14"/>
        <v>20.774358506072506</v>
      </c>
      <c r="G43" s="16">
        <f>SUM(G44:G44)</f>
        <v>1270.1</v>
      </c>
      <c r="H43" s="16">
        <f>SUM(H44:H44)</f>
        <v>1034.6</v>
      </c>
      <c r="I43" s="10">
        <f>H43/G43*100</f>
        <v>81.45815290134635</v>
      </c>
      <c r="J43" s="16">
        <f>SUM(J44:J44)</f>
        <v>1175.4</v>
      </c>
      <c r="K43" s="16">
        <f>SUM(K44:K44)</f>
        <v>1472.5</v>
      </c>
      <c r="L43" s="10">
        <f>K43/J43*100</f>
        <v>125.27650161647097</v>
      </c>
      <c r="M43" s="16">
        <f>SUM(M44:M44)</f>
        <v>3540.6</v>
      </c>
      <c r="N43" s="16">
        <f>SUM(N44:N44)</f>
        <v>2734.6</v>
      </c>
      <c r="O43" s="10">
        <f>N43/M43*100</f>
        <v>77.23549680845055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>T43/S43*100</f>
        <v>#DIV/0!</v>
      </c>
      <c r="V43" s="16">
        <f>SUM(V44:V44)</f>
        <v>0</v>
      </c>
      <c r="W43" s="16">
        <f>SUM(W44:W44)</f>
        <v>0</v>
      </c>
      <c r="X43" s="10" t="e">
        <f>W43/V43*100</f>
        <v>#DIV/0!</v>
      </c>
      <c r="Y43" s="16">
        <f>SUM(Y44:Y44)</f>
        <v>0</v>
      </c>
      <c r="Z43" s="16">
        <f>SUM(Z44:Z44)</f>
        <v>0</v>
      </c>
      <c r="AA43" s="10" t="e">
        <f>Z43/Y43*100</f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>AK43/AJ43*100</f>
        <v>#DIV/0!</v>
      </c>
      <c r="AM43" s="16">
        <f aca="true" t="shared" si="15" ref="AM43:AR43">SUM(AM44:AM44)</f>
        <v>0</v>
      </c>
      <c r="AN43" s="16">
        <f t="shared" si="15"/>
        <v>0</v>
      </c>
      <c r="AO43" s="16">
        <f t="shared" si="15"/>
        <v>0</v>
      </c>
      <c r="AP43" s="16">
        <f t="shared" si="15"/>
        <v>0</v>
      </c>
      <c r="AQ43" s="16">
        <f t="shared" si="15"/>
        <v>0</v>
      </c>
      <c r="AR43" s="16">
        <f t="shared" si="15"/>
        <v>0</v>
      </c>
      <c r="AS43" s="103">
        <f>AS44</f>
        <v>3540.6</v>
      </c>
      <c r="AT43" s="103">
        <f>AT44</f>
        <v>2734.6</v>
      </c>
      <c r="AU43" s="10">
        <f>AT43/AS43*100</f>
        <v>77.23549680845055</v>
      </c>
      <c r="AV43" s="16">
        <f>SUM(AV44:AV44)</f>
        <v>806</v>
      </c>
      <c r="AW43" s="16">
        <f>SUM(AW44:AW44)</f>
        <v>74.70000000000027</v>
      </c>
      <c r="AX43" s="21">
        <f t="shared" si="2"/>
        <v>3540.6</v>
      </c>
      <c r="AY43" s="21">
        <f t="shared" si="3"/>
        <v>2734.6</v>
      </c>
      <c r="AZ43" s="40">
        <f t="shared" si="4"/>
        <v>74.70000000000027</v>
      </c>
    </row>
    <row r="44" spans="1:52" s="11" customFormat="1" ht="34.5" customHeight="1">
      <c r="A44" s="8"/>
      <c r="B44" s="39" t="s">
        <v>67</v>
      </c>
      <c r="C44" s="13">
        <v>-731.3</v>
      </c>
      <c r="D44" s="36">
        <v>1095.1</v>
      </c>
      <c r="E44" s="36">
        <v>227.5</v>
      </c>
      <c r="F44" s="10">
        <f>E44/D44*100</f>
        <v>20.774358506072506</v>
      </c>
      <c r="G44" s="36">
        <v>1270.1</v>
      </c>
      <c r="H44" s="36">
        <v>1034.6</v>
      </c>
      <c r="I44" s="10">
        <f>H44/G44*100</f>
        <v>81.45815290134635</v>
      </c>
      <c r="J44" s="36">
        <v>1175.4</v>
      </c>
      <c r="K44" s="36">
        <v>1472.5</v>
      </c>
      <c r="L44" s="10">
        <f>K44/J44*100</f>
        <v>125.27650161647097</v>
      </c>
      <c r="M44" s="72">
        <f>D44+G44+J44</f>
        <v>3540.6</v>
      </c>
      <c r="N44" s="72">
        <f>E44+H44+K44</f>
        <v>2734.6</v>
      </c>
      <c r="O44" s="10">
        <f>N44/M44*100</f>
        <v>77.23549680845055</v>
      </c>
      <c r="P44" s="36"/>
      <c r="Q44" s="36"/>
      <c r="R44" s="10"/>
      <c r="S44" s="36"/>
      <c r="T44" s="36"/>
      <c r="U44" s="10"/>
      <c r="V44" s="36"/>
      <c r="W44" s="36"/>
      <c r="X44" s="10" t="e">
        <f>W44/V44*100</f>
        <v>#DIV/0!</v>
      </c>
      <c r="Y44" s="72">
        <f>P44+S44+V44</f>
        <v>0</v>
      </c>
      <c r="Z44" s="72">
        <f>Q44+T44+W44</f>
        <v>0</v>
      </c>
      <c r="AA44" s="10" t="e">
        <f>Z44/Y44*100</f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>AK44/AJ44*100</f>
        <v>#DIV/0!</v>
      </c>
      <c r="AM44" s="36"/>
      <c r="AN44" s="36"/>
      <c r="AO44" s="36"/>
      <c r="AP44" s="36"/>
      <c r="AQ44" s="36"/>
      <c r="AR44" s="36"/>
      <c r="AS44" s="59">
        <f>M44+Y44+AJ44+AM44+AO44+AQ44</f>
        <v>3540.6</v>
      </c>
      <c r="AT44" s="59">
        <f>N44+Z44+AK44+AN44+AP44+AR44</f>
        <v>2734.6</v>
      </c>
      <c r="AU44" s="10">
        <f>AT44/AS44*100</f>
        <v>77.23549680845055</v>
      </c>
      <c r="AV44" s="59">
        <f>AS44-AT44</f>
        <v>806</v>
      </c>
      <c r="AW44" s="16">
        <f>C44+AS44-AT44</f>
        <v>74.70000000000027</v>
      </c>
      <c r="AX44" s="21">
        <f t="shared" si="2"/>
        <v>3540.6</v>
      </c>
      <c r="AY44" s="21">
        <f t="shared" si="3"/>
        <v>2734.6</v>
      </c>
      <c r="AZ44" s="40">
        <f t="shared" si="4"/>
        <v>74.70000000000027</v>
      </c>
    </row>
    <row r="45" spans="1:52" ht="34.5" customHeight="1">
      <c r="A45" s="12"/>
      <c r="B45" s="14" t="s">
        <v>105</v>
      </c>
      <c r="C45" s="16">
        <f>C43+C7</f>
        <v>-759.5999999999999</v>
      </c>
      <c r="D45" s="16">
        <f>D43+D7</f>
        <v>1312.3999999999999</v>
      </c>
      <c r="E45" s="16">
        <f>E43+E7</f>
        <v>373.20000000000005</v>
      </c>
      <c r="F45" s="10">
        <f>E45/D45*100</f>
        <v>28.436452301127712</v>
      </c>
      <c r="G45" s="16">
        <f>G7+G43</f>
        <v>1592.6999999999998</v>
      </c>
      <c r="H45" s="16">
        <f>H7+H43</f>
        <v>1292.3999999999999</v>
      </c>
      <c r="I45" s="10">
        <f>H45/G45*100</f>
        <v>81.14522508947071</v>
      </c>
      <c r="J45" s="16">
        <f>J7+J43</f>
        <v>1452.8000000000002</v>
      </c>
      <c r="K45" s="16">
        <f>K7+K43</f>
        <v>1839.9</v>
      </c>
      <c r="L45" s="10">
        <f>K45/J45*100</f>
        <v>126.64509911894272</v>
      </c>
      <c r="M45" s="16">
        <f>M7+M43</f>
        <v>4357.9</v>
      </c>
      <c r="N45" s="16">
        <f>N7+N43</f>
        <v>3505.5</v>
      </c>
      <c r="O45" s="10">
        <f>N45/M45*100</f>
        <v>80.44012024140068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>T45/S45*100</f>
        <v>#DIV/0!</v>
      </c>
      <c r="V45" s="16">
        <f>V7+V43</f>
        <v>0</v>
      </c>
      <c r="W45" s="16">
        <f>W7+W43</f>
        <v>0</v>
      </c>
      <c r="X45" s="10" t="e">
        <f>W45/V45*100</f>
        <v>#DIV/0!</v>
      </c>
      <c r="Y45" s="16">
        <f>Y7+Y43</f>
        <v>0</v>
      </c>
      <c r="Z45" s="16">
        <f>Z7+Z43</f>
        <v>0</v>
      </c>
      <c r="AA45" s="10" t="e">
        <f>Z45/Y45*100</f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>AK45/AJ45*100</f>
        <v>#DIV/0!</v>
      </c>
      <c r="AM45" s="16">
        <f aca="true" t="shared" si="16" ref="AM45:AR45">AM43+AM7</f>
        <v>0</v>
      </c>
      <c r="AN45" s="16">
        <f t="shared" si="16"/>
        <v>0</v>
      </c>
      <c r="AO45" s="16">
        <f t="shared" si="16"/>
        <v>0</v>
      </c>
      <c r="AP45" s="16">
        <f t="shared" si="16"/>
        <v>0</v>
      </c>
      <c r="AQ45" s="16">
        <f t="shared" si="16"/>
        <v>0</v>
      </c>
      <c r="AR45" s="16">
        <f t="shared" si="16"/>
        <v>0</v>
      </c>
      <c r="AS45" s="68">
        <f>AS7+AS43</f>
        <v>4357.9</v>
      </c>
      <c r="AT45" s="68">
        <f>AT7+AT43</f>
        <v>3505.5</v>
      </c>
      <c r="AU45" s="10">
        <f>AT45/AS45*100</f>
        <v>80.44012024140068</v>
      </c>
      <c r="AV45" s="16">
        <f>AV7+AV43</f>
        <v>852.4</v>
      </c>
      <c r="AW45" s="16">
        <f>AW7+AW43</f>
        <v>92.80000000000028</v>
      </c>
      <c r="AX45" s="21">
        <f t="shared" si="2"/>
        <v>4357.9</v>
      </c>
      <c r="AY45" s="21">
        <f t="shared" si="3"/>
        <v>3505.5</v>
      </c>
      <c r="AZ45" s="40">
        <f t="shared" si="4"/>
        <v>92.79999999999973</v>
      </c>
    </row>
    <row r="46" spans="1:61" s="113" customFormat="1" ht="70.5" customHeight="1">
      <c r="A46" s="163" t="s">
        <v>110</v>
      </c>
      <c r="B46" s="163"/>
      <c r="C46" s="163"/>
      <c r="D46" s="128"/>
      <c r="E46" s="128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109</v>
      </c>
      <c r="AX46" s="128"/>
      <c r="AY46" s="128"/>
      <c r="AZ46" s="128"/>
      <c r="BA46" s="128"/>
      <c r="BB46" s="128"/>
      <c r="BC46" s="128"/>
      <c r="BD46" s="128"/>
      <c r="BE46" s="128"/>
      <c r="BF46" s="131"/>
      <c r="BG46" s="131"/>
      <c r="BH46" s="131"/>
      <c r="BI46" s="13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22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7" t="s">
        <v>75</v>
      </c>
      <c r="AW47" s="178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01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50" s="30" customFormat="1" ht="49.5" customHeight="1">
      <c r="A51" s="27"/>
      <c r="B51" s="173" t="s">
        <v>76</v>
      </c>
      <c r="C51" s="173"/>
      <c r="D51" s="173"/>
      <c r="E51" s="173"/>
      <c r="F51" s="173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  <c r="AX51" s="29"/>
    </row>
    <row r="52" spans="1:49" ht="73.5" customHeight="1" hidden="1">
      <c r="A52" s="172" t="s">
        <v>72</v>
      </c>
      <c r="B52" s="172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18.75">
      <c r="B53" s="95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7:49" ht="18.75"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2:49" ht="18.75">
      <c r="B55" s="95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18.75">
      <c r="B56" s="95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18.75">
      <c r="B57" s="95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2:49" ht="18.75">
      <c r="B58" s="95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7:49" ht="18.75"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18.75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18.75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18.75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18.75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18.75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18.75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18.75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18.75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18.75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18.75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18.75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18.75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18.75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18.75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18.75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18.75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18.75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18.75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18.75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18.75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18.75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18.75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18.75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18.75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18.75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18.75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18.75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18.75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18.75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18.75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18.75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18.75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18.75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18.75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18.75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18.75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18.75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18.75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5">
    <mergeCell ref="A52:B52"/>
    <mergeCell ref="M5:O5"/>
    <mergeCell ref="V5:X5"/>
    <mergeCell ref="AB5:AD5"/>
    <mergeCell ref="AE5:AG5"/>
    <mergeCell ref="Y5:AA5"/>
    <mergeCell ref="A46:C46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A2:AW3"/>
    <mergeCell ref="I1:AW1"/>
    <mergeCell ref="B4:F4"/>
    <mergeCell ref="AV5:AV6"/>
    <mergeCell ref="AW5:AW6"/>
    <mergeCell ref="J5:L5"/>
    <mergeCell ref="P5:R5"/>
    <mergeCell ref="S5:U5"/>
    <mergeCell ref="AQ5:AR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tabSelected="1" view="pageBreakPreview" zoomScale="70" zoomScaleNormal="50" zoomScaleSheetLayoutView="70" zoomScalePageLayoutView="0" workbookViewId="0" topLeftCell="A3">
      <pane xSplit="6" ySplit="5" topLeftCell="G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G6" sqref="G6"/>
    </sheetView>
  </sheetViews>
  <sheetFormatPr defaultColWidth="6.75390625" defaultRowHeight="12.75"/>
  <cols>
    <col min="1" max="1" width="5.625" style="1" customWidth="1"/>
    <col min="2" max="2" width="56.00390625" style="2" customWidth="1"/>
    <col min="3" max="3" width="17.125" style="84" customWidth="1"/>
    <col min="4" max="5" width="21.125" style="2" customWidth="1"/>
    <col min="6" max="6" width="13.75390625" style="11" customWidth="1"/>
    <col min="7" max="7" width="14.75390625" style="2" customWidth="1"/>
    <col min="8" max="8" width="16.00390625" style="2" customWidth="1"/>
    <col min="9" max="9" width="11.125" style="11" customWidth="1"/>
    <col min="10" max="10" width="14.75390625" style="2" customWidth="1"/>
    <col min="11" max="11" width="16.00390625" style="2" customWidth="1"/>
    <col min="12" max="12" width="11.125" style="11" customWidth="1"/>
    <col min="13" max="13" width="13.75390625" style="11" hidden="1" customWidth="1"/>
    <col min="14" max="14" width="12.375" style="11" hidden="1" customWidth="1"/>
    <col min="15" max="15" width="11.125" style="11" hidden="1" customWidth="1"/>
    <col min="16" max="16" width="14.75390625" style="2" hidden="1" customWidth="1"/>
    <col min="17" max="17" width="16.00390625" style="2" hidden="1" customWidth="1"/>
    <col min="18" max="18" width="11.125" style="11" hidden="1" customWidth="1"/>
    <col min="19" max="19" width="14.75390625" style="2" hidden="1" customWidth="1"/>
    <col min="20" max="20" width="16.00390625" style="2" hidden="1" customWidth="1"/>
    <col min="21" max="21" width="11.125" style="11" hidden="1" customWidth="1"/>
    <col min="22" max="22" width="15.25390625" style="11" hidden="1" customWidth="1"/>
    <col min="23" max="23" width="14.25390625" style="11" hidden="1" customWidth="1"/>
    <col min="24" max="24" width="11.125" style="11" hidden="1" customWidth="1"/>
    <col min="25" max="25" width="13.75390625" style="11" hidden="1" customWidth="1"/>
    <col min="26" max="26" width="12.375" style="11" hidden="1" customWidth="1"/>
    <col min="27" max="27" width="11.125" style="11" hidden="1" customWidth="1"/>
    <col min="28" max="28" width="15.25390625" style="11" hidden="1" customWidth="1"/>
    <col min="29" max="29" width="14.25390625" style="11" hidden="1" customWidth="1"/>
    <col min="30" max="30" width="11.125" style="11" hidden="1" customWidth="1"/>
    <col min="31" max="31" width="14.75390625" style="11" hidden="1" customWidth="1"/>
    <col min="32" max="32" width="12.125" style="11" hidden="1" customWidth="1"/>
    <col min="33" max="33" width="11.00390625" style="11" hidden="1" customWidth="1"/>
    <col min="34" max="34" width="12.25390625" style="11" hidden="1" customWidth="1"/>
    <col min="35" max="35" width="11.00390625" style="11" hidden="1" customWidth="1"/>
    <col min="36" max="36" width="13.75390625" style="11" hidden="1" customWidth="1"/>
    <col min="37" max="37" width="12.375" style="11" hidden="1" customWidth="1"/>
    <col min="38" max="38" width="11.125" style="11" hidden="1" customWidth="1"/>
    <col min="39" max="39" width="13.125" style="11" hidden="1" customWidth="1"/>
    <col min="40" max="40" width="11.875" style="11" hidden="1" customWidth="1"/>
    <col min="41" max="41" width="13.25390625" style="11" hidden="1" customWidth="1"/>
    <col min="42" max="43" width="12.25390625" style="11" hidden="1" customWidth="1"/>
    <col min="44" max="44" width="12.375" style="11" hidden="1" customWidth="1"/>
    <col min="45" max="46" width="14.75390625" style="2" customWidth="1"/>
    <col min="47" max="47" width="11.125" style="11" customWidth="1"/>
    <col min="48" max="48" width="22.00390625" style="2" customWidth="1"/>
    <col min="49" max="49" width="27.375" style="2" customWidth="1"/>
    <col min="50" max="50" width="12.875" style="2" customWidth="1"/>
    <col min="51" max="52" width="14.25390625" style="2" customWidth="1"/>
    <col min="53" max="16384" width="6.75390625" style="2" customWidth="1"/>
  </cols>
  <sheetData>
    <row r="1" spans="9:49" ht="19.5" customHeight="1">
      <c r="I1" s="174" t="s">
        <v>42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</row>
    <row r="2" spans="1:49" s="52" customFormat="1" ht="60" customHeight="1">
      <c r="A2" s="180" t="s">
        <v>125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</row>
    <row r="3" spans="1:49" s="52" customFormat="1" ht="60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</row>
    <row r="4" spans="2:49" ht="49.5" customHeight="1">
      <c r="B4" s="166"/>
      <c r="C4" s="166"/>
      <c r="D4" s="166"/>
      <c r="E4" s="166"/>
      <c r="F4" s="166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94</v>
      </c>
    </row>
    <row r="5" spans="1:49" ht="58.5" customHeight="1">
      <c r="A5" s="42" t="s">
        <v>46</v>
      </c>
      <c r="B5" s="43"/>
      <c r="C5" s="44" t="s">
        <v>1</v>
      </c>
      <c r="D5" s="169" t="s">
        <v>77</v>
      </c>
      <c r="E5" s="170"/>
      <c r="F5" s="171"/>
      <c r="G5" s="159" t="s">
        <v>114</v>
      </c>
      <c r="H5" s="160"/>
      <c r="I5" s="161"/>
      <c r="J5" s="159" t="s">
        <v>118</v>
      </c>
      <c r="K5" s="160"/>
      <c r="L5" s="161"/>
      <c r="M5" s="159" t="s">
        <v>90</v>
      </c>
      <c r="N5" s="160"/>
      <c r="O5" s="161"/>
      <c r="P5" s="159" t="s">
        <v>79</v>
      </c>
      <c r="Q5" s="160"/>
      <c r="R5" s="161"/>
      <c r="S5" s="159" t="s">
        <v>80</v>
      </c>
      <c r="T5" s="160"/>
      <c r="U5" s="161"/>
      <c r="V5" s="159" t="s">
        <v>81</v>
      </c>
      <c r="W5" s="160"/>
      <c r="X5" s="161"/>
      <c r="Y5" s="159" t="s">
        <v>91</v>
      </c>
      <c r="Z5" s="160"/>
      <c r="AA5" s="161"/>
      <c r="AB5" s="159" t="s">
        <v>82</v>
      </c>
      <c r="AC5" s="160"/>
      <c r="AD5" s="161"/>
      <c r="AE5" s="159" t="s">
        <v>83</v>
      </c>
      <c r="AF5" s="160"/>
      <c r="AG5" s="161"/>
      <c r="AH5" s="159" t="s">
        <v>84</v>
      </c>
      <c r="AI5" s="161"/>
      <c r="AJ5" s="159" t="s">
        <v>92</v>
      </c>
      <c r="AK5" s="160"/>
      <c r="AL5" s="161"/>
      <c r="AM5" s="159" t="s">
        <v>85</v>
      </c>
      <c r="AN5" s="161"/>
      <c r="AO5" s="159" t="s">
        <v>86</v>
      </c>
      <c r="AP5" s="161"/>
      <c r="AQ5" s="159" t="s">
        <v>87</v>
      </c>
      <c r="AR5" s="161"/>
      <c r="AS5" s="169" t="s">
        <v>112</v>
      </c>
      <c r="AT5" s="170"/>
      <c r="AU5" s="171"/>
      <c r="AV5" s="167" t="s">
        <v>116</v>
      </c>
      <c r="AW5" s="167" t="s">
        <v>117</v>
      </c>
    </row>
    <row r="6" spans="1:49" ht="57.75" customHeight="1">
      <c r="A6" s="45" t="s">
        <v>47</v>
      </c>
      <c r="B6" s="46" t="s">
        <v>106</v>
      </c>
      <c r="C6" s="41" t="s">
        <v>88</v>
      </c>
      <c r="D6" s="46" t="s">
        <v>78</v>
      </c>
      <c r="E6" s="46" t="s">
        <v>69</v>
      </c>
      <c r="F6" s="48" t="s">
        <v>0</v>
      </c>
      <c r="G6" s="46" t="s">
        <v>78</v>
      </c>
      <c r="H6" s="46" t="s">
        <v>69</v>
      </c>
      <c r="I6" s="48" t="s">
        <v>0</v>
      </c>
      <c r="J6" s="46" t="s">
        <v>78</v>
      </c>
      <c r="K6" s="46" t="s">
        <v>69</v>
      </c>
      <c r="L6" s="48" t="s">
        <v>0</v>
      </c>
      <c r="M6" s="46" t="s">
        <v>78</v>
      </c>
      <c r="N6" s="46" t="s">
        <v>69</v>
      </c>
      <c r="O6" s="48" t="s">
        <v>0</v>
      </c>
      <c r="P6" s="46" t="s">
        <v>78</v>
      </c>
      <c r="Q6" s="46" t="s">
        <v>69</v>
      </c>
      <c r="R6" s="48" t="s">
        <v>0</v>
      </c>
      <c r="S6" s="46" t="s">
        <v>78</v>
      </c>
      <c r="T6" s="46" t="s">
        <v>69</v>
      </c>
      <c r="U6" s="48" t="s">
        <v>0</v>
      </c>
      <c r="V6" s="46" t="s">
        <v>78</v>
      </c>
      <c r="W6" s="46" t="s">
        <v>69</v>
      </c>
      <c r="X6" s="48" t="s">
        <v>0</v>
      </c>
      <c r="Y6" s="46" t="s">
        <v>78</v>
      </c>
      <c r="Z6" s="46" t="s">
        <v>69</v>
      </c>
      <c r="AA6" s="48" t="s">
        <v>0</v>
      </c>
      <c r="AB6" s="46" t="s">
        <v>78</v>
      </c>
      <c r="AC6" s="46" t="s">
        <v>69</v>
      </c>
      <c r="AD6" s="48" t="s">
        <v>0</v>
      </c>
      <c r="AE6" s="46" t="s">
        <v>78</v>
      </c>
      <c r="AF6" s="46" t="s">
        <v>69</v>
      </c>
      <c r="AG6" s="48" t="s">
        <v>0</v>
      </c>
      <c r="AH6" s="46" t="s">
        <v>78</v>
      </c>
      <c r="AI6" s="46" t="s">
        <v>69</v>
      </c>
      <c r="AJ6" s="46" t="s">
        <v>78</v>
      </c>
      <c r="AK6" s="46" t="s">
        <v>69</v>
      </c>
      <c r="AL6" s="48" t="s">
        <v>0</v>
      </c>
      <c r="AM6" s="46" t="s">
        <v>78</v>
      </c>
      <c r="AN6" s="46" t="s">
        <v>69</v>
      </c>
      <c r="AO6" s="46" t="s">
        <v>78</v>
      </c>
      <c r="AP6" s="46" t="s">
        <v>69</v>
      </c>
      <c r="AQ6" s="46" t="s">
        <v>78</v>
      </c>
      <c r="AR6" s="46" t="s">
        <v>69</v>
      </c>
      <c r="AS6" s="46" t="s">
        <v>93</v>
      </c>
      <c r="AT6" s="46" t="s">
        <v>69</v>
      </c>
      <c r="AU6" s="48" t="s">
        <v>0</v>
      </c>
      <c r="AV6" s="168"/>
      <c r="AW6" s="168"/>
    </row>
    <row r="7" spans="1:52" s="11" customFormat="1" ht="34.5" customHeight="1">
      <c r="A7" s="8"/>
      <c r="B7" s="114" t="s">
        <v>107</v>
      </c>
      <c r="C7" s="55">
        <f>SUM(C8:C42)-C33-C34</f>
        <v>5619.999999999999</v>
      </c>
      <c r="D7" s="55">
        <f>SUM(D8:D42)-D33-D34</f>
        <v>4047.399999999999</v>
      </c>
      <c r="E7" s="55">
        <f>SUM(E8:E42)-E33-E34</f>
        <v>3165.2</v>
      </c>
      <c r="F7" s="10">
        <f aca="true" t="shared" si="0" ref="F7:F32">E7/D7*100</f>
        <v>78.20329100163069</v>
      </c>
      <c r="G7" s="55">
        <f>SUM(G8:G42)-G33-G34</f>
        <v>3731.4</v>
      </c>
      <c r="H7" s="55">
        <f>SUM(H8:H42)-H33-H34</f>
        <v>3642.5</v>
      </c>
      <c r="I7" s="10">
        <f aca="true" t="shared" si="1" ref="I7:I45">H7/G7*100</f>
        <v>97.61751621375355</v>
      </c>
      <c r="J7" s="55">
        <f>SUM(J8:J42)-J33-J34</f>
        <v>3720.500000000001</v>
      </c>
      <c r="K7" s="55">
        <f>SUM(K8:K42)-K33-K34</f>
        <v>4780.9</v>
      </c>
      <c r="L7" s="10">
        <f>K7/J7*100</f>
        <v>128.5015454911974</v>
      </c>
      <c r="M7" s="10">
        <f>SUM(M8:M42)</f>
        <v>12068.3</v>
      </c>
      <c r="N7" s="10">
        <f>SUM(N8:N42)</f>
        <v>12085.800000000001</v>
      </c>
      <c r="O7" s="10">
        <f>N7/M7*100</f>
        <v>100.14500799615521</v>
      </c>
      <c r="P7" s="10">
        <f>SUM(P8:P42)</f>
        <v>0</v>
      </c>
      <c r="Q7" s="10">
        <f>SUM(Q8:Q42)</f>
        <v>0</v>
      </c>
      <c r="R7" s="10" t="e">
        <f>Q7/P7*100</f>
        <v>#DIV/0!</v>
      </c>
      <c r="S7" s="10">
        <f>SUM(S8:S42)</f>
        <v>0</v>
      </c>
      <c r="T7" s="10">
        <f>SUM(T8:T42)</f>
        <v>0</v>
      </c>
      <c r="U7" s="10" t="e">
        <f aca="true" t="shared" si="2" ref="U7:U20">T7/S7*100</f>
        <v>#DIV/0!</v>
      </c>
      <c r="V7" s="10">
        <f>SUM(V8:V42)</f>
        <v>0</v>
      </c>
      <c r="W7" s="10">
        <f>SUM(W8:W42)</f>
        <v>0</v>
      </c>
      <c r="X7" s="10" t="e">
        <f aca="true" t="shared" si="3" ref="X7:X24">W7/V7*100</f>
        <v>#DIV/0!</v>
      </c>
      <c r="Y7" s="10">
        <f>SUM(Y8:Y42)</f>
        <v>0</v>
      </c>
      <c r="Z7" s="10">
        <f>SUM(Z8:Z42)</f>
        <v>0</v>
      </c>
      <c r="AA7" s="10" t="e">
        <f aca="true" t="shared" si="4" ref="AA7:AA20">Z7/Y7*100</f>
        <v>#DIV/0!</v>
      </c>
      <c r="AB7" s="10">
        <f>SUM(AB8:AB42)</f>
        <v>0</v>
      </c>
      <c r="AC7" s="10">
        <f>SUM(AC8:AC42)</f>
        <v>0</v>
      </c>
      <c r="AD7" s="10" t="e">
        <f>AC7/AB7*100</f>
        <v>#DIV/0!</v>
      </c>
      <c r="AE7" s="10">
        <f>SUM(AE8:AE42)</f>
        <v>0</v>
      </c>
      <c r="AF7" s="10">
        <f>SUM(AF8:AF42)</f>
        <v>0</v>
      </c>
      <c r="AG7" s="10" t="e">
        <f>AF7/AE7*100</f>
        <v>#DIV/0!</v>
      </c>
      <c r="AH7" s="10">
        <f>SUM(AH8:AH42)</f>
        <v>0</v>
      </c>
      <c r="AI7" s="10">
        <f>SUM(AI8:AI42)</f>
        <v>0</v>
      </c>
      <c r="AJ7" s="10">
        <f>SUM(AJ8:AJ42)</f>
        <v>0</v>
      </c>
      <c r="AK7" s="10">
        <f>SUM(AK8:AK42)</f>
        <v>0</v>
      </c>
      <c r="AL7" s="10" t="e">
        <f aca="true" t="shared" si="5" ref="AL7:AL20">AK7/AJ7*100</f>
        <v>#DIV/0!</v>
      </c>
      <c r="AM7" s="10">
        <f aca="true" t="shared" si="6" ref="AM7:AR7">SUM(AM8:AM42)</f>
        <v>0</v>
      </c>
      <c r="AN7" s="10">
        <f t="shared" si="6"/>
        <v>0</v>
      </c>
      <c r="AO7" s="10">
        <f t="shared" si="6"/>
        <v>0</v>
      </c>
      <c r="AP7" s="10">
        <f t="shared" si="6"/>
        <v>0</v>
      </c>
      <c r="AQ7" s="10">
        <f t="shared" si="6"/>
        <v>0</v>
      </c>
      <c r="AR7" s="10">
        <f t="shared" si="6"/>
        <v>0</v>
      </c>
      <c r="AS7" s="55">
        <f>SUM(AS8:AS42)-AS33-AS34</f>
        <v>11499.3</v>
      </c>
      <c r="AT7" s="55">
        <f>SUM(AT8:AT42)-AT33-AT34</f>
        <v>11588.6</v>
      </c>
      <c r="AU7" s="10">
        <f aca="true" t="shared" si="7" ref="AU7:AU44">AT7/AS7*100</f>
        <v>100.77656900854836</v>
      </c>
      <c r="AV7" s="55">
        <f>SUM(AV8:AV42)-AV33-AV34</f>
        <v>-89.30000000000089</v>
      </c>
      <c r="AW7" s="55">
        <f>SUM(AW8:AW42)-AW33-AW34</f>
        <v>5530.7</v>
      </c>
      <c r="AX7" s="21">
        <f>D7+G7+J7</f>
        <v>11499.3</v>
      </c>
      <c r="AY7" s="21">
        <f>E7+H7+K7</f>
        <v>11588.599999999999</v>
      </c>
      <c r="AZ7" s="40">
        <f>C7+AX7-AY7</f>
        <v>5530.700000000001</v>
      </c>
    </row>
    <row r="8" spans="1:52" ht="34.5" customHeight="1">
      <c r="A8" s="12" t="s">
        <v>5</v>
      </c>
      <c r="B8" s="58" t="s">
        <v>49</v>
      </c>
      <c r="C8" s="85">
        <v>105.1</v>
      </c>
      <c r="D8" s="36">
        <v>265.9</v>
      </c>
      <c r="E8" s="36">
        <v>318.8</v>
      </c>
      <c r="F8" s="10">
        <f t="shared" si="0"/>
        <v>119.89469725460702</v>
      </c>
      <c r="G8" s="36">
        <v>278.2</v>
      </c>
      <c r="H8" s="36">
        <v>171.7</v>
      </c>
      <c r="I8" s="10">
        <f t="shared" si="1"/>
        <v>61.718188353702374</v>
      </c>
      <c r="J8" s="36">
        <v>251.1</v>
      </c>
      <c r="K8" s="36">
        <v>334.6</v>
      </c>
      <c r="L8" s="10">
        <f aca="true" t="shared" si="8" ref="L8:L45">K8/J8*100</f>
        <v>133.25368379131822</v>
      </c>
      <c r="M8" s="72">
        <f>D8+G8+J8</f>
        <v>795.1999999999999</v>
      </c>
      <c r="N8" s="72">
        <f>E8+H8+K8</f>
        <v>825.1</v>
      </c>
      <c r="O8" s="10"/>
      <c r="P8" s="36"/>
      <c r="Q8" s="36"/>
      <c r="R8" s="10"/>
      <c r="S8" s="36"/>
      <c r="T8" s="36"/>
      <c r="U8" s="10" t="e">
        <f t="shared" si="2"/>
        <v>#DIV/0!</v>
      </c>
      <c r="V8" s="36"/>
      <c r="W8" s="36"/>
      <c r="X8" s="10" t="e">
        <f t="shared" si="3"/>
        <v>#DIV/0!</v>
      </c>
      <c r="Y8" s="72">
        <f aca="true" t="shared" si="9" ref="Y8:Y20">P8+S8+V8</f>
        <v>0</v>
      </c>
      <c r="Z8" s="72">
        <f aca="true" t="shared" si="10" ref="Z8:Z20">Q8+T8+W8</f>
        <v>0</v>
      </c>
      <c r="AA8" s="10" t="e">
        <f t="shared" si="4"/>
        <v>#DIV/0!</v>
      </c>
      <c r="AB8" s="36"/>
      <c r="AC8" s="36"/>
      <c r="AD8" s="10"/>
      <c r="AE8" s="36"/>
      <c r="AF8" s="36"/>
      <c r="AG8" s="10"/>
      <c r="AH8" s="36"/>
      <c r="AI8" s="36"/>
      <c r="AJ8" s="72">
        <f>AB8+AE8+AH8</f>
        <v>0</v>
      </c>
      <c r="AK8" s="72">
        <f>AC8+AF8+AI8</f>
        <v>0</v>
      </c>
      <c r="AL8" s="10" t="e">
        <f t="shared" si="5"/>
        <v>#DIV/0!</v>
      </c>
      <c r="AM8" s="36"/>
      <c r="AN8" s="36"/>
      <c r="AO8" s="36"/>
      <c r="AP8" s="36"/>
      <c r="AQ8" s="36"/>
      <c r="AR8" s="36"/>
      <c r="AS8" s="59">
        <f>M8+Y8+AJ8+AM8+AO8+AQ8</f>
        <v>795.1999999999999</v>
      </c>
      <c r="AT8" s="59">
        <f>N8+Z8+AK8+AN8+AP8+AR8</f>
        <v>825.1</v>
      </c>
      <c r="AU8" s="10">
        <f t="shared" si="7"/>
        <v>103.76006036217305</v>
      </c>
      <c r="AV8" s="59">
        <f>AS8-AT8</f>
        <v>-29.90000000000009</v>
      </c>
      <c r="AW8" s="16">
        <f aca="true" t="shared" si="11" ref="AW8:AW20">C8+AS8-AT8</f>
        <v>75.19999999999993</v>
      </c>
      <c r="AX8" s="21">
        <f aca="true" t="shared" si="12" ref="AX8:AX45">D8+G8+J8</f>
        <v>795.1999999999999</v>
      </c>
      <c r="AY8" s="21">
        <f aca="true" t="shared" si="13" ref="AY8:AY45">E8+H8+K8</f>
        <v>825.1</v>
      </c>
      <c r="AZ8" s="40">
        <f aca="true" t="shared" si="14" ref="AZ8:AZ45">C8+AX8-AY8</f>
        <v>75.19999999999993</v>
      </c>
    </row>
    <row r="9" spans="1:52" ht="34.5" customHeight="1">
      <c r="A9" s="12" t="s">
        <v>6</v>
      </c>
      <c r="B9" s="60" t="s">
        <v>65</v>
      </c>
      <c r="C9" s="94">
        <v>17</v>
      </c>
      <c r="D9" s="36">
        <v>11.7</v>
      </c>
      <c r="E9" s="36">
        <v>7.8</v>
      </c>
      <c r="F9" s="10">
        <f t="shared" si="0"/>
        <v>66.66666666666667</v>
      </c>
      <c r="G9" s="36">
        <v>12.1</v>
      </c>
      <c r="H9" s="36">
        <v>16.2</v>
      </c>
      <c r="I9" s="10">
        <f t="shared" si="1"/>
        <v>133.88429752066116</v>
      </c>
      <c r="J9" s="36">
        <v>11.5</v>
      </c>
      <c r="K9" s="36">
        <v>12.5</v>
      </c>
      <c r="L9" s="10">
        <f t="shared" si="8"/>
        <v>108.69565217391303</v>
      </c>
      <c r="M9" s="72">
        <f aca="true" t="shared" si="15" ref="M9:M42">D9+G9+J9</f>
        <v>35.3</v>
      </c>
      <c r="N9" s="72">
        <f aca="true" t="shared" si="16" ref="N9:N42">E9+H9+K9</f>
        <v>36.5</v>
      </c>
      <c r="O9" s="10"/>
      <c r="P9" s="36"/>
      <c r="Q9" s="36"/>
      <c r="R9" s="10"/>
      <c r="S9" s="36"/>
      <c r="T9" s="36"/>
      <c r="U9" s="10" t="e">
        <f t="shared" si="2"/>
        <v>#DIV/0!</v>
      </c>
      <c r="V9" s="36"/>
      <c r="W9" s="36"/>
      <c r="X9" s="10" t="e">
        <f t="shared" si="3"/>
        <v>#DIV/0!</v>
      </c>
      <c r="Y9" s="72">
        <f t="shared" si="9"/>
        <v>0</v>
      </c>
      <c r="Z9" s="72">
        <f t="shared" si="10"/>
        <v>0</v>
      </c>
      <c r="AA9" s="10" t="e">
        <f t="shared" si="4"/>
        <v>#DIV/0!</v>
      </c>
      <c r="AB9" s="36"/>
      <c r="AC9" s="36"/>
      <c r="AD9" s="10"/>
      <c r="AE9" s="36"/>
      <c r="AF9" s="36"/>
      <c r="AG9" s="10"/>
      <c r="AH9" s="36"/>
      <c r="AI9" s="36"/>
      <c r="AJ9" s="72">
        <f aca="true" t="shared" si="17" ref="AJ9:AJ42">AB9+AE9+AH9</f>
        <v>0</v>
      </c>
      <c r="AK9" s="72">
        <f aca="true" t="shared" si="18" ref="AK9:AK42">AC9+AF9+AI9</f>
        <v>0</v>
      </c>
      <c r="AL9" s="10" t="e">
        <f t="shared" si="5"/>
        <v>#DIV/0!</v>
      </c>
      <c r="AM9" s="36"/>
      <c r="AN9" s="36"/>
      <c r="AO9" s="36"/>
      <c r="AP9" s="36"/>
      <c r="AQ9" s="36"/>
      <c r="AR9" s="36"/>
      <c r="AS9" s="59">
        <f aca="true" t="shared" si="19" ref="AS9:AS42">M9+Y9+AJ9+AM9+AO9+AQ9</f>
        <v>35.3</v>
      </c>
      <c r="AT9" s="59">
        <f aca="true" t="shared" si="20" ref="AT9:AT42">N9+Z9+AK9+AN9+AP9+AR9</f>
        <v>36.5</v>
      </c>
      <c r="AU9" s="10">
        <f t="shared" si="7"/>
        <v>103.39943342776206</v>
      </c>
      <c r="AV9" s="59">
        <f aca="true" t="shared" si="21" ref="AV9:AV28">AS9-AT9</f>
        <v>-1.2000000000000028</v>
      </c>
      <c r="AW9" s="16">
        <f t="shared" si="11"/>
        <v>15.799999999999997</v>
      </c>
      <c r="AX9" s="21">
        <f t="shared" si="12"/>
        <v>35.3</v>
      </c>
      <c r="AY9" s="21">
        <f t="shared" si="13"/>
        <v>36.5</v>
      </c>
      <c r="AZ9" s="40">
        <f t="shared" si="14"/>
        <v>15.799999999999997</v>
      </c>
    </row>
    <row r="10" spans="1:52" ht="34.5" customHeight="1">
      <c r="A10" s="12" t="s">
        <v>7</v>
      </c>
      <c r="B10" s="62" t="s">
        <v>95</v>
      </c>
      <c r="C10" s="85"/>
      <c r="D10" s="36"/>
      <c r="E10" s="36"/>
      <c r="F10" s="86" t="e">
        <f t="shared" si="0"/>
        <v>#DIV/0!</v>
      </c>
      <c r="G10" s="36"/>
      <c r="H10" s="36"/>
      <c r="I10" s="86" t="e">
        <f t="shared" si="1"/>
        <v>#DIV/0!</v>
      </c>
      <c r="J10" s="36"/>
      <c r="K10" s="36"/>
      <c r="L10" s="10" t="e">
        <f t="shared" si="8"/>
        <v>#DIV/0!</v>
      </c>
      <c r="M10" s="72">
        <f t="shared" si="15"/>
        <v>0</v>
      </c>
      <c r="N10" s="72">
        <f t="shared" si="16"/>
        <v>0</v>
      </c>
      <c r="O10" s="10"/>
      <c r="P10" s="36"/>
      <c r="Q10" s="36"/>
      <c r="R10" s="10"/>
      <c r="S10" s="36"/>
      <c r="T10" s="36"/>
      <c r="U10" s="10"/>
      <c r="V10" s="36"/>
      <c r="W10" s="36"/>
      <c r="X10" s="10"/>
      <c r="Y10" s="72"/>
      <c r="Z10" s="72"/>
      <c r="AA10" s="10"/>
      <c r="AB10" s="36"/>
      <c r="AC10" s="36"/>
      <c r="AD10" s="10"/>
      <c r="AE10" s="36"/>
      <c r="AF10" s="36"/>
      <c r="AG10" s="10"/>
      <c r="AH10" s="36"/>
      <c r="AI10" s="36"/>
      <c r="AJ10" s="72"/>
      <c r="AK10" s="72"/>
      <c r="AL10" s="10"/>
      <c r="AM10" s="36"/>
      <c r="AN10" s="36"/>
      <c r="AO10" s="36"/>
      <c r="AP10" s="36"/>
      <c r="AQ10" s="36"/>
      <c r="AR10" s="36"/>
      <c r="AS10" s="59"/>
      <c r="AT10" s="59"/>
      <c r="AU10" s="86"/>
      <c r="AV10" s="59"/>
      <c r="AW10" s="16"/>
      <c r="AX10" s="21">
        <f t="shared" si="12"/>
        <v>0</v>
      </c>
      <c r="AY10" s="21">
        <f t="shared" si="13"/>
        <v>0</v>
      </c>
      <c r="AZ10" s="40">
        <f t="shared" si="14"/>
        <v>0</v>
      </c>
    </row>
    <row r="11" spans="1:52" ht="34.5" customHeight="1">
      <c r="A11" s="12" t="s">
        <v>8</v>
      </c>
      <c r="B11" s="58" t="s">
        <v>50</v>
      </c>
      <c r="C11" s="85">
        <v>-16.1</v>
      </c>
      <c r="D11" s="36">
        <v>47.3</v>
      </c>
      <c r="E11" s="36">
        <v>52.2</v>
      </c>
      <c r="F11" s="10">
        <f t="shared" si="0"/>
        <v>110.35940803382664</v>
      </c>
      <c r="G11" s="36">
        <v>46.4</v>
      </c>
      <c r="H11" s="36">
        <v>45.9</v>
      </c>
      <c r="I11" s="10">
        <f t="shared" si="1"/>
        <v>98.92241379310344</v>
      </c>
      <c r="J11" s="36">
        <v>50.1</v>
      </c>
      <c r="K11" s="36">
        <v>54.4</v>
      </c>
      <c r="L11" s="10">
        <f t="shared" si="8"/>
        <v>108.58283433133732</v>
      </c>
      <c r="M11" s="72">
        <f t="shared" si="15"/>
        <v>143.79999999999998</v>
      </c>
      <c r="N11" s="72">
        <f t="shared" si="16"/>
        <v>152.5</v>
      </c>
      <c r="O11" s="10"/>
      <c r="P11" s="36"/>
      <c r="Q11" s="36"/>
      <c r="R11" s="10"/>
      <c r="S11" s="36"/>
      <c r="T11" s="36"/>
      <c r="U11" s="10" t="e">
        <f t="shared" si="2"/>
        <v>#DIV/0!</v>
      </c>
      <c r="V11" s="36"/>
      <c r="W11" s="36"/>
      <c r="X11" s="10" t="e">
        <f t="shared" si="3"/>
        <v>#DIV/0!</v>
      </c>
      <c r="Y11" s="72">
        <f t="shared" si="9"/>
        <v>0</v>
      </c>
      <c r="Z11" s="72">
        <f t="shared" si="10"/>
        <v>0</v>
      </c>
      <c r="AA11" s="10" t="e">
        <f t="shared" si="4"/>
        <v>#DIV/0!</v>
      </c>
      <c r="AB11" s="36"/>
      <c r="AC11" s="36"/>
      <c r="AD11" s="10"/>
      <c r="AE11" s="36"/>
      <c r="AF11" s="36"/>
      <c r="AG11" s="10"/>
      <c r="AH11" s="36"/>
      <c r="AI11" s="36"/>
      <c r="AJ11" s="72">
        <f t="shared" si="17"/>
        <v>0</v>
      </c>
      <c r="AK11" s="72">
        <f t="shared" si="18"/>
        <v>0</v>
      </c>
      <c r="AL11" s="10" t="e">
        <f t="shared" si="5"/>
        <v>#DIV/0!</v>
      </c>
      <c r="AM11" s="36"/>
      <c r="AN11" s="36"/>
      <c r="AO11" s="36"/>
      <c r="AP11" s="36"/>
      <c r="AQ11" s="36"/>
      <c r="AR11" s="36"/>
      <c r="AS11" s="59">
        <f t="shared" si="19"/>
        <v>143.79999999999998</v>
      </c>
      <c r="AT11" s="59">
        <f t="shared" si="20"/>
        <v>152.5</v>
      </c>
      <c r="AU11" s="10">
        <f t="shared" si="7"/>
        <v>106.05006954102922</v>
      </c>
      <c r="AV11" s="59">
        <f t="shared" si="21"/>
        <v>-8.700000000000017</v>
      </c>
      <c r="AW11" s="16">
        <f t="shared" si="11"/>
        <v>-24.80000000000001</v>
      </c>
      <c r="AX11" s="21">
        <f t="shared" si="12"/>
        <v>143.79999999999998</v>
      </c>
      <c r="AY11" s="21">
        <f t="shared" si="13"/>
        <v>152.5</v>
      </c>
      <c r="AZ11" s="40">
        <f t="shared" si="14"/>
        <v>-24.80000000000001</v>
      </c>
    </row>
    <row r="12" spans="1:52" ht="34.5" customHeight="1">
      <c r="A12" s="12" t="s">
        <v>9</v>
      </c>
      <c r="B12" s="58" t="s">
        <v>51</v>
      </c>
      <c r="C12" s="85">
        <v>13.5</v>
      </c>
      <c r="D12" s="36">
        <v>10.8</v>
      </c>
      <c r="E12" s="36">
        <v>15.4</v>
      </c>
      <c r="F12" s="10">
        <f t="shared" si="0"/>
        <v>142.59259259259258</v>
      </c>
      <c r="G12" s="36">
        <v>13.9</v>
      </c>
      <c r="H12" s="36">
        <v>13.9</v>
      </c>
      <c r="I12" s="10">
        <f t="shared" si="1"/>
        <v>100</v>
      </c>
      <c r="J12" s="36">
        <v>11.5</v>
      </c>
      <c r="K12" s="36">
        <v>12.9</v>
      </c>
      <c r="L12" s="10">
        <f t="shared" si="8"/>
        <v>112.17391304347825</v>
      </c>
      <c r="M12" s="72">
        <f t="shared" si="15"/>
        <v>36.2</v>
      </c>
      <c r="N12" s="72">
        <f t="shared" si="16"/>
        <v>42.2</v>
      </c>
      <c r="O12" s="10"/>
      <c r="P12" s="36"/>
      <c r="Q12" s="36"/>
      <c r="R12" s="10"/>
      <c r="S12" s="36"/>
      <c r="T12" s="36"/>
      <c r="U12" s="10" t="e">
        <f t="shared" si="2"/>
        <v>#DIV/0!</v>
      </c>
      <c r="V12" s="36"/>
      <c r="W12" s="36"/>
      <c r="X12" s="10" t="e">
        <f t="shared" si="3"/>
        <v>#DIV/0!</v>
      </c>
      <c r="Y12" s="72">
        <f t="shared" si="9"/>
        <v>0</v>
      </c>
      <c r="Z12" s="72">
        <f t="shared" si="10"/>
        <v>0</v>
      </c>
      <c r="AA12" s="10" t="e">
        <f t="shared" si="4"/>
        <v>#DIV/0!</v>
      </c>
      <c r="AB12" s="36"/>
      <c r="AC12" s="36"/>
      <c r="AD12" s="10"/>
      <c r="AE12" s="36"/>
      <c r="AF12" s="36"/>
      <c r="AG12" s="104"/>
      <c r="AH12" s="36"/>
      <c r="AI12" s="36"/>
      <c r="AJ12" s="72">
        <f t="shared" si="17"/>
        <v>0</v>
      </c>
      <c r="AK12" s="72">
        <f t="shared" si="18"/>
        <v>0</v>
      </c>
      <c r="AL12" s="10" t="e">
        <f t="shared" si="5"/>
        <v>#DIV/0!</v>
      </c>
      <c r="AM12" s="36"/>
      <c r="AN12" s="36"/>
      <c r="AO12" s="36"/>
      <c r="AP12" s="36"/>
      <c r="AQ12" s="36"/>
      <c r="AR12" s="36"/>
      <c r="AS12" s="59">
        <f t="shared" si="19"/>
        <v>36.2</v>
      </c>
      <c r="AT12" s="59">
        <f t="shared" si="20"/>
        <v>42.2</v>
      </c>
      <c r="AU12" s="10">
        <f t="shared" si="7"/>
        <v>116.57458563535911</v>
      </c>
      <c r="AV12" s="59">
        <f t="shared" si="21"/>
        <v>-6</v>
      </c>
      <c r="AW12" s="16">
        <f t="shared" si="11"/>
        <v>7.5</v>
      </c>
      <c r="AX12" s="21">
        <f t="shared" si="12"/>
        <v>36.2</v>
      </c>
      <c r="AY12" s="21">
        <f t="shared" si="13"/>
        <v>42.2</v>
      </c>
      <c r="AZ12" s="40">
        <f t="shared" si="14"/>
        <v>7.5</v>
      </c>
    </row>
    <row r="13" spans="1:52" ht="34.5" customHeight="1">
      <c r="A13" s="12" t="s">
        <v>10</v>
      </c>
      <c r="B13" s="58" t="s">
        <v>52</v>
      </c>
      <c r="C13" s="85">
        <v>28.1</v>
      </c>
      <c r="D13" s="36">
        <v>42.9</v>
      </c>
      <c r="E13" s="36">
        <v>25.3</v>
      </c>
      <c r="F13" s="10">
        <f t="shared" si="0"/>
        <v>58.97435897435898</v>
      </c>
      <c r="G13" s="36">
        <v>39.3</v>
      </c>
      <c r="H13" s="36">
        <v>39.9</v>
      </c>
      <c r="I13" s="10">
        <f t="shared" si="1"/>
        <v>101.52671755725191</v>
      </c>
      <c r="J13" s="36">
        <v>42.6</v>
      </c>
      <c r="K13" s="36">
        <v>42.6</v>
      </c>
      <c r="L13" s="10">
        <f t="shared" si="8"/>
        <v>100</v>
      </c>
      <c r="M13" s="72">
        <f t="shared" si="15"/>
        <v>124.79999999999998</v>
      </c>
      <c r="N13" s="72">
        <f t="shared" si="16"/>
        <v>107.80000000000001</v>
      </c>
      <c r="O13" s="10"/>
      <c r="P13" s="36"/>
      <c r="Q13" s="36"/>
      <c r="R13" s="103"/>
      <c r="S13" s="36"/>
      <c r="T13" s="36"/>
      <c r="U13" s="103" t="e">
        <f t="shared" si="2"/>
        <v>#DIV/0!</v>
      </c>
      <c r="V13" s="36"/>
      <c r="W13" s="36"/>
      <c r="X13" s="10" t="e">
        <f t="shared" si="3"/>
        <v>#DIV/0!</v>
      </c>
      <c r="Y13" s="72">
        <f t="shared" si="9"/>
        <v>0</v>
      </c>
      <c r="Z13" s="72">
        <f t="shared" si="10"/>
        <v>0</v>
      </c>
      <c r="AA13" s="10" t="e">
        <f t="shared" si="4"/>
        <v>#DIV/0!</v>
      </c>
      <c r="AB13" s="36"/>
      <c r="AC13" s="36"/>
      <c r="AD13" s="10"/>
      <c r="AE13" s="36"/>
      <c r="AF13" s="36"/>
      <c r="AG13" s="10"/>
      <c r="AH13" s="36"/>
      <c r="AI13" s="36"/>
      <c r="AJ13" s="72">
        <f t="shared" si="17"/>
        <v>0</v>
      </c>
      <c r="AK13" s="72">
        <f t="shared" si="18"/>
        <v>0</v>
      </c>
      <c r="AL13" s="10" t="e">
        <f t="shared" si="5"/>
        <v>#DIV/0!</v>
      </c>
      <c r="AM13" s="36"/>
      <c r="AN13" s="36"/>
      <c r="AO13" s="36"/>
      <c r="AP13" s="36"/>
      <c r="AQ13" s="36"/>
      <c r="AR13" s="36"/>
      <c r="AS13" s="59">
        <f t="shared" si="19"/>
        <v>124.79999999999998</v>
      </c>
      <c r="AT13" s="59">
        <f t="shared" si="20"/>
        <v>107.80000000000001</v>
      </c>
      <c r="AU13" s="10">
        <f t="shared" si="7"/>
        <v>86.37820512820515</v>
      </c>
      <c r="AV13" s="59">
        <f t="shared" si="21"/>
        <v>16.99999999999997</v>
      </c>
      <c r="AW13" s="16">
        <f t="shared" si="11"/>
        <v>45.099999999999966</v>
      </c>
      <c r="AX13" s="21">
        <f t="shared" si="12"/>
        <v>124.79999999999998</v>
      </c>
      <c r="AY13" s="21">
        <f t="shared" si="13"/>
        <v>107.80000000000001</v>
      </c>
      <c r="AZ13" s="40">
        <f t="shared" si="14"/>
        <v>45.099999999999966</v>
      </c>
    </row>
    <row r="14" spans="1:52" ht="34.5" customHeight="1">
      <c r="A14" s="12" t="s">
        <v>11</v>
      </c>
      <c r="B14" s="58" t="s">
        <v>96</v>
      </c>
      <c r="C14" s="85">
        <v>-0.3</v>
      </c>
      <c r="D14" s="36">
        <v>6.3</v>
      </c>
      <c r="E14" s="36">
        <v>6.1</v>
      </c>
      <c r="F14" s="10">
        <f t="shared" si="0"/>
        <v>96.82539682539682</v>
      </c>
      <c r="G14" s="36">
        <v>8.3</v>
      </c>
      <c r="H14" s="36">
        <v>8.5</v>
      </c>
      <c r="I14" s="10">
        <f t="shared" si="1"/>
        <v>102.40963855421685</v>
      </c>
      <c r="J14" s="36">
        <v>8.4</v>
      </c>
      <c r="K14" s="36">
        <v>8.2</v>
      </c>
      <c r="L14" s="10">
        <f t="shared" si="8"/>
        <v>97.6190476190476</v>
      </c>
      <c r="M14" s="72">
        <f t="shared" si="15"/>
        <v>23</v>
      </c>
      <c r="N14" s="72">
        <f t="shared" si="16"/>
        <v>22.799999999999997</v>
      </c>
      <c r="O14" s="10"/>
      <c r="P14" s="36"/>
      <c r="Q14" s="36"/>
      <c r="R14" s="10"/>
      <c r="S14" s="36"/>
      <c r="T14" s="36"/>
      <c r="U14" s="10" t="e">
        <f t="shared" si="2"/>
        <v>#DIV/0!</v>
      </c>
      <c r="V14" s="36"/>
      <c r="W14" s="36"/>
      <c r="X14" s="10" t="e">
        <f t="shared" si="3"/>
        <v>#DIV/0!</v>
      </c>
      <c r="Y14" s="72">
        <f t="shared" si="9"/>
        <v>0</v>
      </c>
      <c r="Z14" s="72">
        <f t="shared" si="10"/>
        <v>0</v>
      </c>
      <c r="AA14" s="10" t="e">
        <f t="shared" si="4"/>
        <v>#DIV/0!</v>
      </c>
      <c r="AB14" s="36"/>
      <c r="AC14" s="36"/>
      <c r="AD14" s="10"/>
      <c r="AE14" s="36"/>
      <c r="AF14" s="36"/>
      <c r="AG14" s="10"/>
      <c r="AH14" s="36"/>
      <c r="AI14" s="36"/>
      <c r="AJ14" s="72">
        <f t="shared" si="17"/>
        <v>0</v>
      </c>
      <c r="AK14" s="72">
        <f t="shared" si="18"/>
        <v>0</v>
      </c>
      <c r="AL14" s="10" t="e">
        <f t="shared" si="5"/>
        <v>#DIV/0!</v>
      </c>
      <c r="AM14" s="36"/>
      <c r="AN14" s="36"/>
      <c r="AO14" s="36"/>
      <c r="AP14" s="36"/>
      <c r="AQ14" s="36"/>
      <c r="AR14" s="36"/>
      <c r="AS14" s="59">
        <f t="shared" si="19"/>
        <v>23</v>
      </c>
      <c r="AT14" s="59">
        <f t="shared" si="20"/>
        <v>22.799999999999997</v>
      </c>
      <c r="AU14" s="10">
        <f t="shared" si="7"/>
        <v>99.13043478260867</v>
      </c>
      <c r="AV14" s="59">
        <f t="shared" si="21"/>
        <v>0.20000000000000284</v>
      </c>
      <c r="AW14" s="16">
        <f t="shared" si="11"/>
        <v>-0.09999999999999787</v>
      </c>
      <c r="AX14" s="21">
        <f t="shared" si="12"/>
        <v>23</v>
      </c>
      <c r="AY14" s="21">
        <f t="shared" si="13"/>
        <v>22.799999999999997</v>
      </c>
      <c r="AZ14" s="40">
        <f t="shared" si="14"/>
        <v>-0.09999999999999787</v>
      </c>
    </row>
    <row r="15" spans="1:52" ht="34.5" customHeight="1">
      <c r="A15" s="12" t="s">
        <v>12</v>
      </c>
      <c r="B15" s="58" t="s">
        <v>53</v>
      </c>
      <c r="C15" s="85">
        <v>556.2</v>
      </c>
      <c r="D15" s="36">
        <v>135.6</v>
      </c>
      <c r="E15" s="36">
        <v>140.6</v>
      </c>
      <c r="F15" s="10">
        <f t="shared" si="0"/>
        <v>103.6873156342183</v>
      </c>
      <c r="G15" s="36">
        <v>147.2</v>
      </c>
      <c r="H15" s="36">
        <v>61.2</v>
      </c>
      <c r="I15" s="10">
        <f t="shared" si="1"/>
        <v>41.57608695652175</v>
      </c>
      <c r="J15" s="36">
        <v>153.2</v>
      </c>
      <c r="K15" s="36">
        <v>577.4</v>
      </c>
      <c r="L15" s="10">
        <f t="shared" si="8"/>
        <v>376.89295039164494</v>
      </c>
      <c r="M15" s="72">
        <f t="shared" si="15"/>
        <v>435.99999999999994</v>
      </c>
      <c r="N15" s="72">
        <f t="shared" si="16"/>
        <v>779.2</v>
      </c>
      <c r="O15" s="10"/>
      <c r="P15" s="36"/>
      <c r="Q15" s="36"/>
      <c r="R15" s="103"/>
      <c r="S15" s="36"/>
      <c r="T15" s="36"/>
      <c r="U15" s="103" t="e">
        <f t="shared" si="2"/>
        <v>#DIV/0!</v>
      </c>
      <c r="V15" s="36"/>
      <c r="W15" s="36"/>
      <c r="X15" s="10" t="e">
        <f t="shared" si="3"/>
        <v>#DIV/0!</v>
      </c>
      <c r="Y15" s="72">
        <f t="shared" si="9"/>
        <v>0</v>
      </c>
      <c r="Z15" s="72">
        <f t="shared" si="10"/>
        <v>0</v>
      </c>
      <c r="AA15" s="10" t="e">
        <f t="shared" si="4"/>
        <v>#DIV/0!</v>
      </c>
      <c r="AB15" s="36"/>
      <c r="AC15" s="36"/>
      <c r="AD15" s="10"/>
      <c r="AE15" s="36"/>
      <c r="AF15" s="36"/>
      <c r="AG15" s="10"/>
      <c r="AH15" s="36"/>
      <c r="AI15" s="36"/>
      <c r="AJ15" s="72">
        <f t="shared" si="17"/>
        <v>0</v>
      </c>
      <c r="AK15" s="72">
        <f t="shared" si="18"/>
        <v>0</v>
      </c>
      <c r="AL15" s="10" t="e">
        <f t="shared" si="5"/>
        <v>#DIV/0!</v>
      </c>
      <c r="AM15" s="36"/>
      <c r="AN15" s="36"/>
      <c r="AO15" s="36"/>
      <c r="AP15" s="36"/>
      <c r="AQ15" s="36"/>
      <c r="AR15" s="36"/>
      <c r="AS15" s="59">
        <f t="shared" si="19"/>
        <v>435.99999999999994</v>
      </c>
      <c r="AT15" s="59">
        <f t="shared" si="20"/>
        <v>779.2</v>
      </c>
      <c r="AU15" s="10">
        <f t="shared" si="7"/>
        <v>178.71559633027528</v>
      </c>
      <c r="AV15" s="59">
        <f t="shared" si="21"/>
        <v>-343.2000000000001</v>
      </c>
      <c r="AW15" s="16">
        <f t="shared" si="11"/>
        <v>213</v>
      </c>
      <c r="AX15" s="21">
        <f t="shared" si="12"/>
        <v>435.99999999999994</v>
      </c>
      <c r="AY15" s="21">
        <f t="shared" si="13"/>
        <v>779.2</v>
      </c>
      <c r="AZ15" s="40">
        <f t="shared" si="14"/>
        <v>213</v>
      </c>
    </row>
    <row r="16" spans="1:52" ht="34.5" customHeight="1">
      <c r="A16" s="12" t="s">
        <v>13</v>
      </c>
      <c r="B16" s="58" t="s">
        <v>54</v>
      </c>
      <c r="C16" s="91">
        <v>1.3</v>
      </c>
      <c r="D16" s="36">
        <v>0.9</v>
      </c>
      <c r="E16" s="36">
        <v>0.9</v>
      </c>
      <c r="F16" s="10">
        <f t="shared" si="0"/>
        <v>100</v>
      </c>
      <c r="G16" s="36">
        <v>0.8</v>
      </c>
      <c r="H16" s="36">
        <v>0.6</v>
      </c>
      <c r="I16" s="10">
        <f t="shared" si="1"/>
        <v>74.99999999999999</v>
      </c>
      <c r="J16" s="36">
        <v>0.9</v>
      </c>
      <c r="K16" s="36">
        <v>0.9</v>
      </c>
      <c r="L16" s="10">
        <f t="shared" si="8"/>
        <v>100</v>
      </c>
      <c r="M16" s="72">
        <f t="shared" si="15"/>
        <v>2.6</v>
      </c>
      <c r="N16" s="72">
        <f t="shared" si="16"/>
        <v>2.4</v>
      </c>
      <c r="O16" s="10"/>
      <c r="P16" s="36"/>
      <c r="Q16" s="36"/>
      <c r="R16" s="10"/>
      <c r="S16" s="36"/>
      <c r="T16" s="36"/>
      <c r="U16" s="10" t="e">
        <f t="shared" si="2"/>
        <v>#DIV/0!</v>
      </c>
      <c r="V16" s="36"/>
      <c r="W16" s="36"/>
      <c r="X16" s="10" t="e">
        <f t="shared" si="3"/>
        <v>#DIV/0!</v>
      </c>
      <c r="Y16" s="72">
        <f t="shared" si="9"/>
        <v>0</v>
      </c>
      <c r="Z16" s="72">
        <f t="shared" si="10"/>
        <v>0</v>
      </c>
      <c r="AA16" s="10" t="e">
        <f t="shared" si="4"/>
        <v>#DIV/0!</v>
      </c>
      <c r="AB16" s="36"/>
      <c r="AC16" s="36"/>
      <c r="AD16" s="10"/>
      <c r="AE16" s="36"/>
      <c r="AF16" s="36"/>
      <c r="AG16" s="10"/>
      <c r="AH16" s="36"/>
      <c r="AI16" s="36"/>
      <c r="AJ16" s="72">
        <f t="shared" si="17"/>
        <v>0</v>
      </c>
      <c r="AK16" s="72">
        <f t="shared" si="18"/>
        <v>0</v>
      </c>
      <c r="AL16" s="10" t="e">
        <f t="shared" si="5"/>
        <v>#DIV/0!</v>
      </c>
      <c r="AM16" s="36"/>
      <c r="AN16" s="36"/>
      <c r="AO16" s="36"/>
      <c r="AP16" s="36"/>
      <c r="AQ16" s="36"/>
      <c r="AR16" s="36"/>
      <c r="AS16" s="59">
        <f t="shared" si="19"/>
        <v>2.6</v>
      </c>
      <c r="AT16" s="59">
        <f t="shared" si="20"/>
        <v>2.4</v>
      </c>
      <c r="AU16" s="10">
        <f t="shared" si="7"/>
        <v>92.3076923076923</v>
      </c>
      <c r="AV16" s="59">
        <f>AS16-AT16</f>
        <v>0.20000000000000018</v>
      </c>
      <c r="AW16" s="16">
        <f t="shared" si="11"/>
        <v>1.5000000000000004</v>
      </c>
      <c r="AX16" s="21">
        <f t="shared" si="12"/>
        <v>2.6</v>
      </c>
      <c r="AY16" s="21">
        <f t="shared" si="13"/>
        <v>2.4</v>
      </c>
      <c r="AZ16" s="40">
        <f t="shared" si="14"/>
        <v>1.5000000000000004</v>
      </c>
    </row>
    <row r="17" spans="1:52" ht="34.5" customHeight="1">
      <c r="A17" s="12" t="s">
        <v>14</v>
      </c>
      <c r="B17" s="62" t="s">
        <v>97</v>
      </c>
      <c r="C17" s="91">
        <f>394.4+70</f>
        <v>464.4</v>
      </c>
      <c r="D17" s="36">
        <f>170+59.6</f>
        <v>229.6</v>
      </c>
      <c r="E17" s="36">
        <f>74.6+57.1</f>
        <v>131.7</v>
      </c>
      <c r="F17" s="10">
        <f t="shared" si="0"/>
        <v>57.36062717770034</v>
      </c>
      <c r="G17" s="36">
        <f>136.7+53.1</f>
        <v>189.79999999999998</v>
      </c>
      <c r="H17" s="36">
        <f>165.8+52.7</f>
        <v>218.5</v>
      </c>
      <c r="I17" s="10">
        <f t="shared" si="1"/>
        <v>115.12118018967334</v>
      </c>
      <c r="J17" s="36">
        <f>130.1+49.1</f>
        <v>179.2</v>
      </c>
      <c r="K17" s="36">
        <f>163.3+41.7</f>
        <v>205</v>
      </c>
      <c r="L17" s="10">
        <f t="shared" si="8"/>
        <v>114.39732142857144</v>
      </c>
      <c r="M17" s="72">
        <f t="shared" si="15"/>
        <v>598.5999999999999</v>
      </c>
      <c r="N17" s="72">
        <f t="shared" si="16"/>
        <v>555.2</v>
      </c>
      <c r="O17" s="10"/>
      <c r="P17" s="36"/>
      <c r="Q17" s="36"/>
      <c r="R17" s="10"/>
      <c r="S17" s="36"/>
      <c r="T17" s="36"/>
      <c r="U17" s="10" t="e">
        <f t="shared" si="2"/>
        <v>#DIV/0!</v>
      </c>
      <c r="V17" s="36"/>
      <c r="W17" s="36"/>
      <c r="X17" s="10" t="e">
        <f t="shared" si="3"/>
        <v>#DIV/0!</v>
      </c>
      <c r="Y17" s="72">
        <f t="shared" si="9"/>
        <v>0</v>
      </c>
      <c r="Z17" s="72">
        <f t="shared" si="10"/>
        <v>0</v>
      </c>
      <c r="AA17" s="10" t="e">
        <f t="shared" si="4"/>
        <v>#DIV/0!</v>
      </c>
      <c r="AB17" s="36"/>
      <c r="AC17" s="36"/>
      <c r="AD17" s="10"/>
      <c r="AE17" s="36"/>
      <c r="AF17" s="36"/>
      <c r="AG17" s="10"/>
      <c r="AH17" s="36"/>
      <c r="AI17" s="36"/>
      <c r="AJ17" s="72">
        <f t="shared" si="17"/>
        <v>0</v>
      </c>
      <c r="AK17" s="72">
        <f t="shared" si="18"/>
        <v>0</v>
      </c>
      <c r="AL17" s="10" t="e">
        <f t="shared" si="5"/>
        <v>#DIV/0!</v>
      </c>
      <c r="AM17" s="36"/>
      <c r="AN17" s="36"/>
      <c r="AO17" s="36"/>
      <c r="AP17" s="36"/>
      <c r="AQ17" s="36"/>
      <c r="AR17" s="36"/>
      <c r="AS17" s="59">
        <f t="shared" si="19"/>
        <v>598.5999999999999</v>
      </c>
      <c r="AT17" s="59">
        <f t="shared" si="20"/>
        <v>555.2</v>
      </c>
      <c r="AU17" s="10">
        <f t="shared" si="7"/>
        <v>92.74974941530239</v>
      </c>
      <c r="AV17" s="59">
        <f t="shared" si="21"/>
        <v>43.399999999999864</v>
      </c>
      <c r="AW17" s="16">
        <f t="shared" si="11"/>
        <v>507.79999999999995</v>
      </c>
      <c r="AX17" s="21">
        <f t="shared" si="12"/>
        <v>598.5999999999999</v>
      </c>
      <c r="AY17" s="21">
        <f t="shared" si="13"/>
        <v>555.2</v>
      </c>
      <c r="AZ17" s="40">
        <f t="shared" si="14"/>
        <v>507.79999999999995</v>
      </c>
    </row>
    <row r="18" spans="1:52" ht="34.5" customHeight="1">
      <c r="A18" s="12" t="s">
        <v>15</v>
      </c>
      <c r="B18" s="62" t="s">
        <v>55</v>
      </c>
      <c r="C18" s="85">
        <v>10.8</v>
      </c>
      <c r="D18" s="36">
        <v>11</v>
      </c>
      <c r="E18" s="36">
        <v>13.1</v>
      </c>
      <c r="F18" s="10">
        <f t="shared" si="0"/>
        <v>119.0909090909091</v>
      </c>
      <c r="G18" s="36">
        <v>9.8</v>
      </c>
      <c r="H18" s="36">
        <v>6.3</v>
      </c>
      <c r="I18" s="10">
        <f t="shared" si="1"/>
        <v>64.28571428571428</v>
      </c>
      <c r="J18" s="36">
        <v>12.1</v>
      </c>
      <c r="K18" s="36">
        <v>15.7</v>
      </c>
      <c r="L18" s="10">
        <f t="shared" si="8"/>
        <v>129.75206611570246</v>
      </c>
      <c r="M18" s="72">
        <f t="shared" si="15"/>
        <v>32.9</v>
      </c>
      <c r="N18" s="72">
        <f t="shared" si="16"/>
        <v>35.099999999999994</v>
      </c>
      <c r="O18" s="10"/>
      <c r="P18" s="36"/>
      <c r="Q18" s="36"/>
      <c r="R18" s="10"/>
      <c r="S18" s="36"/>
      <c r="T18" s="36"/>
      <c r="U18" s="10" t="e">
        <f t="shared" si="2"/>
        <v>#DIV/0!</v>
      </c>
      <c r="V18" s="36"/>
      <c r="W18" s="36"/>
      <c r="X18" s="10" t="e">
        <f t="shared" si="3"/>
        <v>#DIV/0!</v>
      </c>
      <c r="Y18" s="72">
        <f t="shared" si="9"/>
        <v>0</v>
      </c>
      <c r="Z18" s="72">
        <f t="shared" si="10"/>
        <v>0</v>
      </c>
      <c r="AA18" s="10" t="e">
        <f t="shared" si="4"/>
        <v>#DIV/0!</v>
      </c>
      <c r="AB18" s="36"/>
      <c r="AC18" s="36"/>
      <c r="AD18" s="10"/>
      <c r="AE18" s="36"/>
      <c r="AF18" s="36"/>
      <c r="AG18" s="10"/>
      <c r="AH18" s="36"/>
      <c r="AI18" s="36"/>
      <c r="AJ18" s="72">
        <f t="shared" si="17"/>
        <v>0</v>
      </c>
      <c r="AK18" s="72">
        <f t="shared" si="18"/>
        <v>0</v>
      </c>
      <c r="AL18" s="10" t="e">
        <f t="shared" si="5"/>
        <v>#DIV/0!</v>
      </c>
      <c r="AM18" s="36"/>
      <c r="AN18" s="36"/>
      <c r="AO18" s="36"/>
      <c r="AP18" s="36"/>
      <c r="AQ18" s="36"/>
      <c r="AR18" s="36"/>
      <c r="AS18" s="59">
        <f t="shared" si="19"/>
        <v>32.9</v>
      </c>
      <c r="AT18" s="59">
        <f t="shared" si="20"/>
        <v>35.099999999999994</v>
      </c>
      <c r="AU18" s="10">
        <f t="shared" si="7"/>
        <v>106.68693009118539</v>
      </c>
      <c r="AV18" s="59">
        <f t="shared" si="21"/>
        <v>-2.1999999999999957</v>
      </c>
      <c r="AW18" s="16">
        <f t="shared" si="11"/>
        <v>8.600000000000009</v>
      </c>
      <c r="AX18" s="21">
        <f t="shared" si="12"/>
        <v>32.9</v>
      </c>
      <c r="AY18" s="21">
        <f t="shared" si="13"/>
        <v>35.099999999999994</v>
      </c>
      <c r="AZ18" s="40">
        <f t="shared" si="14"/>
        <v>8.600000000000009</v>
      </c>
    </row>
    <row r="19" spans="1:52" ht="34.5" customHeight="1">
      <c r="A19" s="12" t="s">
        <v>16</v>
      </c>
      <c r="B19" s="58" t="s">
        <v>56</v>
      </c>
      <c r="C19" s="85">
        <v>366.1</v>
      </c>
      <c r="D19" s="36">
        <v>187.9</v>
      </c>
      <c r="E19" s="36">
        <v>85.7</v>
      </c>
      <c r="F19" s="10">
        <f t="shared" si="0"/>
        <v>45.6093666844066</v>
      </c>
      <c r="G19" s="36">
        <v>187.7</v>
      </c>
      <c r="H19" s="36">
        <v>230.2</v>
      </c>
      <c r="I19" s="10">
        <f t="shared" si="1"/>
        <v>122.64251465103891</v>
      </c>
      <c r="J19" s="36">
        <v>173.2</v>
      </c>
      <c r="K19" s="36">
        <v>255.5</v>
      </c>
      <c r="L19" s="10">
        <f t="shared" si="8"/>
        <v>147.51732101616628</v>
      </c>
      <c r="M19" s="72">
        <f t="shared" si="15"/>
        <v>548.8</v>
      </c>
      <c r="N19" s="72">
        <f t="shared" si="16"/>
        <v>571.4</v>
      </c>
      <c r="O19" s="10"/>
      <c r="P19" s="36"/>
      <c r="Q19" s="36"/>
      <c r="R19" s="103"/>
      <c r="S19" s="36"/>
      <c r="T19" s="36"/>
      <c r="U19" s="103" t="e">
        <f t="shared" si="2"/>
        <v>#DIV/0!</v>
      </c>
      <c r="V19" s="36"/>
      <c r="W19" s="36"/>
      <c r="X19" s="10" t="e">
        <f t="shared" si="3"/>
        <v>#DIV/0!</v>
      </c>
      <c r="Y19" s="72">
        <f t="shared" si="9"/>
        <v>0</v>
      </c>
      <c r="Z19" s="72">
        <f t="shared" si="10"/>
        <v>0</v>
      </c>
      <c r="AA19" s="10" t="e">
        <f t="shared" si="4"/>
        <v>#DIV/0!</v>
      </c>
      <c r="AB19" s="36"/>
      <c r="AC19" s="36"/>
      <c r="AD19" s="10"/>
      <c r="AE19" s="36"/>
      <c r="AF19" s="36"/>
      <c r="AG19" s="104"/>
      <c r="AH19" s="36"/>
      <c r="AI19" s="36"/>
      <c r="AJ19" s="72">
        <f t="shared" si="17"/>
        <v>0</v>
      </c>
      <c r="AK19" s="72">
        <f t="shared" si="18"/>
        <v>0</v>
      </c>
      <c r="AL19" s="10" t="e">
        <f t="shared" si="5"/>
        <v>#DIV/0!</v>
      </c>
      <c r="AM19" s="36"/>
      <c r="AN19" s="36"/>
      <c r="AO19" s="36"/>
      <c r="AP19" s="36"/>
      <c r="AQ19" s="36"/>
      <c r="AR19" s="36"/>
      <c r="AS19" s="59">
        <f t="shared" si="19"/>
        <v>548.8</v>
      </c>
      <c r="AT19" s="59">
        <f t="shared" si="20"/>
        <v>571.4</v>
      </c>
      <c r="AU19" s="10">
        <f t="shared" si="7"/>
        <v>104.11807580174927</v>
      </c>
      <c r="AV19" s="59">
        <f t="shared" si="21"/>
        <v>-22.600000000000023</v>
      </c>
      <c r="AW19" s="16">
        <f t="shared" si="11"/>
        <v>343.5</v>
      </c>
      <c r="AX19" s="21">
        <f t="shared" si="12"/>
        <v>548.8</v>
      </c>
      <c r="AY19" s="21">
        <f t="shared" si="13"/>
        <v>571.4</v>
      </c>
      <c r="AZ19" s="40">
        <f t="shared" si="14"/>
        <v>343.5</v>
      </c>
    </row>
    <row r="20" spans="1:52" ht="34.5" customHeight="1">
      <c r="A20" s="12" t="s">
        <v>17</v>
      </c>
      <c r="B20" s="62" t="s">
        <v>57</v>
      </c>
      <c r="C20" s="92">
        <v>-49.7</v>
      </c>
      <c r="D20" s="36">
        <v>6.5</v>
      </c>
      <c r="E20" s="36">
        <v>3.3</v>
      </c>
      <c r="F20" s="10">
        <f t="shared" si="0"/>
        <v>50.76923076923077</v>
      </c>
      <c r="G20" s="36">
        <v>5.2</v>
      </c>
      <c r="H20" s="36">
        <v>4.1</v>
      </c>
      <c r="I20" s="10">
        <f t="shared" si="1"/>
        <v>78.84615384615384</v>
      </c>
      <c r="J20" s="36">
        <v>6.5</v>
      </c>
      <c r="K20" s="36">
        <v>3.6</v>
      </c>
      <c r="L20" s="10">
        <f t="shared" si="8"/>
        <v>55.38461538461539</v>
      </c>
      <c r="M20" s="72">
        <f t="shared" si="15"/>
        <v>18.2</v>
      </c>
      <c r="N20" s="72">
        <f t="shared" si="16"/>
        <v>11</v>
      </c>
      <c r="O20" s="10"/>
      <c r="P20" s="36"/>
      <c r="Q20" s="36"/>
      <c r="R20" s="103"/>
      <c r="S20" s="36"/>
      <c r="T20" s="36"/>
      <c r="U20" s="103" t="e">
        <f t="shared" si="2"/>
        <v>#DIV/0!</v>
      </c>
      <c r="V20" s="36"/>
      <c r="W20" s="36"/>
      <c r="X20" s="10" t="e">
        <f t="shared" si="3"/>
        <v>#DIV/0!</v>
      </c>
      <c r="Y20" s="72">
        <f t="shared" si="9"/>
        <v>0</v>
      </c>
      <c r="Z20" s="72">
        <f t="shared" si="10"/>
        <v>0</v>
      </c>
      <c r="AA20" s="10" t="e">
        <f t="shared" si="4"/>
        <v>#DIV/0!</v>
      </c>
      <c r="AB20" s="36"/>
      <c r="AC20" s="36"/>
      <c r="AD20" s="10"/>
      <c r="AE20" s="36"/>
      <c r="AF20" s="36"/>
      <c r="AG20" s="10"/>
      <c r="AH20" s="36"/>
      <c r="AI20" s="36"/>
      <c r="AJ20" s="72">
        <f t="shared" si="17"/>
        <v>0</v>
      </c>
      <c r="AK20" s="72">
        <f t="shared" si="18"/>
        <v>0</v>
      </c>
      <c r="AL20" s="10" t="e">
        <f t="shared" si="5"/>
        <v>#DIV/0!</v>
      </c>
      <c r="AM20" s="36"/>
      <c r="AN20" s="36"/>
      <c r="AO20" s="36"/>
      <c r="AP20" s="36"/>
      <c r="AQ20" s="36"/>
      <c r="AR20" s="36"/>
      <c r="AS20" s="59">
        <f t="shared" si="19"/>
        <v>18.2</v>
      </c>
      <c r="AT20" s="59">
        <f t="shared" si="20"/>
        <v>11</v>
      </c>
      <c r="AU20" s="10">
        <f t="shared" si="7"/>
        <v>60.439560439560445</v>
      </c>
      <c r="AV20" s="59">
        <f t="shared" si="21"/>
        <v>7.199999999999999</v>
      </c>
      <c r="AW20" s="16">
        <f t="shared" si="11"/>
        <v>-42.5</v>
      </c>
      <c r="AX20" s="21">
        <f t="shared" si="12"/>
        <v>18.2</v>
      </c>
      <c r="AY20" s="21">
        <f t="shared" si="13"/>
        <v>11</v>
      </c>
      <c r="AZ20" s="40">
        <f t="shared" si="14"/>
        <v>-42.5</v>
      </c>
    </row>
    <row r="21" spans="1:52" ht="34.5" customHeight="1">
      <c r="A21" s="12" t="s">
        <v>18</v>
      </c>
      <c r="B21" s="62" t="s">
        <v>58</v>
      </c>
      <c r="C21" s="85"/>
      <c r="D21" s="36"/>
      <c r="E21" s="36"/>
      <c r="F21" s="86" t="e">
        <f t="shared" si="0"/>
        <v>#DIV/0!</v>
      </c>
      <c r="G21" s="36"/>
      <c r="H21" s="36"/>
      <c r="I21" s="86" t="e">
        <f t="shared" si="1"/>
        <v>#DIV/0!</v>
      </c>
      <c r="J21" s="36"/>
      <c r="K21" s="36"/>
      <c r="L21" s="86" t="e">
        <f t="shared" si="8"/>
        <v>#DIV/0!</v>
      </c>
      <c r="M21" s="72">
        <f t="shared" si="15"/>
        <v>0</v>
      </c>
      <c r="N21" s="72">
        <f t="shared" si="16"/>
        <v>0</v>
      </c>
      <c r="O21" s="10"/>
      <c r="P21" s="36"/>
      <c r="Q21" s="36"/>
      <c r="R21" s="61"/>
      <c r="S21" s="36"/>
      <c r="T21" s="36"/>
      <c r="U21" s="61"/>
      <c r="V21" s="36"/>
      <c r="W21" s="36"/>
      <c r="X21" s="10" t="e">
        <f t="shared" si="3"/>
        <v>#DIV/0!</v>
      </c>
      <c r="Y21" s="72"/>
      <c r="Z21" s="72"/>
      <c r="AA21" s="10"/>
      <c r="AB21" s="36"/>
      <c r="AC21" s="36"/>
      <c r="AD21" s="86"/>
      <c r="AE21" s="36"/>
      <c r="AF21" s="36"/>
      <c r="AG21" s="10"/>
      <c r="AH21" s="36"/>
      <c r="AI21" s="36"/>
      <c r="AJ21" s="72"/>
      <c r="AK21" s="72"/>
      <c r="AL21" s="10"/>
      <c r="AM21" s="36"/>
      <c r="AN21" s="36"/>
      <c r="AO21" s="36"/>
      <c r="AP21" s="36"/>
      <c r="AQ21" s="36"/>
      <c r="AR21" s="36"/>
      <c r="AS21" s="59"/>
      <c r="AT21" s="59"/>
      <c r="AU21" s="10"/>
      <c r="AV21" s="59"/>
      <c r="AW21" s="16"/>
      <c r="AX21" s="21">
        <f t="shared" si="12"/>
        <v>0</v>
      </c>
      <c r="AY21" s="21">
        <f t="shared" si="13"/>
        <v>0</v>
      </c>
      <c r="AZ21" s="40">
        <f t="shared" si="14"/>
        <v>0</v>
      </c>
    </row>
    <row r="22" spans="1:52" ht="34.5" customHeight="1">
      <c r="A22" s="12" t="s">
        <v>19</v>
      </c>
      <c r="B22" s="62" t="s">
        <v>41</v>
      </c>
      <c r="C22" s="93">
        <v>11.9</v>
      </c>
      <c r="D22" s="36">
        <v>12.4</v>
      </c>
      <c r="E22" s="36">
        <v>14.1</v>
      </c>
      <c r="F22" s="10">
        <f t="shared" si="0"/>
        <v>113.70967741935483</v>
      </c>
      <c r="G22" s="36">
        <v>9.8</v>
      </c>
      <c r="H22" s="36">
        <v>4.5</v>
      </c>
      <c r="I22" s="10">
        <f t="shared" si="1"/>
        <v>45.91836734693877</v>
      </c>
      <c r="J22" s="36">
        <v>7.7</v>
      </c>
      <c r="K22" s="36">
        <v>6.7</v>
      </c>
      <c r="L22" s="10">
        <f t="shared" si="8"/>
        <v>87.01298701298701</v>
      </c>
      <c r="M22" s="72">
        <f t="shared" si="15"/>
        <v>29.900000000000002</v>
      </c>
      <c r="N22" s="72">
        <f t="shared" si="16"/>
        <v>25.3</v>
      </c>
      <c r="O22" s="10"/>
      <c r="P22" s="36"/>
      <c r="Q22" s="36"/>
      <c r="R22" s="103"/>
      <c r="S22" s="36"/>
      <c r="T22" s="36"/>
      <c r="U22" s="103" t="e">
        <f>T22/S22*100</f>
        <v>#DIV/0!</v>
      </c>
      <c r="V22" s="36"/>
      <c r="W22" s="36"/>
      <c r="X22" s="10" t="e">
        <f t="shared" si="3"/>
        <v>#DIV/0!</v>
      </c>
      <c r="Y22" s="72">
        <f aca="true" t="shared" si="22" ref="Y22:Z28">P22+S22+V22</f>
        <v>0</v>
      </c>
      <c r="Z22" s="72">
        <f t="shared" si="22"/>
        <v>0</v>
      </c>
      <c r="AA22" s="10" t="e">
        <f aca="true" t="shared" si="23" ref="AA22:AA28">Z22/Y22*100</f>
        <v>#DIV/0!</v>
      </c>
      <c r="AB22" s="36"/>
      <c r="AC22" s="36"/>
      <c r="AD22" s="10"/>
      <c r="AE22" s="36"/>
      <c r="AF22" s="36"/>
      <c r="AG22" s="105"/>
      <c r="AH22" s="36"/>
      <c r="AI22" s="36"/>
      <c r="AJ22" s="72">
        <f t="shared" si="17"/>
        <v>0</v>
      </c>
      <c r="AK22" s="72">
        <f t="shared" si="18"/>
        <v>0</v>
      </c>
      <c r="AL22" s="10" t="e">
        <f aca="true" t="shared" si="24" ref="AL22:AL28">AK22/AJ22*100</f>
        <v>#DIV/0!</v>
      </c>
      <c r="AM22" s="36"/>
      <c r="AN22" s="36"/>
      <c r="AO22" s="36"/>
      <c r="AP22" s="36"/>
      <c r="AQ22" s="36"/>
      <c r="AR22" s="36"/>
      <c r="AS22" s="59">
        <f t="shared" si="19"/>
        <v>29.900000000000002</v>
      </c>
      <c r="AT22" s="59">
        <f t="shared" si="20"/>
        <v>25.3</v>
      </c>
      <c r="AU22" s="10">
        <f t="shared" si="7"/>
        <v>84.61538461538461</v>
      </c>
      <c r="AV22" s="59">
        <f t="shared" si="21"/>
        <v>4.600000000000001</v>
      </c>
      <c r="AW22" s="16">
        <f aca="true" t="shared" si="25" ref="AW22:AW28">C22+AS22-AT22</f>
        <v>16.500000000000004</v>
      </c>
      <c r="AX22" s="21">
        <f t="shared" si="12"/>
        <v>29.900000000000002</v>
      </c>
      <c r="AY22" s="21">
        <f t="shared" si="13"/>
        <v>25.3</v>
      </c>
      <c r="AZ22" s="40">
        <f t="shared" si="14"/>
        <v>16.500000000000004</v>
      </c>
    </row>
    <row r="23" spans="1:52" ht="34.5" customHeight="1">
      <c r="A23" s="12" t="s">
        <v>20</v>
      </c>
      <c r="B23" s="62" t="s">
        <v>98</v>
      </c>
      <c r="C23" s="85">
        <v>5</v>
      </c>
      <c r="D23" s="36">
        <v>4.1</v>
      </c>
      <c r="E23" s="36">
        <v>4.6</v>
      </c>
      <c r="F23" s="10">
        <f t="shared" si="0"/>
        <v>112.19512195121952</v>
      </c>
      <c r="G23" s="36">
        <v>3.8</v>
      </c>
      <c r="H23" s="36">
        <v>4.5</v>
      </c>
      <c r="I23" s="10">
        <f t="shared" si="1"/>
        <v>118.42105263157896</v>
      </c>
      <c r="J23" s="36">
        <v>3.4</v>
      </c>
      <c r="K23" s="36">
        <v>3.9</v>
      </c>
      <c r="L23" s="10">
        <f t="shared" si="8"/>
        <v>114.70588235294117</v>
      </c>
      <c r="M23" s="72">
        <f t="shared" si="15"/>
        <v>11.299999999999999</v>
      </c>
      <c r="N23" s="72">
        <f t="shared" si="16"/>
        <v>13</v>
      </c>
      <c r="O23" s="10"/>
      <c r="P23" s="36"/>
      <c r="Q23" s="36"/>
      <c r="R23" s="10"/>
      <c r="S23" s="36"/>
      <c r="T23" s="36"/>
      <c r="U23" s="10" t="e">
        <f>T23/S23*100</f>
        <v>#DIV/0!</v>
      </c>
      <c r="V23" s="36"/>
      <c r="W23" s="36"/>
      <c r="X23" s="10" t="e">
        <f t="shared" si="3"/>
        <v>#DIV/0!</v>
      </c>
      <c r="Y23" s="72">
        <f t="shared" si="22"/>
        <v>0</v>
      </c>
      <c r="Z23" s="72">
        <f t="shared" si="22"/>
        <v>0</v>
      </c>
      <c r="AA23" s="10" t="e">
        <f t="shared" si="23"/>
        <v>#DIV/0!</v>
      </c>
      <c r="AB23" s="36"/>
      <c r="AC23" s="36"/>
      <c r="AD23" s="10"/>
      <c r="AE23" s="36"/>
      <c r="AF23" s="36"/>
      <c r="AG23" s="105"/>
      <c r="AH23" s="36"/>
      <c r="AI23" s="36"/>
      <c r="AJ23" s="72">
        <f t="shared" si="17"/>
        <v>0</v>
      </c>
      <c r="AK23" s="72">
        <f t="shared" si="18"/>
        <v>0</v>
      </c>
      <c r="AL23" s="10" t="e">
        <f t="shared" si="24"/>
        <v>#DIV/0!</v>
      </c>
      <c r="AM23" s="36"/>
      <c r="AN23" s="36"/>
      <c r="AO23" s="36"/>
      <c r="AP23" s="36"/>
      <c r="AQ23" s="36"/>
      <c r="AR23" s="36"/>
      <c r="AS23" s="59">
        <f t="shared" si="19"/>
        <v>11.299999999999999</v>
      </c>
      <c r="AT23" s="59">
        <f t="shared" si="20"/>
        <v>13</v>
      </c>
      <c r="AU23" s="10">
        <f t="shared" si="7"/>
        <v>115.04424778761062</v>
      </c>
      <c r="AV23" s="59">
        <f t="shared" si="21"/>
        <v>-1.700000000000001</v>
      </c>
      <c r="AW23" s="16">
        <f t="shared" si="25"/>
        <v>3.299999999999997</v>
      </c>
      <c r="AX23" s="21">
        <f t="shared" si="12"/>
        <v>11.299999999999999</v>
      </c>
      <c r="AY23" s="21">
        <f t="shared" si="13"/>
        <v>13</v>
      </c>
      <c r="AZ23" s="40">
        <f t="shared" si="14"/>
        <v>3.299999999999997</v>
      </c>
    </row>
    <row r="24" spans="1:52" ht="34.5" customHeight="1">
      <c r="A24" s="12" t="s">
        <v>21</v>
      </c>
      <c r="B24" s="62" t="s">
        <v>40</v>
      </c>
      <c r="C24" s="85">
        <v>40.5</v>
      </c>
      <c r="D24" s="36">
        <v>111.8</v>
      </c>
      <c r="E24" s="36">
        <v>121.1</v>
      </c>
      <c r="F24" s="10">
        <f t="shared" si="0"/>
        <v>108.31842576028623</v>
      </c>
      <c r="G24" s="36">
        <v>124.2</v>
      </c>
      <c r="H24" s="36">
        <v>85.4</v>
      </c>
      <c r="I24" s="10">
        <f t="shared" si="1"/>
        <v>68.76006441223834</v>
      </c>
      <c r="J24" s="36">
        <v>121.3</v>
      </c>
      <c r="K24" s="36">
        <v>156.7</v>
      </c>
      <c r="L24" s="10">
        <f t="shared" si="8"/>
        <v>129.1838417147568</v>
      </c>
      <c r="M24" s="72">
        <f t="shared" si="15"/>
        <v>357.3</v>
      </c>
      <c r="N24" s="72">
        <f t="shared" si="16"/>
        <v>363.2</v>
      </c>
      <c r="O24" s="10"/>
      <c r="P24" s="36"/>
      <c r="Q24" s="36"/>
      <c r="R24" s="10"/>
      <c r="S24" s="36"/>
      <c r="T24" s="36"/>
      <c r="U24" s="10" t="e">
        <f>T24/S24*100</f>
        <v>#DIV/0!</v>
      </c>
      <c r="V24" s="36"/>
      <c r="W24" s="36"/>
      <c r="X24" s="10" t="e">
        <f t="shared" si="3"/>
        <v>#DIV/0!</v>
      </c>
      <c r="Y24" s="72">
        <f t="shared" si="22"/>
        <v>0</v>
      </c>
      <c r="Z24" s="72">
        <f t="shared" si="22"/>
        <v>0</v>
      </c>
      <c r="AA24" s="10" t="e">
        <f t="shared" si="23"/>
        <v>#DIV/0!</v>
      </c>
      <c r="AB24" s="36"/>
      <c r="AC24" s="36"/>
      <c r="AD24" s="10"/>
      <c r="AE24" s="36"/>
      <c r="AF24" s="36"/>
      <c r="AG24" s="105"/>
      <c r="AH24" s="36"/>
      <c r="AI24" s="36"/>
      <c r="AJ24" s="72">
        <f t="shared" si="17"/>
        <v>0</v>
      </c>
      <c r="AK24" s="72">
        <f t="shared" si="18"/>
        <v>0</v>
      </c>
      <c r="AL24" s="10" t="e">
        <f t="shared" si="24"/>
        <v>#DIV/0!</v>
      </c>
      <c r="AM24" s="36"/>
      <c r="AN24" s="36"/>
      <c r="AO24" s="36"/>
      <c r="AP24" s="36"/>
      <c r="AQ24" s="36"/>
      <c r="AR24" s="36"/>
      <c r="AS24" s="59">
        <f t="shared" si="19"/>
        <v>357.3</v>
      </c>
      <c r="AT24" s="59">
        <f t="shared" si="20"/>
        <v>363.2</v>
      </c>
      <c r="AU24" s="10">
        <f t="shared" si="7"/>
        <v>101.65127343968653</v>
      </c>
      <c r="AV24" s="59">
        <f t="shared" si="21"/>
        <v>-5.899999999999977</v>
      </c>
      <c r="AW24" s="16">
        <f t="shared" si="25"/>
        <v>34.60000000000002</v>
      </c>
      <c r="AX24" s="21">
        <f t="shared" si="12"/>
        <v>357.3</v>
      </c>
      <c r="AY24" s="21">
        <f t="shared" si="13"/>
        <v>363.2</v>
      </c>
      <c r="AZ24" s="40">
        <f t="shared" si="14"/>
        <v>34.60000000000002</v>
      </c>
    </row>
    <row r="25" spans="1:52" ht="34.5" customHeight="1">
      <c r="A25" s="12" t="s">
        <v>22</v>
      </c>
      <c r="B25" s="58" t="s">
        <v>43</v>
      </c>
      <c r="C25" s="85">
        <v>48.5</v>
      </c>
      <c r="D25" s="36">
        <v>25.5</v>
      </c>
      <c r="E25" s="36">
        <v>28</v>
      </c>
      <c r="F25" s="10">
        <f t="shared" si="0"/>
        <v>109.80392156862746</v>
      </c>
      <c r="G25" s="36">
        <v>25.5</v>
      </c>
      <c r="H25" s="36">
        <v>28</v>
      </c>
      <c r="I25" s="10">
        <f t="shared" si="1"/>
        <v>109.80392156862746</v>
      </c>
      <c r="J25" s="36">
        <v>44.9</v>
      </c>
      <c r="K25" s="36">
        <v>48.7</v>
      </c>
      <c r="L25" s="10">
        <f t="shared" si="8"/>
        <v>108.46325167037863</v>
      </c>
      <c r="M25" s="72">
        <f t="shared" si="15"/>
        <v>95.9</v>
      </c>
      <c r="N25" s="72">
        <f t="shared" si="16"/>
        <v>104.7</v>
      </c>
      <c r="O25" s="10"/>
      <c r="P25" s="36"/>
      <c r="Q25" s="36"/>
      <c r="R25" s="10"/>
      <c r="S25" s="36"/>
      <c r="T25" s="36"/>
      <c r="U25" s="10" t="e">
        <f>T25/S25*100</f>
        <v>#DIV/0!</v>
      </c>
      <c r="V25" s="36"/>
      <c r="W25" s="36"/>
      <c r="X25" s="10" t="e">
        <f>W25/V25*100</f>
        <v>#DIV/0!</v>
      </c>
      <c r="Y25" s="72">
        <f t="shared" si="22"/>
        <v>0</v>
      </c>
      <c r="Z25" s="72">
        <f t="shared" si="22"/>
        <v>0</v>
      </c>
      <c r="AA25" s="10" t="e">
        <f t="shared" si="23"/>
        <v>#DIV/0!</v>
      </c>
      <c r="AB25" s="36"/>
      <c r="AC25" s="36"/>
      <c r="AD25" s="10"/>
      <c r="AE25" s="36"/>
      <c r="AF25" s="36"/>
      <c r="AG25" s="10"/>
      <c r="AH25" s="36"/>
      <c r="AI25" s="36"/>
      <c r="AJ25" s="72">
        <f t="shared" si="17"/>
        <v>0</v>
      </c>
      <c r="AK25" s="72">
        <f t="shared" si="18"/>
        <v>0</v>
      </c>
      <c r="AL25" s="10" t="e">
        <f t="shared" si="24"/>
        <v>#DIV/0!</v>
      </c>
      <c r="AM25" s="36"/>
      <c r="AN25" s="36"/>
      <c r="AO25" s="36"/>
      <c r="AP25" s="36"/>
      <c r="AQ25" s="36"/>
      <c r="AR25" s="36"/>
      <c r="AS25" s="59">
        <f t="shared" si="19"/>
        <v>95.9</v>
      </c>
      <c r="AT25" s="59">
        <f t="shared" si="20"/>
        <v>104.7</v>
      </c>
      <c r="AU25" s="10">
        <f t="shared" si="7"/>
        <v>109.17622523461938</v>
      </c>
      <c r="AV25" s="59">
        <f t="shared" si="21"/>
        <v>-8.799999999999997</v>
      </c>
      <c r="AW25" s="16">
        <f t="shared" si="25"/>
        <v>39.7</v>
      </c>
      <c r="AX25" s="21">
        <f t="shared" si="12"/>
        <v>95.9</v>
      </c>
      <c r="AY25" s="21">
        <f t="shared" si="13"/>
        <v>104.7</v>
      </c>
      <c r="AZ25" s="40">
        <f t="shared" si="14"/>
        <v>39.7</v>
      </c>
    </row>
    <row r="26" spans="1:52" ht="34.5" customHeight="1">
      <c r="A26" s="12" t="s">
        <v>23</v>
      </c>
      <c r="B26" s="62" t="s">
        <v>99</v>
      </c>
      <c r="C26" s="85">
        <v>2.8</v>
      </c>
      <c r="D26" s="36">
        <v>2.1</v>
      </c>
      <c r="E26" s="36">
        <v>4</v>
      </c>
      <c r="F26" s="10">
        <f t="shared" si="0"/>
        <v>190.47619047619045</v>
      </c>
      <c r="G26" s="36">
        <v>2</v>
      </c>
      <c r="H26" s="36">
        <v>1.9</v>
      </c>
      <c r="I26" s="10">
        <f t="shared" si="1"/>
        <v>95</v>
      </c>
      <c r="J26" s="36">
        <v>1.4</v>
      </c>
      <c r="K26" s="36">
        <v>1.6</v>
      </c>
      <c r="L26" s="10">
        <f t="shared" si="8"/>
        <v>114.2857142857143</v>
      </c>
      <c r="M26" s="72">
        <f t="shared" si="15"/>
        <v>5.5</v>
      </c>
      <c r="N26" s="72">
        <f t="shared" si="16"/>
        <v>7.5</v>
      </c>
      <c r="O26" s="10"/>
      <c r="P26" s="36"/>
      <c r="Q26" s="36"/>
      <c r="R26" s="10"/>
      <c r="S26" s="36"/>
      <c r="T26" s="36"/>
      <c r="U26" s="10">
        <v>0</v>
      </c>
      <c r="V26" s="36"/>
      <c r="W26" s="36"/>
      <c r="X26" s="10">
        <v>0</v>
      </c>
      <c r="Y26" s="72">
        <f t="shared" si="22"/>
        <v>0</v>
      </c>
      <c r="Z26" s="72">
        <f t="shared" si="22"/>
        <v>0</v>
      </c>
      <c r="AA26" s="10" t="e">
        <f t="shared" si="23"/>
        <v>#DIV/0!</v>
      </c>
      <c r="AB26" s="36"/>
      <c r="AC26" s="36"/>
      <c r="AD26" s="10"/>
      <c r="AE26" s="36"/>
      <c r="AF26" s="36"/>
      <c r="AG26" s="10"/>
      <c r="AH26" s="36"/>
      <c r="AI26" s="36"/>
      <c r="AJ26" s="72">
        <f t="shared" si="17"/>
        <v>0</v>
      </c>
      <c r="AK26" s="72">
        <f t="shared" si="18"/>
        <v>0</v>
      </c>
      <c r="AL26" s="10" t="e">
        <f t="shared" si="24"/>
        <v>#DIV/0!</v>
      </c>
      <c r="AM26" s="36"/>
      <c r="AN26" s="36"/>
      <c r="AO26" s="36"/>
      <c r="AP26" s="36"/>
      <c r="AQ26" s="36"/>
      <c r="AR26" s="36"/>
      <c r="AS26" s="59">
        <f t="shared" si="19"/>
        <v>5.5</v>
      </c>
      <c r="AT26" s="59">
        <f t="shared" si="20"/>
        <v>7.5</v>
      </c>
      <c r="AU26" s="10">
        <f t="shared" si="7"/>
        <v>136.36363636363635</v>
      </c>
      <c r="AV26" s="59">
        <f t="shared" si="21"/>
        <v>-2</v>
      </c>
      <c r="AW26" s="16">
        <f t="shared" si="25"/>
        <v>0.8000000000000007</v>
      </c>
      <c r="AX26" s="21">
        <f t="shared" si="12"/>
        <v>5.5</v>
      </c>
      <c r="AY26" s="21">
        <f t="shared" si="13"/>
        <v>7.5</v>
      </c>
      <c r="AZ26" s="40">
        <f t="shared" si="14"/>
        <v>0.8000000000000007</v>
      </c>
    </row>
    <row r="27" spans="1:52" ht="34.5" customHeight="1">
      <c r="A27" s="12" t="s">
        <v>24</v>
      </c>
      <c r="B27" s="62" t="s">
        <v>59</v>
      </c>
      <c r="C27" s="85">
        <v>0</v>
      </c>
      <c r="D27" s="36">
        <v>7.8</v>
      </c>
      <c r="E27" s="36">
        <v>7.8</v>
      </c>
      <c r="F27" s="10">
        <f t="shared" si="0"/>
        <v>100</v>
      </c>
      <c r="G27" s="36">
        <v>9.2</v>
      </c>
      <c r="H27" s="36">
        <v>9.2</v>
      </c>
      <c r="I27" s="10">
        <f t="shared" si="1"/>
        <v>100</v>
      </c>
      <c r="J27" s="36">
        <v>20.4</v>
      </c>
      <c r="K27" s="36">
        <v>20.4</v>
      </c>
      <c r="L27" s="10">
        <f t="shared" si="8"/>
        <v>100</v>
      </c>
      <c r="M27" s="72">
        <f t="shared" si="15"/>
        <v>37.4</v>
      </c>
      <c r="N27" s="72">
        <f t="shared" si="16"/>
        <v>37.4</v>
      </c>
      <c r="O27" s="10"/>
      <c r="P27" s="36"/>
      <c r="Q27" s="36"/>
      <c r="R27" s="10"/>
      <c r="S27" s="36"/>
      <c r="T27" s="36"/>
      <c r="U27" s="10">
        <v>0</v>
      </c>
      <c r="V27" s="36"/>
      <c r="W27" s="36"/>
      <c r="X27" s="10">
        <v>0</v>
      </c>
      <c r="Y27" s="72">
        <f t="shared" si="22"/>
        <v>0</v>
      </c>
      <c r="Z27" s="72">
        <f t="shared" si="22"/>
        <v>0</v>
      </c>
      <c r="AA27" s="10" t="e">
        <f t="shared" si="23"/>
        <v>#DIV/0!</v>
      </c>
      <c r="AB27" s="36"/>
      <c r="AC27" s="36"/>
      <c r="AD27" s="10"/>
      <c r="AE27" s="36"/>
      <c r="AF27" s="36"/>
      <c r="AG27" s="10"/>
      <c r="AH27" s="36"/>
      <c r="AI27" s="36"/>
      <c r="AJ27" s="72">
        <f t="shared" si="17"/>
        <v>0</v>
      </c>
      <c r="AK27" s="72">
        <f t="shared" si="18"/>
        <v>0</v>
      </c>
      <c r="AL27" s="10" t="e">
        <f t="shared" si="24"/>
        <v>#DIV/0!</v>
      </c>
      <c r="AM27" s="36"/>
      <c r="AN27" s="36"/>
      <c r="AO27" s="36"/>
      <c r="AP27" s="36"/>
      <c r="AQ27" s="36"/>
      <c r="AR27" s="36"/>
      <c r="AS27" s="59">
        <f t="shared" si="19"/>
        <v>37.4</v>
      </c>
      <c r="AT27" s="59">
        <f t="shared" si="20"/>
        <v>37.4</v>
      </c>
      <c r="AU27" s="10">
        <f t="shared" si="7"/>
        <v>100</v>
      </c>
      <c r="AV27" s="59">
        <f t="shared" si="21"/>
        <v>0</v>
      </c>
      <c r="AW27" s="16">
        <f t="shared" si="25"/>
        <v>0</v>
      </c>
      <c r="AX27" s="21">
        <f t="shared" si="12"/>
        <v>37.4</v>
      </c>
      <c r="AY27" s="21">
        <f t="shared" si="13"/>
        <v>37.4</v>
      </c>
      <c r="AZ27" s="40">
        <f t="shared" si="14"/>
        <v>0</v>
      </c>
    </row>
    <row r="28" spans="1:52" ht="34.5" customHeight="1">
      <c r="A28" s="12" t="s">
        <v>25</v>
      </c>
      <c r="B28" s="115" t="s">
        <v>100</v>
      </c>
      <c r="C28" s="92">
        <v>89.6</v>
      </c>
      <c r="D28" s="36">
        <v>91.8</v>
      </c>
      <c r="E28" s="36">
        <v>76.1</v>
      </c>
      <c r="F28" s="10">
        <f t="shared" si="0"/>
        <v>82.89760348583877</v>
      </c>
      <c r="G28" s="36">
        <v>90.6</v>
      </c>
      <c r="H28" s="36">
        <v>89.7</v>
      </c>
      <c r="I28" s="10">
        <f t="shared" si="1"/>
        <v>99.00662251655629</v>
      </c>
      <c r="J28" s="36">
        <v>91.8</v>
      </c>
      <c r="K28" s="36">
        <v>93.4</v>
      </c>
      <c r="L28" s="10">
        <f t="shared" si="8"/>
        <v>101.74291938997821</v>
      </c>
      <c r="M28" s="72">
        <f t="shared" si="15"/>
        <v>274.2</v>
      </c>
      <c r="N28" s="72">
        <f t="shared" si="16"/>
        <v>259.20000000000005</v>
      </c>
      <c r="O28" s="10"/>
      <c r="P28" s="36"/>
      <c r="Q28" s="36"/>
      <c r="R28" s="10"/>
      <c r="S28" s="36"/>
      <c r="T28" s="36"/>
      <c r="U28" s="10">
        <v>0</v>
      </c>
      <c r="V28" s="36"/>
      <c r="W28" s="36"/>
      <c r="X28" s="10">
        <v>0</v>
      </c>
      <c r="Y28" s="72">
        <f t="shared" si="22"/>
        <v>0</v>
      </c>
      <c r="Z28" s="72">
        <f t="shared" si="22"/>
        <v>0</v>
      </c>
      <c r="AA28" s="10" t="e">
        <f t="shared" si="23"/>
        <v>#DIV/0!</v>
      </c>
      <c r="AB28" s="36"/>
      <c r="AC28" s="36"/>
      <c r="AD28" s="10"/>
      <c r="AE28" s="36"/>
      <c r="AF28" s="80"/>
      <c r="AG28" s="76"/>
      <c r="AH28" s="36"/>
      <c r="AI28" s="80"/>
      <c r="AJ28" s="72">
        <f t="shared" si="17"/>
        <v>0</v>
      </c>
      <c r="AK28" s="72">
        <f t="shared" si="18"/>
        <v>0</v>
      </c>
      <c r="AL28" s="10" t="e">
        <f t="shared" si="24"/>
        <v>#DIV/0!</v>
      </c>
      <c r="AM28" s="36"/>
      <c r="AN28" s="80"/>
      <c r="AO28" s="36"/>
      <c r="AP28" s="80"/>
      <c r="AQ28" s="36"/>
      <c r="AR28" s="80"/>
      <c r="AS28" s="59">
        <f t="shared" si="19"/>
        <v>274.2</v>
      </c>
      <c r="AT28" s="59">
        <f t="shared" si="20"/>
        <v>259.20000000000005</v>
      </c>
      <c r="AU28" s="10">
        <f t="shared" si="7"/>
        <v>94.52954048140046</v>
      </c>
      <c r="AV28" s="59">
        <f t="shared" si="21"/>
        <v>14.999999999999943</v>
      </c>
      <c r="AW28" s="16">
        <f t="shared" si="25"/>
        <v>104.59999999999991</v>
      </c>
      <c r="AX28" s="21">
        <f t="shared" si="12"/>
        <v>274.2</v>
      </c>
      <c r="AY28" s="21">
        <f t="shared" si="13"/>
        <v>259.20000000000005</v>
      </c>
      <c r="AZ28" s="40">
        <f t="shared" si="14"/>
        <v>104.59999999999991</v>
      </c>
    </row>
    <row r="29" spans="1:52" ht="34.5" customHeight="1">
      <c r="A29" s="12" t="s">
        <v>26</v>
      </c>
      <c r="B29" s="58" t="s">
        <v>2</v>
      </c>
      <c r="C29" s="54"/>
      <c r="D29" s="63"/>
      <c r="E29" s="63"/>
      <c r="F29" s="86" t="e">
        <f t="shared" si="0"/>
        <v>#DIV/0!</v>
      </c>
      <c r="G29" s="63"/>
      <c r="H29" s="63"/>
      <c r="I29" s="86" t="e">
        <f t="shared" si="1"/>
        <v>#DIV/0!</v>
      </c>
      <c r="J29" s="63"/>
      <c r="K29" s="63"/>
      <c r="L29" s="86" t="e">
        <f t="shared" si="8"/>
        <v>#DIV/0!</v>
      </c>
      <c r="M29" s="72">
        <f t="shared" si="15"/>
        <v>0</v>
      </c>
      <c r="N29" s="72">
        <f t="shared" si="16"/>
        <v>0</v>
      </c>
      <c r="O29" s="10"/>
      <c r="P29" s="63"/>
      <c r="Q29" s="63"/>
      <c r="R29" s="63"/>
      <c r="S29" s="63"/>
      <c r="T29" s="63"/>
      <c r="U29" s="63"/>
      <c r="V29" s="63"/>
      <c r="W29" s="63"/>
      <c r="X29" s="63"/>
      <c r="Y29" s="72"/>
      <c r="Z29" s="72"/>
      <c r="AA29" s="10"/>
      <c r="AB29" s="63"/>
      <c r="AC29" s="63"/>
      <c r="AD29" s="63"/>
      <c r="AE29" s="54"/>
      <c r="AF29" s="54"/>
      <c r="AG29" s="54"/>
      <c r="AH29" s="54"/>
      <c r="AI29" s="54"/>
      <c r="AJ29" s="72"/>
      <c r="AK29" s="72"/>
      <c r="AL29" s="10"/>
      <c r="AM29" s="54"/>
      <c r="AN29" s="54"/>
      <c r="AO29" s="54"/>
      <c r="AP29" s="54"/>
      <c r="AQ29" s="54"/>
      <c r="AR29" s="54"/>
      <c r="AS29" s="59"/>
      <c r="AT29" s="59"/>
      <c r="AU29" s="63"/>
      <c r="AV29" s="63"/>
      <c r="AW29" s="63"/>
      <c r="AX29" s="21">
        <f t="shared" si="12"/>
        <v>0</v>
      </c>
      <c r="AY29" s="21">
        <f t="shared" si="13"/>
        <v>0</v>
      </c>
      <c r="AZ29" s="40">
        <f t="shared" si="14"/>
        <v>0</v>
      </c>
    </row>
    <row r="30" spans="1:52" ht="34.5" customHeight="1">
      <c r="A30" s="12" t="s">
        <v>27</v>
      </c>
      <c r="B30" s="62" t="s">
        <v>39</v>
      </c>
      <c r="C30" s="94">
        <v>0.6</v>
      </c>
      <c r="D30" s="36">
        <v>31.1</v>
      </c>
      <c r="E30" s="36">
        <v>29.4</v>
      </c>
      <c r="F30" s="10">
        <f t="shared" si="0"/>
        <v>94.5337620578778</v>
      </c>
      <c r="G30" s="36">
        <v>28.5</v>
      </c>
      <c r="H30" s="36">
        <v>25.3</v>
      </c>
      <c r="I30" s="10">
        <f t="shared" si="1"/>
        <v>88.7719298245614</v>
      </c>
      <c r="J30" s="36">
        <v>31.1</v>
      </c>
      <c r="K30" s="36">
        <v>30.8</v>
      </c>
      <c r="L30" s="10">
        <f t="shared" si="8"/>
        <v>99.03536977491962</v>
      </c>
      <c r="M30" s="72">
        <f t="shared" si="15"/>
        <v>90.7</v>
      </c>
      <c r="N30" s="72">
        <f t="shared" si="16"/>
        <v>85.5</v>
      </c>
      <c r="O30" s="10"/>
      <c r="P30" s="36"/>
      <c r="Q30" s="36"/>
      <c r="R30" s="103"/>
      <c r="S30" s="36"/>
      <c r="T30" s="36"/>
      <c r="U30" s="103" t="e">
        <f aca="true" t="shared" si="26" ref="U30:U45">T30/S30*100</f>
        <v>#DIV/0!</v>
      </c>
      <c r="V30" s="36"/>
      <c r="W30" s="36"/>
      <c r="X30" s="103" t="e">
        <f aca="true" t="shared" si="27" ref="X30:X45">W30/V30*100</f>
        <v>#DIV/0!</v>
      </c>
      <c r="Y30" s="72">
        <f aca="true" t="shared" si="28" ref="Y30:Y42">P30+S30+V30</f>
        <v>0</v>
      </c>
      <c r="Z30" s="72">
        <f aca="true" t="shared" si="29" ref="Z30:Z42">Q30+T30+W30</f>
        <v>0</v>
      </c>
      <c r="AA30" s="10" t="e">
        <f aca="true" t="shared" si="30" ref="AA30:AA45">Z30/Y30*100</f>
        <v>#DIV/0!</v>
      </c>
      <c r="AB30" s="36"/>
      <c r="AC30" s="36"/>
      <c r="AD30" s="103"/>
      <c r="AE30" s="36"/>
      <c r="AF30" s="36"/>
      <c r="AG30" s="104"/>
      <c r="AH30" s="36"/>
      <c r="AI30" s="36"/>
      <c r="AJ30" s="72">
        <f t="shared" si="17"/>
        <v>0</v>
      </c>
      <c r="AK30" s="72">
        <f t="shared" si="18"/>
        <v>0</v>
      </c>
      <c r="AL30" s="10" t="e">
        <f aca="true" t="shared" si="31" ref="AL30:AL45">AK30/AJ30*100</f>
        <v>#DIV/0!</v>
      </c>
      <c r="AM30" s="36"/>
      <c r="AN30" s="36"/>
      <c r="AO30" s="36"/>
      <c r="AP30" s="36"/>
      <c r="AQ30" s="36"/>
      <c r="AR30" s="36"/>
      <c r="AS30" s="59">
        <f t="shared" si="19"/>
        <v>90.7</v>
      </c>
      <c r="AT30" s="59">
        <f t="shared" si="20"/>
        <v>85.5</v>
      </c>
      <c r="AU30" s="10">
        <f t="shared" si="7"/>
        <v>94.26681367144431</v>
      </c>
      <c r="AV30" s="59">
        <f aca="true" t="shared" si="32" ref="AV30:AV44">AS30-AT30</f>
        <v>5.200000000000003</v>
      </c>
      <c r="AW30" s="16">
        <f aca="true" t="shared" si="33" ref="AW30:AW42">C30+AS30-AT30</f>
        <v>5.799999999999997</v>
      </c>
      <c r="AX30" s="21">
        <f t="shared" si="12"/>
        <v>90.7</v>
      </c>
      <c r="AY30" s="21">
        <f t="shared" si="13"/>
        <v>85.5</v>
      </c>
      <c r="AZ30" s="40">
        <f t="shared" si="14"/>
        <v>5.799999999999997</v>
      </c>
    </row>
    <row r="31" spans="1:52" ht="34.5" customHeight="1">
      <c r="A31" s="12" t="s">
        <v>28</v>
      </c>
      <c r="B31" s="62" t="s">
        <v>3</v>
      </c>
      <c r="C31" s="85">
        <v>17.3</v>
      </c>
      <c r="D31" s="36">
        <v>12.6</v>
      </c>
      <c r="E31" s="36">
        <v>11.1</v>
      </c>
      <c r="F31" s="10">
        <f t="shared" si="0"/>
        <v>88.09523809523809</v>
      </c>
      <c r="G31" s="36">
        <v>7.8</v>
      </c>
      <c r="H31" s="36">
        <v>9.1</v>
      </c>
      <c r="I31" s="10">
        <f t="shared" si="1"/>
        <v>116.66666666666667</v>
      </c>
      <c r="J31" s="36">
        <v>22.7</v>
      </c>
      <c r="K31" s="36">
        <v>22.8</v>
      </c>
      <c r="L31" s="10">
        <f t="shared" si="8"/>
        <v>100.44052863436124</v>
      </c>
      <c r="M31" s="72">
        <f t="shared" si="15"/>
        <v>43.099999999999994</v>
      </c>
      <c r="N31" s="72">
        <f t="shared" si="16"/>
        <v>43</v>
      </c>
      <c r="O31" s="10"/>
      <c r="P31" s="36"/>
      <c r="Q31" s="36"/>
      <c r="R31" s="10"/>
      <c r="S31" s="36"/>
      <c r="T31" s="36"/>
      <c r="U31" s="10" t="e">
        <f t="shared" si="26"/>
        <v>#DIV/0!</v>
      </c>
      <c r="V31" s="36"/>
      <c r="W31" s="36"/>
      <c r="X31" s="10" t="e">
        <f t="shared" si="27"/>
        <v>#DIV/0!</v>
      </c>
      <c r="Y31" s="72">
        <f t="shared" si="28"/>
        <v>0</v>
      </c>
      <c r="Z31" s="72">
        <f t="shared" si="29"/>
        <v>0</v>
      </c>
      <c r="AA31" s="10" t="e">
        <f t="shared" si="30"/>
        <v>#DIV/0!</v>
      </c>
      <c r="AB31" s="36"/>
      <c r="AC31" s="36"/>
      <c r="AD31" s="10"/>
      <c r="AE31" s="36"/>
      <c r="AF31" s="36"/>
      <c r="AG31" s="104"/>
      <c r="AH31" s="36"/>
      <c r="AI31" s="36"/>
      <c r="AJ31" s="72">
        <f t="shared" si="17"/>
        <v>0</v>
      </c>
      <c r="AK31" s="72">
        <f t="shared" si="18"/>
        <v>0</v>
      </c>
      <c r="AL31" s="10" t="e">
        <f t="shared" si="31"/>
        <v>#DIV/0!</v>
      </c>
      <c r="AM31" s="36"/>
      <c r="AN31" s="36"/>
      <c r="AO31" s="36"/>
      <c r="AP31" s="36"/>
      <c r="AQ31" s="36"/>
      <c r="AR31" s="36"/>
      <c r="AS31" s="59">
        <f t="shared" si="19"/>
        <v>43.099999999999994</v>
      </c>
      <c r="AT31" s="59">
        <f t="shared" si="20"/>
        <v>43</v>
      </c>
      <c r="AU31" s="10">
        <f t="shared" si="7"/>
        <v>99.7679814385151</v>
      </c>
      <c r="AV31" s="59">
        <f t="shared" si="32"/>
        <v>0.09999999999999432</v>
      </c>
      <c r="AW31" s="16">
        <f t="shared" si="33"/>
        <v>17.39999999999999</v>
      </c>
      <c r="AX31" s="21">
        <f t="shared" si="12"/>
        <v>43.099999999999994</v>
      </c>
      <c r="AY31" s="21">
        <f t="shared" si="13"/>
        <v>43</v>
      </c>
      <c r="AZ31" s="40">
        <f t="shared" si="14"/>
        <v>17.39999999999999</v>
      </c>
    </row>
    <row r="32" spans="1:52" ht="34.5" customHeight="1">
      <c r="A32" s="12" t="s">
        <v>29</v>
      </c>
      <c r="B32" s="62" t="s">
        <v>101</v>
      </c>
      <c r="C32" s="68">
        <f>SUM(C33:C34)</f>
        <v>223.8</v>
      </c>
      <c r="D32" s="68">
        <f>SUM(D33:D34)</f>
        <v>189.5</v>
      </c>
      <c r="E32" s="68">
        <f>SUM(E33:E34)</f>
        <v>142.10000000000002</v>
      </c>
      <c r="F32" s="10">
        <f t="shared" si="0"/>
        <v>74.98680738786281</v>
      </c>
      <c r="G32" s="68">
        <f>SUM(G33:G34)</f>
        <v>183.7</v>
      </c>
      <c r="H32" s="68">
        <f>SUM(H33:H34)</f>
        <v>190.10000000000002</v>
      </c>
      <c r="I32" s="10">
        <f t="shared" si="1"/>
        <v>103.48394120849214</v>
      </c>
      <c r="J32" s="68">
        <f>SUM(J33:J34)</f>
        <v>195.8</v>
      </c>
      <c r="K32" s="68">
        <f>SUM(K33:K34)</f>
        <v>165</v>
      </c>
      <c r="L32" s="10">
        <f t="shared" si="8"/>
        <v>84.26966292134831</v>
      </c>
      <c r="M32" s="10">
        <f>M33+M34</f>
        <v>569</v>
      </c>
      <c r="N32" s="10">
        <f>N33+N34</f>
        <v>497.20000000000005</v>
      </c>
      <c r="O32" s="10"/>
      <c r="P32" s="122"/>
      <c r="Q32" s="122"/>
      <c r="R32" s="10"/>
      <c r="S32" s="122"/>
      <c r="T32" s="122"/>
      <c r="U32" s="10"/>
      <c r="V32" s="122"/>
      <c r="W32" s="122"/>
      <c r="X32" s="10"/>
      <c r="Y32" s="10"/>
      <c r="Z32" s="10"/>
      <c r="AA32" s="10"/>
      <c r="AB32" s="122"/>
      <c r="AC32" s="122"/>
      <c r="AD32" s="10"/>
      <c r="AE32" s="122"/>
      <c r="AF32" s="122"/>
      <c r="AG32" s="104"/>
      <c r="AH32" s="122"/>
      <c r="AI32" s="122"/>
      <c r="AJ32" s="10"/>
      <c r="AK32" s="10"/>
      <c r="AL32" s="10"/>
      <c r="AM32" s="122"/>
      <c r="AN32" s="122"/>
      <c r="AO32" s="122"/>
      <c r="AP32" s="122"/>
      <c r="AQ32" s="122"/>
      <c r="AR32" s="122"/>
      <c r="AS32" s="68">
        <f>SUM(AS33:AS34)</f>
        <v>569</v>
      </c>
      <c r="AT32" s="68">
        <f>SUM(AT33:AT34)</f>
        <v>497.20000000000005</v>
      </c>
      <c r="AU32" s="10">
        <f t="shared" si="7"/>
        <v>87.38137082601055</v>
      </c>
      <c r="AV32" s="68">
        <f>SUM(AV33:AV34)</f>
        <v>71.79999999999998</v>
      </c>
      <c r="AW32" s="68">
        <f>SUM(AW33:AW34)</f>
        <v>295.6</v>
      </c>
      <c r="AX32" s="21">
        <f t="shared" si="12"/>
        <v>569</v>
      </c>
      <c r="AY32" s="21">
        <f t="shared" si="13"/>
        <v>497.20000000000005</v>
      </c>
      <c r="AZ32" s="40">
        <f t="shared" si="14"/>
        <v>295.5999999999999</v>
      </c>
    </row>
    <row r="33" spans="1:52" ht="34.5" customHeight="1">
      <c r="A33" s="12"/>
      <c r="B33" s="62" t="s">
        <v>102</v>
      </c>
      <c r="C33" s="85">
        <v>96.6</v>
      </c>
      <c r="D33" s="80">
        <v>83.1</v>
      </c>
      <c r="E33" s="80">
        <v>55.2</v>
      </c>
      <c r="F33" s="55">
        <f>E33/D33*100</f>
        <v>66.4259927797834</v>
      </c>
      <c r="G33" s="36">
        <v>93.2</v>
      </c>
      <c r="H33" s="36">
        <v>106.9</v>
      </c>
      <c r="I33" s="10">
        <f t="shared" si="1"/>
        <v>114.69957081545064</v>
      </c>
      <c r="J33" s="36">
        <v>93.2</v>
      </c>
      <c r="K33" s="36">
        <v>69.1</v>
      </c>
      <c r="L33" s="10">
        <f t="shared" si="8"/>
        <v>74.14163090128754</v>
      </c>
      <c r="M33" s="72">
        <f t="shared" si="15"/>
        <v>269.5</v>
      </c>
      <c r="N33" s="72">
        <f t="shared" si="16"/>
        <v>231.20000000000002</v>
      </c>
      <c r="O33" s="10"/>
      <c r="P33" s="36"/>
      <c r="Q33" s="36"/>
      <c r="R33" s="10"/>
      <c r="S33" s="36"/>
      <c r="T33" s="36"/>
      <c r="U33" s="10" t="e">
        <f t="shared" si="26"/>
        <v>#DIV/0!</v>
      </c>
      <c r="V33" s="36"/>
      <c r="W33" s="36"/>
      <c r="X33" s="10" t="e">
        <f t="shared" si="27"/>
        <v>#DIV/0!</v>
      </c>
      <c r="Y33" s="72">
        <f t="shared" si="28"/>
        <v>0</v>
      </c>
      <c r="Z33" s="72">
        <f t="shared" si="29"/>
        <v>0</v>
      </c>
      <c r="AA33" s="10" t="e">
        <f t="shared" si="30"/>
        <v>#DIV/0!</v>
      </c>
      <c r="AB33" s="36"/>
      <c r="AC33" s="36"/>
      <c r="AD33" s="10"/>
      <c r="AE33" s="36"/>
      <c r="AF33" s="36"/>
      <c r="AG33" s="10"/>
      <c r="AH33" s="36"/>
      <c r="AI33" s="36"/>
      <c r="AJ33" s="72">
        <f t="shared" si="17"/>
        <v>0</v>
      </c>
      <c r="AK33" s="72">
        <f t="shared" si="18"/>
        <v>0</v>
      </c>
      <c r="AL33" s="10" t="e">
        <f t="shared" si="31"/>
        <v>#DIV/0!</v>
      </c>
      <c r="AM33" s="36"/>
      <c r="AN33" s="36"/>
      <c r="AO33" s="36"/>
      <c r="AP33" s="36"/>
      <c r="AQ33" s="36"/>
      <c r="AR33" s="36"/>
      <c r="AS33" s="59">
        <f t="shared" si="19"/>
        <v>269.5</v>
      </c>
      <c r="AT33" s="59">
        <f t="shared" si="20"/>
        <v>231.20000000000002</v>
      </c>
      <c r="AU33" s="10">
        <f t="shared" si="7"/>
        <v>85.78849721706865</v>
      </c>
      <c r="AV33" s="59">
        <f t="shared" si="32"/>
        <v>38.29999999999998</v>
      </c>
      <c r="AW33" s="16">
        <f t="shared" si="33"/>
        <v>134.9</v>
      </c>
      <c r="AX33" s="21">
        <f t="shared" si="12"/>
        <v>269.5</v>
      </c>
      <c r="AY33" s="21">
        <f t="shared" si="13"/>
        <v>231.20000000000002</v>
      </c>
      <c r="AZ33" s="40">
        <f t="shared" si="14"/>
        <v>134.9</v>
      </c>
    </row>
    <row r="34" spans="1:52" ht="34.5" customHeight="1">
      <c r="A34" s="12"/>
      <c r="B34" s="62" t="s">
        <v>103</v>
      </c>
      <c r="C34" s="89">
        <v>127.2</v>
      </c>
      <c r="D34" s="80">
        <v>106.4</v>
      </c>
      <c r="E34" s="80">
        <v>86.9</v>
      </c>
      <c r="F34" s="55">
        <f>E34/D34*100</f>
        <v>81.67293233082707</v>
      </c>
      <c r="G34" s="36">
        <v>90.5</v>
      </c>
      <c r="H34" s="36">
        <v>83.2</v>
      </c>
      <c r="I34" s="10">
        <f t="shared" si="1"/>
        <v>91.93370165745857</v>
      </c>
      <c r="J34" s="36">
        <v>102.6</v>
      </c>
      <c r="K34" s="36">
        <v>95.9</v>
      </c>
      <c r="L34" s="10">
        <f t="shared" si="8"/>
        <v>93.46978557504875</v>
      </c>
      <c r="M34" s="72">
        <f t="shared" si="15"/>
        <v>299.5</v>
      </c>
      <c r="N34" s="72">
        <f t="shared" si="16"/>
        <v>266</v>
      </c>
      <c r="O34" s="10"/>
      <c r="P34" s="36"/>
      <c r="Q34" s="36"/>
      <c r="R34" s="10"/>
      <c r="S34" s="36"/>
      <c r="T34" s="36"/>
      <c r="U34" s="10" t="e">
        <f t="shared" si="26"/>
        <v>#DIV/0!</v>
      </c>
      <c r="V34" s="36"/>
      <c r="W34" s="36"/>
      <c r="X34" s="10" t="e">
        <f t="shared" si="27"/>
        <v>#DIV/0!</v>
      </c>
      <c r="Y34" s="72">
        <f>P34+S34+V34</f>
        <v>0</v>
      </c>
      <c r="Z34" s="72">
        <f>Q34+T34+W34</f>
        <v>0</v>
      </c>
      <c r="AA34" s="10" t="e">
        <f>Z34/Y34*100</f>
        <v>#DIV/0!</v>
      </c>
      <c r="AB34" s="36"/>
      <c r="AC34" s="36"/>
      <c r="AD34" s="10"/>
      <c r="AE34" s="36"/>
      <c r="AF34" s="36"/>
      <c r="AG34" s="10"/>
      <c r="AH34" s="36"/>
      <c r="AI34" s="36"/>
      <c r="AJ34" s="72">
        <f t="shared" si="17"/>
        <v>0</v>
      </c>
      <c r="AK34" s="72">
        <f t="shared" si="18"/>
        <v>0</v>
      </c>
      <c r="AL34" s="10" t="e">
        <f t="shared" si="31"/>
        <v>#DIV/0!</v>
      </c>
      <c r="AM34" s="36"/>
      <c r="AN34" s="36"/>
      <c r="AO34" s="36"/>
      <c r="AP34" s="36"/>
      <c r="AQ34" s="36"/>
      <c r="AR34" s="36"/>
      <c r="AS34" s="59">
        <f t="shared" si="19"/>
        <v>299.5</v>
      </c>
      <c r="AT34" s="59">
        <f t="shared" si="20"/>
        <v>266</v>
      </c>
      <c r="AU34" s="10">
        <f t="shared" si="7"/>
        <v>88.81469115191987</v>
      </c>
      <c r="AV34" s="59">
        <f t="shared" si="32"/>
        <v>33.5</v>
      </c>
      <c r="AW34" s="16">
        <f t="shared" si="33"/>
        <v>160.7</v>
      </c>
      <c r="AX34" s="21">
        <f t="shared" si="12"/>
        <v>299.5</v>
      </c>
      <c r="AY34" s="21">
        <f t="shared" si="13"/>
        <v>266</v>
      </c>
      <c r="AZ34" s="40">
        <f t="shared" si="14"/>
        <v>160.7</v>
      </c>
    </row>
    <row r="35" spans="1:52" ht="34.5" customHeight="1">
      <c r="A35" s="12" t="s">
        <v>30</v>
      </c>
      <c r="B35" s="62" t="s">
        <v>60</v>
      </c>
      <c r="C35" s="89">
        <v>1056.9</v>
      </c>
      <c r="D35" s="35">
        <v>329.2</v>
      </c>
      <c r="E35" s="35">
        <v>272.1</v>
      </c>
      <c r="F35" s="10">
        <f>E35/D35*100</f>
        <v>82.65492102065615</v>
      </c>
      <c r="G35" s="36">
        <v>291</v>
      </c>
      <c r="H35" s="36">
        <v>284.1</v>
      </c>
      <c r="I35" s="10">
        <f t="shared" si="1"/>
        <v>97.62886597938146</v>
      </c>
      <c r="J35" s="36">
        <v>298.9</v>
      </c>
      <c r="K35" s="36">
        <v>443.4</v>
      </c>
      <c r="L35" s="10">
        <f t="shared" si="8"/>
        <v>148.34392773502844</v>
      </c>
      <c r="M35" s="72">
        <f t="shared" si="15"/>
        <v>919.1</v>
      </c>
      <c r="N35" s="72">
        <f t="shared" si="16"/>
        <v>999.6</v>
      </c>
      <c r="O35" s="10"/>
      <c r="P35" s="36"/>
      <c r="Q35" s="36"/>
      <c r="R35" s="10"/>
      <c r="S35" s="36"/>
      <c r="T35" s="36"/>
      <c r="U35" s="10" t="e">
        <f t="shared" si="26"/>
        <v>#DIV/0!</v>
      </c>
      <c r="V35" s="36"/>
      <c r="W35" s="36"/>
      <c r="X35" s="10" t="e">
        <f t="shared" si="27"/>
        <v>#DIV/0!</v>
      </c>
      <c r="Y35" s="72">
        <f t="shared" si="28"/>
        <v>0</v>
      </c>
      <c r="Z35" s="72">
        <f t="shared" si="29"/>
        <v>0</v>
      </c>
      <c r="AA35" s="10" t="e">
        <f t="shared" si="30"/>
        <v>#DIV/0!</v>
      </c>
      <c r="AB35" s="36"/>
      <c r="AC35" s="36"/>
      <c r="AD35" s="10"/>
      <c r="AE35" s="36"/>
      <c r="AF35" s="36"/>
      <c r="AG35" s="10"/>
      <c r="AH35" s="36"/>
      <c r="AI35" s="36"/>
      <c r="AJ35" s="72">
        <f t="shared" si="17"/>
        <v>0</v>
      </c>
      <c r="AK35" s="72">
        <f t="shared" si="18"/>
        <v>0</v>
      </c>
      <c r="AL35" s="10" t="e">
        <f t="shared" si="31"/>
        <v>#DIV/0!</v>
      </c>
      <c r="AM35" s="36"/>
      <c r="AN35" s="36"/>
      <c r="AO35" s="36"/>
      <c r="AP35" s="36"/>
      <c r="AQ35" s="36"/>
      <c r="AR35" s="36"/>
      <c r="AS35" s="59">
        <f t="shared" si="19"/>
        <v>919.1</v>
      </c>
      <c r="AT35" s="59">
        <f t="shared" si="20"/>
        <v>999.6</v>
      </c>
      <c r="AU35" s="10">
        <f t="shared" si="7"/>
        <v>108.75856816450874</v>
      </c>
      <c r="AV35" s="59">
        <f t="shared" si="32"/>
        <v>-80.5</v>
      </c>
      <c r="AW35" s="16">
        <f t="shared" si="33"/>
        <v>976.4</v>
      </c>
      <c r="AX35" s="21">
        <f t="shared" si="12"/>
        <v>919.1</v>
      </c>
      <c r="AY35" s="21">
        <f t="shared" si="13"/>
        <v>999.6</v>
      </c>
      <c r="AZ35" s="40">
        <f t="shared" si="14"/>
        <v>976.4</v>
      </c>
    </row>
    <row r="36" spans="1:52" ht="34.5" customHeight="1">
      <c r="A36" s="12" t="s">
        <v>31</v>
      </c>
      <c r="B36" s="116" t="s">
        <v>61</v>
      </c>
      <c r="C36" s="91">
        <v>30.5</v>
      </c>
      <c r="D36" s="65">
        <v>15.4</v>
      </c>
      <c r="E36" s="65">
        <v>11.5</v>
      </c>
      <c r="F36" s="10">
        <f aca="true" t="shared" si="34" ref="F36:F44">E36/D36*100</f>
        <v>74.67532467532467</v>
      </c>
      <c r="G36" s="36">
        <v>15.1</v>
      </c>
      <c r="H36" s="36">
        <v>12.2</v>
      </c>
      <c r="I36" s="10">
        <f t="shared" si="1"/>
        <v>80.79470198675497</v>
      </c>
      <c r="J36" s="36">
        <v>15.1</v>
      </c>
      <c r="K36" s="36">
        <v>14.2</v>
      </c>
      <c r="L36" s="10">
        <f t="shared" si="8"/>
        <v>94.03973509933775</v>
      </c>
      <c r="M36" s="72">
        <f t="shared" si="15"/>
        <v>45.6</v>
      </c>
      <c r="N36" s="72">
        <f t="shared" si="16"/>
        <v>37.9</v>
      </c>
      <c r="O36" s="10"/>
      <c r="P36" s="36"/>
      <c r="Q36" s="36"/>
      <c r="R36" s="103"/>
      <c r="S36" s="36"/>
      <c r="T36" s="36"/>
      <c r="U36" s="103" t="e">
        <f t="shared" si="26"/>
        <v>#DIV/0!</v>
      </c>
      <c r="V36" s="36"/>
      <c r="W36" s="36"/>
      <c r="X36" s="103" t="e">
        <f t="shared" si="27"/>
        <v>#DIV/0!</v>
      </c>
      <c r="Y36" s="72">
        <f t="shared" si="28"/>
        <v>0</v>
      </c>
      <c r="Z36" s="72">
        <f t="shared" si="29"/>
        <v>0</v>
      </c>
      <c r="AA36" s="10" t="e">
        <f t="shared" si="30"/>
        <v>#DIV/0!</v>
      </c>
      <c r="AB36" s="36"/>
      <c r="AC36" s="36"/>
      <c r="AD36" s="103"/>
      <c r="AE36" s="36"/>
      <c r="AF36" s="36"/>
      <c r="AG36" s="10"/>
      <c r="AH36" s="36"/>
      <c r="AI36" s="36"/>
      <c r="AJ36" s="72">
        <f>AB36+AE36+AH36</f>
        <v>0</v>
      </c>
      <c r="AK36" s="72">
        <f>AC36+AF36+AI36</f>
        <v>0</v>
      </c>
      <c r="AL36" s="10" t="e">
        <f t="shared" si="31"/>
        <v>#DIV/0!</v>
      </c>
      <c r="AM36" s="36"/>
      <c r="AN36" s="36"/>
      <c r="AO36" s="36"/>
      <c r="AP36" s="36"/>
      <c r="AQ36" s="36"/>
      <c r="AR36" s="36"/>
      <c r="AS36" s="59">
        <f t="shared" si="19"/>
        <v>45.6</v>
      </c>
      <c r="AT36" s="59">
        <f t="shared" si="20"/>
        <v>37.9</v>
      </c>
      <c r="AU36" s="10">
        <f t="shared" si="7"/>
        <v>83.1140350877193</v>
      </c>
      <c r="AV36" s="59">
        <f t="shared" si="32"/>
        <v>7.700000000000003</v>
      </c>
      <c r="AW36" s="16">
        <f t="shared" si="33"/>
        <v>38.199999999999996</v>
      </c>
      <c r="AX36" s="21">
        <f t="shared" si="12"/>
        <v>45.6</v>
      </c>
      <c r="AY36" s="21">
        <f t="shared" si="13"/>
        <v>37.9</v>
      </c>
      <c r="AZ36" s="40">
        <f t="shared" si="14"/>
        <v>38.199999999999996</v>
      </c>
    </row>
    <row r="37" spans="1:52" ht="34.5" customHeight="1">
      <c r="A37" s="12" t="s">
        <v>32</v>
      </c>
      <c r="B37" s="117" t="s">
        <v>62</v>
      </c>
      <c r="C37" s="85">
        <v>85.8</v>
      </c>
      <c r="D37" s="36">
        <v>184.4</v>
      </c>
      <c r="E37" s="36">
        <v>188.5</v>
      </c>
      <c r="F37" s="10">
        <f t="shared" si="34"/>
        <v>102.22342733188721</v>
      </c>
      <c r="G37" s="36">
        <v>169.1</v>
      </c>
      <c r="H37" s="36">
        <v>173.1</v>
      </c>
      <c r="I37" s="10">
        <f t="shared" si="1"/>
        <v>102.36546422235364</v>
      </c>
      <c r="J37" s="36">
        <v>146.3</v>
      </c>
      <c r="K37" s="36">
        <v>143.6</v>
      </c>
      <c r="L37" s="10">
        <f t="shared" si="8"/>
        <v>98.15447710184552</v>
      </c>
      <c r="M37" s="72">
        <f t="shared" si="15"/>
        <v>499.8</v>
      </c>
      <c r="N37" s="72">
        <f t="shared" si="16"/>
        <v>505.20000000000005</v>
      </c>
      <c r="O37" s="10"/>
      <c r="P37" s="36"/>
      <c r="Q37" s="36"/>
      <c r="R37" s="10"/>
      <c r="S37" s="36"/>
      <c r="T37" s="36"/>
      <c r="U37" s="10" t="e">
        <f t="shared" si="26"/>
        <v>#DIV/0!</v>
      </c>
      <c r="V37" s="36"/>
      <c r="W37" s="36"/>
      <c r="X37" s="10" t="e">
        <f t="shared" si="27"/>
        <v>#DIV/0!</v>
      </c>
      <c r="Y37" s="72">
        <f t="shared" si="28"/>
        <v>0</v>
      </c>
      <c r="Z37" s="72">
        <f t="shared" si="29"/>
        <v>0</v>
      </c>
      <c r="AA37" s="10" t="e">
        <f t="shared" si="30"/>
        <v>#DIV/0!</v>
      </c>
      <c r="AB37" s="36"/>
      <c r="AC37" s="36"/>
      <c r="AD37" s="10"/>
      <c r="AE37" s="36"/>
      <c r="AF37" s="36"/>
      <c r="AG37" s="10"/>
      <c r="AH37" s="36"/>
      <c r="AI37" s="36"/>
      <c r="AJ37" s="72">
        <f t="shared" si="17"/>
        <v>0</v>
      </c>
      <c r="AK37" s="72">
        <f t="shared" si="18"/>
        <v>0</v>
      </c>
      <c r="AL37" s="10" t="e">
        <f t="shared" si="31"/>
        <v>#DIV/0!</v>
      </c>
      <c r="AM37" s="36"/>
      <c r="AN37" s="36"/>
      <c r="AO37" s="36"/>
      <c r="AP37" s="36"/>
      <c r="AQ37" s="36"/>
      <c r="AR37" s="36"/>
      <c r="AS37" s="59">
        <f t="shared" si="19"/>
        <v>499.8</v>
      </c>
      <c r="AT37" s="59">
        <f t="shared" si="20"/>
        <v>505.20000000000005</v>
      </c>
      <c r="AU37" s="10">
        <f t="shared" si="7"/>
        <v>101.08043217286915</v>
      </c>
      <c r="AV37" s="59">
        <f t="shared" si="32"/>
        <v>-5.400000000000034</v>
      </c>
      <c r="AW37" s="16">
        <f t="shared" si="33"/>
        <v>80.39999999999998</v>
      </c>
      <c r="AX37" s="21">
        <f t="shared" si="12"/>
        <v>499.8</v>
      </c>
      <c r="AY37" s="21">
        <f t="shared" si="13"/>
        <v>505.20000000000005</v>
      </c>
      <c r="AZ37" s="40">
        <f t="shared" si="14"/>
        <v>80.39999999999998</v>
      </c>
    </row>
    <row r="38" spans="1:52" ht="34.5" customHeight="1">
      <c r="A38" s="12" t="s">
        <v>33</v>
      </c>
      <c r="B38" s="117" t="s">
        <v>104</v>
      </c>
      <c r="C38" s="85">
        <v>582.2</v>
      </c>
      <c r="D38" s="36">
        <v>914.9</v>
      </c>
      <c r="E38" s="36">
        <v>981.9</v>
      </c>
      <c r="F38" s="10">
        <f t="shared" si="34"/>
        <v>107.32320472182752</v>
      </c>
      <c r="G38" s="36">
        <v>831.8</v>
      </c>
      <c r="H38" s="36">
        <v>884.8</v>
      </c>
      <c r="I38" s="10">
        <f t="shared" si="1"/>
        <v>106.37172397210868</v>
      </c>
      <c r="J38" s="36">
        <v>879.7</v>
      </c>
      <c r="K38" s="36">
        <v>1017.1</v>
      </c>
      <c r="L38" s="10">
        <f t="shared" si="8"/>
        <v>115.61896100943503</v>
      </c>
      <c r="M38" s="72">
        <f t="shared" si="15"/>
        <v>2626.3999999999996</v>
      </c>
      <c r="N38" s="72">
        <f t="shared" si="16"/>
        <v>2883.7999999999997</v>
      </c>
      <c r="O38" s="10"/>
      <c r="P38" s="36"/>
      <c r="Q38" s="36"/>
      <c r="R38" s="10"/>
      <c r="S38" s="36"/>
      <c r="T38" s="36"/>
      <c r="U38" s="10" t="e">
        <f t="shared" si="26"/>
        <v>#DIV/0!</v>
      </c>
      <c r="V38" s="36"/>
      <c r="W38" s="36"/>
      <c r="X38" s="10" t="e">
        <f t="shared" si="27"/>
        <v>#DIV/0!</v>
      </c>
      <c r="Y38" s="72">
        <f t="shared" si="28"/>
        <v>0</v>
      </c>
      <c r="Z38" s="72">
        <f t="shared" si="29"/>
        <v>0</v>
      </c>
      <c r="AA38" s="10" t="e">
        <f t="shared" si="30"/>
        <v>#DIV/0!</v>
      </c>
      <c r="AB38" s="36"/>
      <c r="AC38" s="36"/>
      <c r="AD38" s="10"/>
      <c r="AE38" s="36"/>
      <c r="AF38" s="36"/>
      <c r="AG38" s="10"/>
      <c r="AH38" s="36"/>
      <c r="AI38" s="36"/>
      <c r="AJ38" s="72">
        <f t="shared" si="17"/>
        <v>0</v>
      </c>
      <c r="AK38" s="72">
        <f t="shared" si="18"/>
        <v>0</v>
      </c>
      <c r="AL38" s="10" t="e">
        <f t="shared" si="31"/>
        <v>#DIV/0!</v>
      </c>
      <c r="AM38" s="36"/>
      <c r="AN38" s="36"/>
      <c r="AO38" s="36"/>
      <c r="AP38" s="36"/>
      <c r="AQ38" s="36"/>
      <c r="AR38" s="36"/>
      <c r="AS38" s="59">
        <f t="shared" si="19"/>
        <v>2626.3999999999996</v>
      </c>
      <c r="AT38" s="59">
        <f t="shared" si="20"/>
        <v>2883.7999999999997</v>
      </c>
      <c r="AU38" s="10">
        <f t="shared" si="7"/>
        <v>109.80048735912276</v>
      </c>
      <c r="AV38" s="59">
        <f t="shared" si="32"/>
        <v>-257.4000000000001</v>
      </c>
      <c r="AW38" s="16">
        <f t="shared" si="33"/>
        <v>324.7999999999997</v>
      </c>
      <c r="AX38" s="21">
        <f t="shared" si="12"/>
        <v>2626.3999999999996</v>
      </c>
      <c r="AY38" s="21">
        <f t="shared" si="13"/>
        <v>2883.7999999999997</v>
      </c>
      <c r="AZ38" s="40">
        <f t="shared" si="14"/>
        <v>324.7999999999997</v>
      </c>
    </row>
    <row r="39" spans="1:52" ht="34.5" customHeight="1">
      <c r="A39" s="12" t="s">
        <v>34</v>
      </c>
      <c r="B39" s="117" t="s">
        <v>4</v>
      </c>
      <c r="C39" s="85">
        <v>1094.2</v>
      </c>
      <c r="D39" s="36">
        <v>538.4</v>
      </c>
      <c r="E39" s="36">
        <v>0</v>
      </c>
      <c r="F39" s="10">
        <f t="shared" si="34"/>
        <v>0</v>
      </c>
      <c r="G39" s="36">
        <v>456.7</v>
      </c>
      <c r="H39" s="36">
        <v>426.7</v>
      </c>
      <c r="I39" s="10">
        <f t="shared" si="1"/>
        <v>93.43113641340048</v>
      </c>
      <c r="J39" s="36">
        <v>411.3</v>
      </c>
      <c r="K39" s="36">
        <v>564.3</v>
      </c>
      <c r="L39" s="10">
        <f t="shared" si="8"/>
        <v>137.199124726477</v>
      </c>
      <c r="M39" s="72">
        <f t="shared" si="15"/>
        <v>1406.3999999999999</v>
      </c>
      <c r="N39" s="72">
        <f t="shared" si="16"/>
        <v>991</v>
      </c>
      <c r="O39" s="10"/>
      <c r="P39" s="36"/>
      <c r="Q39" s="36"/>
      <c r="R39" s="10"/>
      <c r="S39" s="36"/>
      <c r="T39" s="36"/>
      <c r="U39" s="10" t="e">
        <f t="shared" si="26"/>
        <v>#DIV/0!</v>
      </c>
      <c r="V39" s="36"/>
      <c r="W39" s="36"/>
      <c r="X39" s="10" t="e">
        <f t="shared" si="27"/>
        <v>#DIV/0!</v>
      </c>
      <c r="Y39" s="72">
        <f t="shared" si="28"/>
        <v>0</v>
      </c>
      <c r="Z39" s="72">
        <f t="shared" si="29"/>
        <v>0</v>
      </c>
      <c r="AA39" s="10" t="e">
        <f t="shared" si="30"/>
        <v>#DIV/0!</v>
      </c>
      <c r="AB39" s="36"/>
      <c r="AC39" s="36"/>
      <c r="AD39" s="10"/>
      <c r="AE39" s="36"/>
      <c r="AF39" s="36"/>
      <c r="AG39" s="10"/>
      <c r="AH39" s="36"/>
      <c r="AI39" s="36"/>
      <c r="AJ39" s="72">
        <f t="shared" si="17"/>
        <v>0</v>
      </c>
      <c r="AK39" s="72">
        <f t="shared" si="18"/>
        <v>0</v>
      </c>
      <c r="AL39" s="10" t="e">
        <f t="shared" si="31"/>
        <v>#DIV/0!</v>
      </c>
      <c r="AM39" s="36"/>
      <c r="AN39" s="36"/>
      <c r="AO39" s="36"/>
      <c r="AP39" s="36"/>
      <c r="AQ39" s="36"/>
      <c r="AR39" s="36"/>
      <c r="AS39" s="59">
        <f t="shared" si="19"/>
        <v>1406.3999999999999</v>
      </c>
      <c r="AT39" s="59">
        <f t="shared" si="20"/>
        <v>991</v>
      </c>
      <c r="AU39" s="10">
        <f t="shared" si="7"/>
        <v>70.46359499431173</v>
      </c>
      <c r="AV39" s="59">
        <f t="shared" si="32"/>
        <v>415.39999999999986</v>
      </c>
      <c r="AW39" s="16">
        <f t="shared" si="33"/>
        <v>1509.6</v>
      </c>
      <c r="AX39" s="21">
        <f t="shared" si="12"/>
        <v>1406.3999999999999</v>
      </c>
      <c r="AY39" s="21">
        <f t="shared" si="13"/>
        <v>991</v>
      </c>
      <c r="AZ39" s="40">
        <f t="shared" si="14"/>
        <v>1509.6</v>
      </c>
    </row>
    <row r="40" spans="1:52" ht="34.5" customHeight="1">
      <c r="A40" s="12" t="s">
        <v>35</v>
      </c>
      <c r="B40" s="117" t="s">
        <v>63</v>
      </c>
      <c r="C40" s="85">
        <v>339.4</v>
      </c>
      <c r="D40" s="36">
        <v>254.3</v>
      </c>
      <c r="E40" s="36">
        <v>210.1</v>
      </c>
      <c r="F40" s="10">
        <f t="shared" si="34"/>
        <v>82.6189539913488</v>
      </c>
      <c r="G40" s="36">
        <v>213</v>
      </c>
      <c r="H40" s="36">
        <v>240.5</v>
      </c>
      <c r="I40" s="10">
        <f t="shared" si="1"/>
        <v>112.91079812206573</v>
      </c>
      <c r="J40" s="36">
        <v>209.5</v>
      </c>
      <c r="K40" s="36">
        <v>218.5</v>
      </c>
      <c r="L40" s="10">
        <f t="shared" si="8"/>
        <v>104.29594272076372</v>
      </c>
      <c r="M40" s="72">
        <f t="shared" si="15"/>
        <v>676.8</v>
      </c>
      <c r="N40" s="72">
        <f t="shared" si="16"/>
        <v>669.1</v>
      </c>
      <c r="O40" s="10"/>
      <c r="P40" s="36"/>
      <c r="Q40" s="36"/>
      <c r="R40" s="10"/>
      <c r="S40" s="36"/>
      <c r="T40" s="36"/>
      <c r="U40" s="10" t="e">
        <f t="shared" si="26"/>
        <v>#DIV/0!</v>
      </c>
      <c r="V40" s="36"/>
      <c r="W40" s="36"/>
      <c r="X40" s="10" t="e">
        <f t="shared" si="27"/>
        <v>#DIV/0!</v>
      </c>
      <c r="Y40" s="72">
        <f t="shared" si="28"/>
        <v>0</v>
      </c>
      <c r="Z40" s="72">
        <f t="shared" si="29"/>
        <v>0</v>
      </c>
      <c r="AA40" s="10" t="e">
        <f t="shared" si="30"/>
        <v>#DIV/0!</v>
      </c>
      <c r="AB40" s="36"/>
      <c r="AC40" s="36"/>
      <c r="AD40" s="10"/>
      <c r="AE40" s="36"/>
      <c r="AF40" s="36"/>
      <c r="AG40" s="10"/>
      <c r="AH40" s="36"/>
      <c r="AI40" s="36"/>
      <c r="AJ40" s="72">
        <f t="shared" si="17"/>
        <v>0</v>
      </c>
      <c r="AK40" s="72">
        <f t="shared" si="18"/>
        <v>0</v>
      </c>
      <c r="AL40" s="10" t="e">
        <f t="shared" si="31"/>
        <v>#DIV/0!</v>
      </c>
      <c r="AM40" s="36"/>
      <c r="AN40" s="36"/>
      <c r="AO40" s="36"/>
      <c r="AP40" s="36"/>
      <c r="AQ40" s="36"/>
      <c r="AR40" s="36"/>
      <c r="AS40" s="59">
        <f t="shared" si="19"/>
        <v>676.8</v>
      </c>
      <c r="AT40" s="59">
        <f t="shared" si="20"/>
        <v>669.1</v>
      </c>
      <c r="AU40" s="10">
        <f t="shared" si="7"/>
        <v>98.86229314420805</v>
      </c>
      <c r="AV40" s="59">
        <f t="shared" si="32"/>
        <v>7.699999999999932</v>
      </c>
      <c r="AW40" s="16">
        <f t="shared" si="33"/>
        <v>347.0999999999999</v>
      </c>
      <c r="AX40" s="21">
        <f t="shared" si="12"/>
        <v>676.8</v>
      </c>
      <c r="AY40" s="21">
        <f t="shared" si="13"/>
        <v>669.1</v>
      </c>
      <c r="AZ40" s="40">
        <f t="shared" si="14"/>
        <v>347.0999999999999</v>
      </c>
    </row>
    <row r="41" spans="1:52" ht="34.5" customHeight="1">
      <c r="A41" s="12" t="s">
        <v>36</v>
      </c>
      <c r="B41" s="60" t="s">
        <v>64</v>
      </c>
      <c r="C41" s="91">
        <v>94.1</v>
      </c>
      <c r="D41" s="36">
        <v>135.7</v>
      </c>
      <c r="E41" s="36">
        <v>60.2</v>
      </c>
      <c r="F41" s="10">
        <f t="shared" si="34"/>
        <v>44.36256448047163</v>
      </c>
      <c r="G41" s="36">
        <v>124.4</v>
      </c>
      <c r="H41" s="36">
        <v>168.4</v>
      </c>
      <c r="I41" s="10">
        <f t="shared" si="1"/>
        <v>135.36977491961414</v>
      </c>
      <c r="J41" s="36">
        <v>141.4</v>
      </c>
      <c r="K41" s="36">
        <v>128.1</v>
      </c>
      <c r="L41" s="10">
        <f t="shared" si="8"/>
        <v>90.59405940594058</v>
      </c>
      <c r="M41" s="72">
        <f t="shared" si="15"/>
        <v>401.5</v>
      </c>
      <c r="N41" s="72">
        <f t="shared" si="16"/>
        <v>356.70000000000005</v>
      </c>
      <c r="O41" s="10"/>
      <c r="P41" s="36"/>
      <c r="Q41" s="36"/>
      <c r="R41" s="103"/>
      <c r="S41" s="36"/>
      <c r="T41" s="36"/>
      <c r="U41" s="103" t="e">
        <f t="shared" si="26"/>
        <v>#DIV/0!</v>
      </c>
      <c r="V41" s="36"/>
      <c r="W41" s="36"/>
      <c r="X41" s="103" t="e">
        <f t="shared" si="27"/>
        <v>#DIV/0!</v>
      </c>
      <c r="Y41" s="72">
        <f t="shared" si="28"/>
        <v>0</v>
      </c>
      <c r="Z41" s="72">
        <f t="shared" si="29"/>
        <v>0</v>
      </c>
      <c r="AA41" s="10" t="e">
        <f t="shared" si="30"/>
        <v>#DIV/0!</v>
      </c>
      <c r="AB41" s="36"/>
      <c r="AC41" s="36"/>
      <c r="AD41" s="103"/>
      <c r="AE41" s="36"/>
      <c r="AF41" s="36"/>
      <c r="AG41" s="10"/>
      <c r="AH41" s="36"/>
      <c r="AI41" s="36"/>
      <c r="AJ41" s="72">
        <f t="shared" si="17"/>
        <v>0</v>
      </c>
      <c r="AK41" s="72">
        <f t="shared" si="18"/>
        <v>0</v>
      </c>
      <c r="AL41" s="10" t="e">
        <f t="shared" si="31"/>
        <v>#DIV/0!</v>
      </c>
      <c r="AM41" s="36"/>
      <c r="AN41" s="36"/>
      <c r="AO41" s="36"/>
      <c r="AP41" s="36"/>
      <c r="AQ41" s="36"/>
      <c r="AR41" s="36"/>
      <c r="AS41" s="59">
        <f t="shared" si="19"/>
        <v>401.5</v>
      </c>
      <c r="AT41" s="59">
        <f t="shared" si="20"/>
        <v>356.70000000000005</v>
      </c>
      <c r="AU41" s="10">
        <f t="shared" si="7"/>
        <v>88.84184308841844</v>
      </c>
      <c r="AV41" s="59">
        <f t="shared" si="32"/>
        <v>44.799999999999955</v>
      </c>
      <c r="AW41" s="16">
        <f t="shared" si="33"/>
        <v>138.89999999999998</v>
      </c>
      <c r="AX41" s="21">
        <f t="shared" si="12"/>
        <v>401.5</v>
      </c>
      <c r="AY41" s="21">
        <f t="shared" si="13"/>
        <v>356.70000000000005</v>
      </c>
      <c r="AZ41" s="40">
        <f t="shared" si="14"/>
        <v>138.89999999999998</v>
      </c>
    </row>
    <row r="42" spans="1:52" ht="34.5" customHeight="1">
      <c r="A42" s="12" t="s">
        <v>37</v>
      </c>
      <c r="B42" s="117" t="s">
        <v>48</v>
      </c>
      <c r="C42" s="85">
        <v>400.5</v>
      </c>
      <c r="D42" s="36">
        <v>230</v>
      </c>
      <c r="E42" s="36">
        <v>201.7</v>
      </c>
      <c r="F42" s="10">
        <f t="shared" si="34"/>
        <v>87.69565217391305</v>
      </c>
      <c r="G42" s="36">
        <v>206.5</v>
      </c>
      <c r="H42" s="36">
        <v>188</v>
      </c>
      <c r="I42" s="10">
        <f t="shared" si="1"/>
        <v>91.0411622276029</v>
      </c>
      <c r="J42" s="36">
        <v>177.5</v>
      </c>
      <c r="K42" s="36">
        <v>178.4</v>
      </c>
      <c r="L42" s="10">
        <f t="shared" si="8"/>
        <v>100.50704225352113</v>
      </c>
      <c r="M42" s="72">
        <f t="shared" si="15"/>
        <v>614</v>
      </c>
      <c r="N42" s="72">
        <f t="shared" si="16"/>
        <v>568.1</v>
      </c>
      <c r="O42" s="10"/>
      <c r="P42" s="36"/>
      <c r="Q42" s="36"/>
      <c r="R42" s="103"/>
      <c r="S42" s="36"/>
      <c r="T42" s="36"/>
      <c r="U42" s="103" t="e">
        <f t="shared" si="26"/>
        <v>#DIV/0!</v>
      </c>
      <c r="V42" s="36"/>
      <c r="W42" s="36"/>
      <c r="X42" s="103" t="e">
        <f t="shared" si="27"/>
        <v>#DIV/0!</v>
      </c>
      <c r="Y42" s="72">
        <f t="shared" si="28"/>
        <v>0</v>
      </c>
      <c r="Z42" s="72">
        <f t="shared" si="29"/>
        <v>0</v>
      </c>
      <c r="AA42" s="10" t="e">
        <f t="shared" si="30"/>
        <v>#DIV/0!</v>
      </c>
      <c r="AB42" s="36"/>
      <c r="AC42" s="36"/>
      <c r="AD42" s="103"/>
      <c r="AE42" s="36"/>
      <c r="AF42" s="36"/>
      <c r="AG42" s="10"/>
      <c r="AH42" s="36"/>
      <c r="AI42" s="36"/>
      <c r="AJ42" s="72">
        <f t="shared" si="17"/>
        <v>0</v>
      </c>
      <c r="AK42" s="72">
        <f t="shared" si="18"/>
        <v>0</v>
      </c>
      <c r="AL42" s="10" t="e">
        <f t="shared" si="31"/>
        <v>#DIV/0!</v>
      </c>
      <c r="AM42" s="36"/>
      <c r="AN42" s="36"/>
      <c r="AO42" s="36"/>
      <c r="AP42" s="36"/>
      <c r="AQ42" s="36"/>
      <c r="AR42" s="36"/>
      <c r="AS42" s="59">
        <f t="shared" si="19"/>
        <v>614</v>
      </c>
      <c r="AT42" s="59">
        <f t="shared" si="20"/>
        <v>568.1</v>
      </c>
      <c r="AU42" s="10">
        <f t="shared" si="7"/>
        <v>92.52442996742671</v>
      </c>
      <c r="AV42" s="59">
        <f t="shared" si="32"/>
        <v>45.89999999999998</v>
      </c>
      <c r="AW42" s="16">
        <f t="shared" si="33"/>
        <v>446.4</v>
      </c>
      <c r="AX42" s="21">
        <f t="shared" si="12"/>
        <v>614</v>
      </c>
      <c r="AY42" s="21">
        <f t="shared" si="13"/>
        <v>568.1</v>
      </c>
      <c r="AZ42" s="40">
        <f t="shared" si="14"/>
        <v>446.4</v>
      </c>
    </row>
    <row r="43" spans="1:52" s="11" customFormat="1" ht="34.5" customHeight="1">
      <c r="A43" s="12" t="s">
        <v>38</v>
      </c>
      <c r="B43" s="14" t="s">
        <v>66</v>
      </c>
      <c r="C43" s="68">
        <f>SUM(C44:C44)</f>
        <v>720183.6</v>
      </c>
      <c r="D43" s="16">
        <f>SUM(D44:D44)</f>
        <v>61680.5</v>
      </c>
      <c r="E43" s="16">
        <f>SUM(E44:E44)</f>
        <v>52519.6</v>
      </c>
      <c r="F43" s="10">
        <f t="shared" si="34"/>
        <v>85.14781819213528</v>
      </c>
      <c r="G43" s="16">
        <f>SUM(G44:G44)</f>
        <v>53835.7</v>
      </c>
      <c r="H43" s="16">
        <f>SUM(H44:H44)</f>
        <v>49854.8</v>
      </c>
      <c r="I43" s="10">
        <f t="shared" si="1"/>
        <v>92.60546440373211</v>
      </c>
      <c r="J43" s="16">
        <f>SUM(J44:J44)</f>
        <v>55776.3</v>
      </c>
      <c r="K43" s="16">
        <f>SUM(K44:K44)</f>
        <v>42758.3</v>
      </c>
      <c r="L43" s="10">
        <f t="shared" si="8"/>
        <v>76.66033781373093</v>
      </c>
      <c r="M43" s="16">
        <f>SUM(M44:M44)</f>
        <v>171292.5</v>
      </c>
      <c r="N43" s="16">
        <f>SUM(N44:N44)</f>
        <v>145132.7</v>
      </c>
      <c r="O43" s="10">
        <f>N43/M43*100</f>
        <v>84.72799451231083</v>
      </c>
      <c r="P43" s="16">
        <f>SUM(P44:P44)</f>
        <v>0</v>
      </c>
      <c r="Q43" s="16">
        <f>SUM(Q44:Q44)</f>
        <v>0</v>
      </c>
      <c r="R43" s="10" t="e">
        <f>Q43/P43*100</f>
        <v>#DIV/0!</v>
      </c>
      <c r="S43" s="16">
        <f>SUM(S44:S44)</f>
        <v>0</v>
      </c>
      <c r="T43" s="16">
        <f>SUM(T44:T44)</f>
        <v>0</v>
      </c>
      <c r="U43" s="10" t="e">
        <f t="shared" si="26"/>
        <v>#DIV/0!</v>
      </c>
      <c r="V43" s="16">
        <f>SUM(V44:V44)</f>
        <v>0</v>
      </c>
      <c r="W43" s="16">
        <f>SUM(W44:W44)</f>
        <v>0</v>
      </c>
      <c r="X43" s="10" t="e">
        <f t="shared" si="27"/>
        <v>#DIV/0!</v>
      </c>
      <c r="Y43" s="16">
        <f>SUM(Y44:Y44)</f>
        <v>0</v>
      </c>
      <c r="Z43" s="16">
        <f>SUM(Z44:Z44)</f>
        <v>0</v>
      </c>
      <c r="AA43" s="10" t="e">
        <f t="shared" si="30"/>
        <v>#DIV/0!</v>
      </c>
      <c r="AB43" s="16">
        <f>SUM(AB44:AB44)</f>
        <v>0</v>
      </c>
      <c r="AC43" s="16">
        <f>SUM(AC44:AC44)</f>
        <v>0</v>
      </c>
      <c r="AD43" s="10" t="e">
        <f>AC43/AB43*100</f>
        <v>#DIV/0!</v>
      </c>
      <c r="AE43" s="16">
        <f>SUM(AE44:AE44)</f>
        <v>0</v>
      </c>
      <c r="AF43" s="16">
        <f>SUM(AF44:AF44)</f>
        <v>0</v>
      </c>
      <c r="AG43" s="10" t="e">
        <f>AF43/AE43*100</f>
        <v>#DIV/0!</v>
      </c>
      <c r="AH43" s="16">
        <f>SUM(AH44:AH44)</f>
        <v>0</v>
      </c>
      <c r="AI43" s="16">
        <f>SUM(AI44:AI44)</f>
        <v>0</v>
      </c>
      <c r="AJ43" s="16">
        <f>SUM(AJ44:AJ44)</f>
        <v>0</v>
      </c>
      <c r="AK43" s="16">
        <f>SUM(AK44:AK44)</f>
        <v>0</v>
      </c>
      <c r="AL43" s="10" t="e">
        <f t="shared" si="31"/>
        <v>#DIV/0!</v>
      </c>
      <c r="AM43" s="16">
        <f aca="true" t="shared" si="35" ref="AM43:AR43">SUM(AM44:AM44)</f>
        <v>0</v>
      </c>
      <c r="AN43" s="16">
        <f t="shared" si="35"/>
        <v>0</v>
      </c>
      <c r="AO43" s="16">
        <f t="shared" si="35"/>
        <v>0</v>
      </c>
      <c r="AP43" s="16">
        <f t="shared" si="35"/>
        <v>0</v>
      </c>
      <c r="AQ43" s="16">
        <f t="shared" si="35"/>
        <v>0</v>
      </c>
      <c r="AR43" s="16">
        <f t="shared" si="35"/>
        <v>0</v>
      </c>
      <c r="AS43" s="103">
        <f>AS44</f>
        <v>171292.5</v>
      </c>
      <c r="AT43" s="103">
        <f>AT44</f>
        <v>145132.7</v>
      </c>
      <c r="AU43" s="10">
        <f t="shared" si="7"/>
        <v>84.72799451231083</v>
      </c>
      <c r="AV43" s="16">
        <f>SUM(AV44:AV44)</f>
        <v>26159.79999999999</v>
      </c>
      <c r="AW43" s="16">
        <f>SUM(AW44:AW44)</f>
        <v>746343.3999999999</v>
      </c>
      <c r="AX43" s="21">
        <f t="shared" si="12"/>
        <v>171292.5</v>
      </c>
      <c r="AY43" s="21">
        <f t="shared" si="13"/>
        <v>145132.7</v>
      </c>
      <c r="AZ43" s="40">
        <f t="shared" si="14"/>
        <v>746343.3999999999</v>
      </c>
    </row>
    <row r="44" spans="1:52" s="11" customFormat="1" ht="34.5" customHeight="1">
      <c r="A44" s="12"/>
      <c r="B44" s="39" t="s">
        <v>67</v>
      </c>
      <c r="C44" s="85">
        <v>720183.6</v>
      </c>
      <c r="D44" s="36">
        <v>61680.5</v>
      </c>
      <c r="E44" s="36">
        <v>52519.6</v>
      </c>
      <c r="F44" s="10">
        <f t="shared" si="34"/>
        <v>85.14781819213528</v>
      </c>
      <c r="G44" s="36">
        <v>53835.7</v>
      </c>
      <c r="H44" s="36">
        <v>49854.8</v>
      </c>
      <c r="I44" s="10">
        <f t="shared" si="1"/>
        <v>92.60546440373211</v>
      </c>
      <c r="J44" s="36">
        <v>55776.3</v>
      </c>
      <c r="K44" s="36">
        <v>42758.3</v>
      </c>
      <c r="L44" s="10">
        <f t="shared" si="8"/>
        <v>76.66033781373093</v>
      </c>
      <c r="M44" s="72">
        <f>D44+G44+J44</f>
        <v>171292.5</v>
      </c>
      <c r="N44" s="72">
        <f>E44+H44+K44</f>
        <v>145132.7</v>
      </c>
      <c r="O44" s="10"/>
      <c r="P44" s="36"/>
      <c r="Q44" s="36"/>
      <c r="R44" s="10"/>
      <c r="S44" s="36"/>
      <c r="T44" s="36"/>
      <c r="U44" s="10" t="e">
        <f t="shared" si="26"/>
        <v>#DIV/0!</v>
      </c>
      <c r="V44" s="36"/>
      <c r="W44" s="36"/>
      <c r="X44" s="10" t="e">
        <f t="shared" si="27"/>
        <v>#DIV/0!</v>
      </c>
      <c r="Y44" s="72">
        <f>P44+S44+V44</f>
        <v>0</v>
      </c>
      <c r="Z44" s="72">
        <f>Q44+T44+W44</f>
        <v>0</v>
      </c>
      <c r="AA44" s="10" t="e">
        <f t="shared" si="30"/>
        <v>#DIV/0!</v>
      </c>
      <c r="AB44" s="36"/>
      <c r="AC44" s="36"/>
      <c r="AD44" s="10"/>
      <c r="AE44" s="36"/>
      <c r="AF44" s="36"/>
      <c r="AG44" s="10"/>
      <c r="AH44" s="36"/>
      <c r="AI44" s="36"/>
      <c r="AJ44" s="72">
        <f>AB44+AE44+AH44</f>
        <v>0</v>
      </c>
      <c r="AK44" s="72">
        <f>AC44+AF44+AI44</f>
        <v>0</v>
      </c>
      <c r="AL44" s="10" t="e">
        <f t="shared" si="31"/>
        <v>#DIV/0!</v>
      </c>
      <c r="AM44" s="36"/>
      <c r="AN44" s="36"/>
      <c r="AO44" s="36"/>
      <c r="AP44" s="36"/>
      <c r="AQ44" s="36"/>
      <c r="AR44" s="36"/>
      <c r="AS44" s="59">
        <f>M44+Y44+AJ44+AM44+AO44+AQ44</f>
        <v>171292.5</v>
      </c>
      <c r="AT44" s="59">
        <f>N44+Z44+AK44+AN44+AP44+AR44</f>
        <v>145132.7</v>
      </c>
      <c r="AU44" s="10">
        <f t="shared" si="7"/>
        <v>84.72799451231083</v>
      </c>
      <c r="AV44" s="59">
        <f t="shared" si="32"/>
        <v>26159.79999999999</v>
      </c>
      <c r="AW44" s="16">
        <f>C44+AS44-AT44</f>
        <v>746343.3999999999</v>
      </c>
      <c r="AX44" s="21">
        <f t="shared" si="12"/>
        <v>171292.5</v>
      </c>
      <c r="AY44" s="21">
        <f t="shared" si="13"/>
        <v>145132.7</v>
      </c>
      <c r="AZ44" s="40">
        <f t="shared" si="14"/>
        <v>746343.3999999999</v>
      </c>
    </row>
    <row r="45" spans="1:52" ht="34.5" customHeight="1">
      <c r="A45" s="12"/>
      <c r="B45" s="14" t="s">
        <v>105</v>
      </c>
      <c r="C45" s="68">
        <f>C43+C7</f>
        <v>725803.6</v>
      </c>
      <c r="D45" s="16">
        <f>D43+D7</f>
        <v>65727.9</v>
      </c>
      <c r="E45" s="16">
        <f>E43+E7</f>
        <v>55684.799999999996</v>
      </c>
      <c r="F45" s="10">
        <f>E45/D45*100</f>
        <v>84.7201873177144</v>
      </c>
      <c r="G45" s="16">
        <f>G7+G43</f>
        <v>57567.1</v>
      </c>
      <c r="H45" s="16">
        <f>H7+H43</f>
        <v>53497.3</v>
      </c>
      <c r="I45" s="10">
        <f t="shared" si="1"/>
        <v>92.9303369459292</v>
      </c>
      <c r="J45" s="16">
        <f>J7+J43</f>
        <v>59496.8</v>
      </c>
      <c r="K45" s="16">
        <f>K7+K43</f>
        <v>47539.200000000004</v>
      </c>
      <c r="L45" s="10">
        <f t="shared" si="8"/>
        <v>79.90211238251469</v>
      </c>
      <c r="M45" s="16">
        <f>M7+M43</f>
        <v>183360.8</v>
      </c>
      <c r="N45" s="16">
        <f>N7+N43</f>
        <v>157218.5</v>
      </c>
      <c r="O45" s="10">
        <f>N45/M45*100</f>
        <v>85.74269963918132</v>
      </c>
      <c r="P45" s="16">
        <f>P7+P43</f>
        <v>0</v>
      </c>
      <c r="Q45" s="16">
        <f>Q7+Q43</f>
        <v>0</v>
      </c>
      <c r="R45" s="10" t="e">
        <f>Q45/P45*100</f>
        <v>#DIV/0!</v>
      </c>
      <c r="S45" s="16">
        <f>S7+S43</f>
        <v>0</v>
      </c>
      <c r="T45" s="16">
        <f>T7+T43</f>
        <v>0</v>
      </c>
      <c r="U45" s="10" t="e">
        <f t="shared" si="26"/>
        <v>#DIV/0!</v>
      </c>
      <c r="V45" s="16">
        <f>V7+V43</f>
        <v>0</v>
      </c>
      <c r="W45" s="16">
        <f>W7+W43</f>
        <v>0</v>
      </c>
      <c r="X45" s="10" t="e">
        <f t="shared" si="27"/>
        <v>#DIV/0!</v>
      </c>
      <c r="Y45" s="16">
        <f>Y7+Y43</f>
        <v>0</v>
      </c>
      <c r="Z45" s="16">
        <f>Z7+Z43</f>
        <v>0</v>
      </c>
      <c r="AA45" s="10" t="e">
        <f t="shared" si="30"/>
        <v>#DIV/0!</v>
      </c>
      <c r="AB45" s="16">
        <f>AB7+AB43</f>
        <v>0</v>
      </c>
      <c r="AC45" s="16">
        <f>AC7+AC43</f>
        <v>0</v>
      </c>
      <c r="AD45" s="10" t="e">
        <f>AC45/AB45*100</f>
        <v>#DIV/0!</v>
      </c>
      <c r="AE45" s="16">
        <f>AE43+AE7</f>
        <v>0</v>
      </c>
      <c r="AF45" s="16">
        <f>AF43+AF7</f>
        <v>0</v>
      </c>
      <c r="AG45" s="10" t="e">
        <f>AF45/AE45*100</f>
        <v>#DIV/0!</v>
      </c>
      <c r="AH45" s="16">
        <f>AH43+AH7</f>
        <v>0</v>
      </c>
      <c r="AI45" s="16">
        <f>AI43+AI7</f>
        <v>0</v>
      </c>
      <c r="AJ45" s="16">
        <f>AJ7+AJ43</f>
        <v>0</v>
      </c>
      <c r="AK45" s="16">
        <f>AK7+AK43</f>
        <v>0</v>
      </c>
      <c r="AL45" s="10" t="e">
        <f t="shared" si="31"/>
        <v>#DIV/0!</v>
      </c>
      <c r="AM45" s="16">
        <f aca="true" t="shared" si="36" ref="AM45:AR45">AM43+AM7</f>
        <v>0</v>
      </c>
      <c r="AN45" s="16">
        <f t="shared" si="36"/>
        <v>0</v>
      </c>
      <c r="AO45" s="16">
        <f t="shared" si="36"/>
        <v>0</v>
      </c>
      <c r="AP45" s="16">
        <f t="shared" si="36"/>
        <v>0</v>
      </c>
      <c r="AQ45" s="16">
        <f t="shared" si="36"/>
        <v>0</v>
      </c>
      <c r="AR45" s="16">
        <f t="shared" si="36"/>
        <v>0</v>
      </c>
      <c r="AS45" s="68">
        <f>AS7+AS43</f>
        <v>182791.8</v>
      </c>
      <c r="AT45" s="68">
        <f>AT7+AT43</f>
        <v>156721.30000000002</v>
      </c>
      <c r="AU45" s="10">
        <f>AT45/AS45*100</f>
        <v>85.7375987325471</v>
      </c>
      <c r="AV45" s="16">
        <f>AV7+AV43</f>
        <v>26070.49999999999</v>
      </c>
      <c r="AW45" s="16">
        <f>AW7+AW43</f>
        <v>751874.0999999999</v>
      </c>
      <c r="AX45" s="21">
        <f t="shared" si="12"/>
        <v>182791.8</v>
      </c>
      <c r="AY45" s="21">
        <f t="shared" si="13"/>
        <v>156721.30000000002</v>
      </c>
      <c r="AZ45" s="40">
        <f t="shared" si="14"/>
        <v>751874.0999999999</v>
      </c>
    </row>
    <row r="46" spans="1:61" s="113" customFormat="1" ht="78.75" customHeight="1">
      <c r="A46" s="163" t="s">
        <v>110</v>
      </c>
      <c r="B46" s="163"/>
      <c r="C46" s="163"/>
      <c r="D46" s="128"/>
      <c r="E46" s="128"/>
      <c r="F46" s="129"/>
      <c r="G46" s="128"/>
      <c r="H46" s="128"/>
      <c r="I46" s="129"/>
      <c r="J46" s="128"/>
      <c r="K46" s="128"/>
      <c r="L46" s="129"/>
      <c r="M46" s="129"/>
      <c r="N46" s="129"/>
      <c r="O46" s="129"/>
      <c r="P46" s="128"/>
      <c r="Q46" s="128"/>
      <c r="R46" s="129"/>
      <c r="S46" s="128"/>
      <c r="T46" s="128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8"/>
      <c r="AT46" s="128"/>
      <c r="AU46" s="129"/>
      <c r="AV46" s="129"/>
      <c r="AW46" s="130" t="s">
        <v>109</v>
      </c>
      <c r="AX46" s="128"/>
      <c r="AY46" s="128"/>
      <c r="AZ46" s="128"/>
      <c r="BA46" s="128"/>
      <c r="BB46" s="128"/>
      <c r="BC46" s="128"/>
      <c r="BD46" s="128"/>
      <c r="BE46" s="128"/>
      <c r="BF46" s="131"/>
      <c r="BG46" s="131"/>
      <c r="BH46" s="131"/>
      <c r="BI46" s="131"/>
    </row>
    <row r="47" spans="1:61" s="11" customFormat="1" ht="19.5" customHeight="1" hidden="1">
      <c r="A47" s="24"/>
      <c r="B47" s="11" t="s">
        <v>70</v>
      </c>
      <c r="C47" s="20"/>
      <c r="D47" s="21"/>
      <c r="E47" s="21"/>
      <c r="F47" s="22"/>
      <c r="G47" s="28"/>
      <c r="H47" s="28"/>
      <c r="I47" s="50"/>
      <c r="J47" s="28"/>
      <c r="K47" s="28"/>
      <c r="L47" s="50"/>
      <c r="M47" s="50"/>
      <c r="N47" s="50"/>
      <c r="O47" s="50"/>
      <c r="P47" s="28"/>
      <c r="Q47" s="28"/>
      <c r="R47" s="50"/>
      <c r="S47" s="28"/>
      <c r="T47" s="28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2"/>
      <c r="AF47" s="22"/>
      <c r="AG47" s="22"/>
      <c r="AH47" s="22"/>
      <c r="AI47" s="22"/>
      <c r="AJ47" s="50"/>
      <c r="AK47" s="50"/>
      <c r="AL47" s="50"/>
      <c r="AM47" s="22"/>
      <c r="AN47" s="22"/>
      <c r="AO47" s="22"/>
      <c r="AP47" s="22"/>
      <c r="AQ47" s="22"/>
      <c r="AR47" s="22"/>
      <c r="AS47" s="28"/>
      <c r="AT47" s="28"/>
      <c r="AU47" s="50"/>
      <c r="AV47" s="177" t="s">
        <v>75</v>
      </c>
      <c r="AW47" s="178"/>
      <c r="AX47" s="22"/>
      <c r="AY47" s="22"/>
      <c r="AZ47" s="22"/>
      <c r="BA47" s="22"/>
      <c r="BB47" s="22"/>
      <c r="BC47" s="21"/>
      <c r="BD47" s="6"/>
      <c r="BE47" s="6"/>
      <c r="BF47" s="23"/>
      <c r="BG47" s="6"/>
      <c r="BI47" s="6"/>
    </row>
    <row r="48" spans="1:61" s="11" customFormat="1" ht="7.5" customHeight="1" hidden="1">
      <c r="A48" s="19"/>
      <c r="C48" s="20"/>
      <c r="D48" s="21"/>
      <c r="E48" s="21"/>
      <c r="F48" s="22"/>
      <c r="G48" s="32"/>
      <c r="H48" s="32"/>
      <c r="I48" s="33"/>
      <c r="J48" s="32"/>
      <c r="K48" s="32"/>
      <c r="L48" s="33"/>
      <c r="M48" s="33"/>
      <c r="N48" s="33"/>
      <c r="O48" s="33"/>
      <c r="P48" s="32"/>
      <c r="Q48" s="32"/>
      <c r="R48" s="33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22"/>
      <c r="AF48" s="22"/>
      <c r="AG48" s="22"/>
      <c r="AH48" s="22"/>
      <c r="AI48" s="22"/>
      <c r="AJ48" s="33"/>
      <c r="AK48" s="33"/>
      <c r="AL48" s="33"/>
      <c r="AM48" s="22"/>
      <c r="AN48" s="22"/>
      <c r="AO48" s="22"/>
      <c r="AP48" s="22"/>
      <c r="AQ48" s="22"/>
      <c r="AR48" s="22"/>
      <c r="AS48" s="32"/>
      <c r="AT48" s="32"/>
      <c r="AU48" s="33"/>
      <c r="AV48" s="2"/>
      <c r="AW48" s="4" t="s">
        <v>73</v>
      </c>
      <c r="AX48" s="22"/>
      <c r="AY48" s="22"/>
      <c r="AZ48" s="22"/>
      <c r="BA48" s="22"/>
      <c r="BB48" s="22"/>
      <c r="BC48" s="21"/>
      <c r="BD48" s="6"/>
      <c r="BE48" s="6"/>
      <c r="BF48" s="23"/>
      <c r="BG48" s="6"/>
      <c r="BI48" s="6"/>
    </row>
    <row r="49" spans="1:61" s="11" customFormat="1" ht="19.5" customHeight="1" hidden="1">
      <c r="A49" s="24"/>
      <c r="B49" s="11" t="s">
        <v>71</v>
      </c>
      <c r="C49" s="20"/>
      <c r="D49" s="21"/>
      <c r="E49" s="21"/>
      <c r="F49" s="22"/>
      <c r="G49" s="2"/>
      <c r="I49" s="11" t="s">
        <v>45</v>
      </c>
      <c r="J49" s="2"/>
      <c r="L49" s="11" t="s">
        <v>45</v>
      </c>
      <c r="P49" s="2"/>
      <c r="R49" s="11" t="s">
        <v>45</v>
      </c>
      <c r="S49" s="2"/>
      <c r="U49" s="11" t="s">
        <v>45</v>
      </c>
      <c r="AE49" s="22"/>
      <c r="AF49" s="22"/>
      <c r="AG49" s="22"/>
      <c r="AH49" s="22"/>
      <c r="AI49" s="22"/>
      <c r="AM49" s="22"/>
      <c r="AN49" s="22"/>
      <c r="AO49" s="22"/>
      <c r="AP49" s="22"/>
      <c r="AQ49" s="22"/>
      <c r="AR49" s="22"/>
      <c r="AW49" s="2"/>
      <c r="AX49" s="22"/>
      <c r="AY49" s="22"/>
      <c r="AZ49" s="22"/>
      <c r="BA49" s="22"/>
      <c r="BB49" s="22"/>
      <c r="BC49" s="21"/>
      <c r="BD49" s="6"/>
      <c r="BE49" s="6"/>
      <c r="BF49" s="23"/>
      <c r="BG49" s="6"/>
      <c r="BI49" s="6"/>
    </row>
    <row r="50" spans="1:61" ht="24.75" customHeight="1">
      <c r="A50" s="2"/>
      <c r="C50" s="25"/>
      <c r="D50" s="18"/>
      <c r="E50" s="18"/>
      <c r="F50" s="22"/>
      <c r="AE50" s="49"/>
      <c r="AF50" s="49"/>
      <c r="AG50" s="49"/>
      <c r="AH50" s="49"/>
      <c r="AI50" s="49"/>
      <c r="AM50" s="49"/>
      <c r="AN50" s="49"/>
      <c r="AO50" s="49"/>
      <c r="AP50" s="49"/>
      <c r="AQ50" s="49"/>
      <c r="AR50" s="49"/>
      <c r="AX50" s="101"/>
      <c r="AY50" s="18"/>
      <c r="AZ50" s="18"/>
      <c r="BA50" s="18"/>
      <c r="BB50" s="18"/>
      <c r="BC50" s="18"/>
      <c r="BD50" s="7"/>
      <c r="BE50" s="7"/>
      <c r="BF50" s="26"/>
      <c r="BG50" s="7"/>
      <c r="BI50" s="7"/>
    </row>
    <row r="51" spans="1:50" s="30" customFormat="1" ht="46.5" customHeight="1">
      <c r="A51" s="27"/>
      <c r="B51" s="173" t="s">
        <v>76</v>
      </c>
      <c r="C51" s="173"/>
      <c r="D51" s="173"/>
      <c r="E51" s="173"/>
      <c r="F51" s="173"/>
      <c r="G51" s="2"/>
      <c r="H51" s="2"/>
      <c r="I51" s="11"/>
      <c r="J51" s="2"/>
      <c r="K51" s="2"/>
      <c r="L51" s="11"/>
      <c r="M51" s="11"/>
      <c r="N51" s="11"/>
      <c r="O51" s="11"/>
      <c r="P51" s="2"/>
      <c r="Q51" s="2"/>
      <c r="R51" s="11"/>
      <c r="S51" s="2"/>
      <c r="T51" s="2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50"/>
      <c r="AF51" s="50"/>
      <c r="AG51" s="50"/>
      <c r="AH51" s="50"/>
      <c r="AI51" s="50"/>
      <c r="AJ51" s="11"/>
      <c r="AK51" s="11"/>
      <c r="AL51" s="11"/>
      <c r="AM51" s="50"/>
      <c r="AN51" s="50"/>
      <c r="AO51" s="50"/>
      <c r="AP51" s="50"/>
      <c r="AQ51" s="50"/>
      <c r="AR51" s="50"/>
      <c r="AS51" s="2"/>
      <c r="AT51" s="2"/>
      <c r="AU51" s="11"/>
      <c r="AV51" s="2"/>
      <c r="AW51" s="2"/>
      <c r="AX51" s="29"/>
    </row>
    <row r="52" spans="1:49" ht="73.5" customHeight="1" hidden="1">
      <c r="A52" s="172" t="s">
        <v>72</v>
      </c>
      <c r="B52" s="172"/>
      <c r="C52" s="31"/>
      <c r="D52" s="31"/>
      <c r="E52" s="31"/>
      <c r="F52" s="31"/>
      <c r="G52" s="18"/>
      <c r="H52" s="18"/>
      <c r="I52" s="49"/>
      <c r="J52" s="18"/>
      <c r="K52" s="18"/>
      <c r="L52" s="49"/>
      <c r="M52" s="49"/>
      <c r="N52" s="49"/>
      <c r="O52" s="49"/>
      <c r="P52" s="18"/>
      <c r="Q52" s="18"/>
      <c r="R52" s="49"/>
      <c r="S52" s="18"/>
      <c r="T52" s="1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33"/>
      <c r="AF52" s="33"/>
      <c r="AG52" s="33"/>
      <c r="AH52" s="33"/>
      <c r="AI52" s="33"/>
      <c r="AJ52" s="49"/>
      <c r="AK52" s="49"/>
      <c r="AL52" s="49"/>
      <c r="AM52" s="33"/>
      <c r="AN52" s="33"/>
      <c r="AO52" s="33"/>
      <c r="AP52" s="33"/>
      <c r="AQ52" s="33"/>
      <c r="AR52" s="33"/>
      <c r="AS52" s="18"/>
      <c r="AT52" s="18"/>
      <c r="AU52" s="49"/>
      <c r="AV52" s="18"/>
      <c r="AW52" s="18"/>
    </row>
    <row r="53" spans="2:49" ht="18.75">
      <c r="B53" s="95"/>
      <c r="G53" s="18"/>
      <c r="H53" s="18"/>
      <c r="I53" s="49"/>
      <c r="J53" s="18"/>
      <c r="K53" s="18"/>
      <c r="L53" s="49"/>
      <c r="M53" s="49"/>
      <c r="N53" s="49"/>
      <c r="O53" s="49"/>
      <c r="P53" s="18"/>
      <c r="Q53" s="18"/>
      <c r="R53" s="49"/>
      <c r="S53" s="18"/>
      <c r="T53" s="1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J53" s="49"/>
      <c r="AK53" s="49"/>
      <c r="AL53" s="49"/>
      <c r="AS53" s="18"/>
      <c r="AT53" s="18"/>
      <c r="AU53" s="49"/>
      <c r="AV53" s="18"/>
      <c r="AW53" s="18"/>
    </row>
    <row r="54" spans="7:49" ht="18.75">
      <c r="G54" s="18"/>
      <c r="H54" s="18"/>
      <c r="I54" s="49"/>
      <c r="J54" s="18"/>
      <c r="K54" s="18"/>
      <c r="L54" s="49"/>
      <c r="M54" s="49"/>
      <c r="N54" s="49"/>
      <c r="O54" s="49"/>
      <c r="P54" s="18"/>
      <c r="Q54" s="18"/>
      <c r="R54" s="49"/>
      <c r="S54" s="18"/>
      <c r="T54" s="18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J54" s="49"/>
      <c r="AK54" s="49"/>
      <c r="AL54" s="49"/>
      <c r="AS54" s="18"/>
      <c r="AT54" s="18"/>
      <c r="AU54" s="49"/>
      <c r="AV54" s="18"/>
      <c r="AW54" s="18"/>
    </row>
    <row r="55" spans="2:49" ht="18.75">
      <c r="B55" s="95"/>
      <c r="G55" s="18"/>
      <c r="H55" s="18"/>
      <c r="I55" s="49"/>
      <c r="J55" s="18"/>
      <c r="K55" s="18"/>
      <c r="L55" s="49"/>
      <c r="M55" s="49"/>
      <c r="N55" s="49"/>
      <c r="O55" s="49"/>
      <c r="P55" s="18"/>
      <c r="Q55" s="18"/>
      <c r="R55" s="49"/>
      <c r="S55" s="18"/>
      <c r="T55" s="1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J55" s="49"/>
      <c r="AK55" s="49"/>
      <c r="AL55" s="49"/>
      <c r="AS55" s="18"/>
      <c r="AT55" s="18"/>
      <c r="AU55" s="49"/>
      <c r="AV55" s="18"/>
      <c r="AW55" s="18"/>
    </row>
    <row r="56" spans="2:49" ht="18.75">
      <c r="B56" s="95"/>
      <c r="G56" s="18"/>
      <c r="H56" s="18"/>
      <c r="I56" s="49"/>
      <c r="J56" s="18"/>
      <c r="K56" s="18"/>
      <c r="L56" s="49"/>
      <c r="M56" s="49"/>
      <c r="N56" s="49"/>
      <c r="O56" s="49"/>
      <c r="P56" s="18"/>
      <c r="Q56" s="18"/>
      <c r="R56" s="49"/>
      <c r="S56" s="18"/>
      <c r="T56" s="18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J56" s="49"/>
      <c r="AK56" s="49"/>
      <c r="AL56" s="49"/>
      <c r="AS56" s="18"/>
      <c r="AT56" s="18"/>
      <c r="AU56" s="49"/>
      <c r="AV56" s="18"/>
      <c r="AW56" s="18"/>
    </row>
    <row r="57" spans="2:49" ht="18.75">
      <c r="B57" s="95"/>
      <c r="G57" s="18"/>
      <c r="H57" s="18"/>
      <c r="I57" s="49"/>
      <c r="J57" s="18"/>
      <c r="K57" s="18"/>
      <c r="L57" s="49"/>
      <c r="M57" s="49"/>
      <c r="N57" s="49"/>
      <c r="O57" s="49"/>
      <c r="P57" s="18"/>
      <c r="Q57" s="18"/>
      <c r="R57" s="49"/>
      <c r="S57" s="18"/>
      <c r="T57" s="1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J57" s="49"/>
      <c r="AK57" s="49"/>
      <c r="AL57" s="49"/>
      <c r="AS57" s="18"/>
      <c r="AT57" s="18"/>
      <c r="AU57" s="49"/>
      <c r="AV57" s="18"/>
      <c r="AW57" s="18"/>
    </row>
    <row r="58" spans="2:49" ht="18.75">
      <c r="B58" s="95"/>
      <c r="G58" s="18"/>
      <c r="H58" s="18"/>
      <c r="I58" s="49"/>
      <c r="J58" s="18"/>
      <c r="K58" s="18"/>
      <c r="L58" s="49"/>
      <c r="M58" s="49"/>
      <c r="N58" s="49"/>
      <c r="O58" s="49"/>
      <c r="P58" s="18"/>
      <c r="Q58" s="18"/>
      <c r="R58" s="49"/>
      <c r="S58" s="18"/>
      <c r="T58" s="18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J58" s="49"/>
      <c r="AK58" s="49"/>
      <c r="AL58" s="49"/>
      <c r="AS58" s="18"/>
      <c r="AT58" s="18"/>
      <c r="AU58" s="49"/>
      <c r="AV58" s="18"/>
      <c r="AW58" s="18"/>
    </row>
    <row r="59" spans="2:49" ht="18.75">
      <c r="B59" s="95"/>
      <c r="G59" s="18"/>
      <c r="H59" s="18"/>
      <c r="I59" s="49"/>
      <c r="J59" s="18"/>
      <c r="K59" s="18"/>
      <c r="L59" s="49"/>
      <c r="M59" s="49"/>
      <c r="N59" s="49"/>
      <c r="O59" s="49"/>
      <c r="P59" s="18"/>
      <c r="Q59" s="18"/>
      <c r="R59" s="49"/>
      <c r="S59" s="18"/>
      <c r="T59" s="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J59" s="49"/>
      <c r="AK59" s="49"/>
      <c r="AL59" s="49"/>
      <c r="AS59" s="18"/>
      <c r="AT59" s="18"/>
      <c r="AU59" s="49"/>
      <c r="AV59" s="18"/>
      <c r="AW59" s="18"/>
    </row>
    <row r="60" spans="7:49" ht="18.75">
      <c r="G60" s="18"/>
      <c r="H60" s="18"/>
      <c r="I60" s="49"/>
      <c r="J60" s="18"/>
      <c r="K60" s="18"/>
      <c r="L60" s="49"/>
      <c r="M60" s="49"/>
      <c r="N60" s="49"/>
      <c r="O60" s="49"/>
      <c r="P60" s="18"/>
      <c r="Q60" s="18"/>
      <c r="R60" s="49"/>
      <c r="S60" s="18"/>
      <c r="T60" s="1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J60" s="49"/>
      <c r="AK60" s="49"/>
      <c r="AL60" s="49"/>
      <c r="AS60" s="18"/>
      <c r="AT60" s="18"/>
      <c r="AU60" s="49"/>
      <c r="AV60" s="18"/>
      <c r="AW60" s="18"/>
    </row>
    <row r="61" spans="7:49" ht="18.75">
      <c r="G61" s="18"/>
      <c r="H61" s="18"/>
      <c r="I61" s="49"/>
      <c r="J61" s="18"/>
      <c r="K61" s="18"/>
      <c r="L61" s="49"/>
      <c r="M61" s="49"/>
      <c r="N61" s="49"/>
      <c r="O61" s="49"/>
      <c r="P61" s="18"/>
      <c r="Q61" s="18"/>
      <c r="R61" s="49"/>
      <c r="S61" s="18"/>
      <c r="T61" s="18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J61" s="49"/>
      <c r="AK61" s="49"/>
      <c r="AL61" s="49"/>
      <c r="AS61" s="18"/>
      <c r="AT61" s="18"/>
      <c r="AU61" s="49"/>
      <c r="AV61" s="18"/>
      <c r="AW61" s="18"/>
    </row>
    <row r="62" spans="7:49" ht="18.75">
      <c r="G62" s="18"/>
      <c r="H62" s="18"/>
      <c r="I62" s="49"/>
      <c r="J62" s="18"/>
      <c r="K62" s="18"/>
      <c r="L62" s="49"/>
      <c r="M62" s="49"/>
      <c r="N62" s="49"/>
      <c r="O62" s="49"/>
      <c r="P62" s="18"/>
      <c r="Q62" s="18"/>
      <c r="R62" s="49"/>
      <c r="S62" s="18"/>
      <c r="T62" s="1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J62" s="49"/>
      <c r="AK62" s="49"/>
      <c r="AL62" s="49"/>
      <c r="AS62" s="18"/>
      <c r="AT62" s="18"/>
      <c r="AU62" s="49"/>
      <c r="AV62" s="18"/>
      <c r="AW62" s="18"/>
    </row>
    <row r="63" spans="7:49" ht="18.75">
      <c r="G63" s="18"/>
      <c r="H63" s="18"/>
      <c r="I63" s="49"/>
      <c r="J63" s="18"/>
      <c r="K63" s="18"/>
      <c r="L63" s="49"/>
      <c r="M63" s="49"/>
      <c r="N63" s="49"/>
      <c r="O63" s="49"/>
      <c r="P63" s="18"/>
      <c r="Q63" s="18"/>
      <c r="R63" s="49"/>
      <c r="S63" s="18"/>
      <c r="T63" s="18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J63" s="49"/>
      <c r="AK63" s="49"/>
      <c r="AL63" s="49"/>
      <c r="AS63" s="18"/>
      <c r="AT63" s="18"/>
      <c r="AU63" s="49"/>
      <c r="AV63" s="18"/>
      <c r="AW63" s="18"/>
    </row>
    <row r="64" spans="7:49" ht="18.75">
      <c r="G64" s="18"/>
      <c r="H64" s="18"/>
      <c r="I64" s="49"/>
      <c r="J64" s="18"/>
      <c r="K64" s="18"/>
      <c r="L64" s="49"/>
      <c r="M64" s="49"/>
      <c r="N64" s="49"/>
      <c r="O64" s="49"/>
      <c r="P64" s="18"/>
      <c r="Q64" s="18"/>
      <c r="R64" s="49"/>
      <c r="S64" s="18"/>
      <c r="T64" s="18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J64" s="49"/>
      <c r="AK64" s="49"/>
      <c r="AL64" s="49"/>
      <c r="AS64" s="18"/>
      <c r="AT64" s="18"/>
      <c r="AU64" s="49"/>
      <c r="AV64" s="18"/>
      <c r="AW64" s="18"/>
    </row>
    <row r="65" spans="7:49" ht="18.75">
      <c r="G65" s="18"/>
      <c r="H65" s="18"/>
      <c r="I65" s="49"/>
      <c r="J65" s="18"/>
      <c r="K65" s="18"/>
      <c r="L65" s="49"/>
      <c r="M65" s="49"/>
      <c r="N65" s="49"/>
      <c r="O65" s="49"/>
      <c r="P65" s="18"/>
      <c r="Q65" s="18"/>
      <c r="R65" s="49"/>
      <c r="S65" s="18"/>
      <c r="T65" s="18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J65" s="49"/>
      <c r="AK65" s="49"/>
      <c r="AL65" s="49"/>
      <c r="AS65" s="18"/>
      <c r="AT65" s="18"/>
      <c r="AU65" s="49"/>
      <c r="AV65" s="18"/>
      <c r="AW65" s="18"/>
    </row>
    <row r="66" spans="7:49" ht="18.75">
      <c r="G66" s="18"/>
      <c r="H66" s="18"/>
      <c r="I66" s="49"/>
      <c r="J66" s="18"/>
      <c r="K66" s="18"/>
      <c r="L66" s="49"/>
      <c r="M66" s="49"/>
      <c r="N66" s="49"/>
      <c r="O66" s="49"/>
      <c r="P66" s="18"/>
      <c r="Q66" s="18"/>
      <c r="R66" s="49"/>
      <c r="S66" s="18"/>
      <c r="T66" s="18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J66" s="49"/>
      <c r="AK66" s="49"/>
      <c r="AL66" s="49"/>
      <c r="AS66" s="18"/>
      <c r="AT66" s="18"/>
      <c r="AU66" s="49"/>
      <c r="AV66" s="18"/>
      <c r="AW66" s="18"/>
    </row>
    <row r="67" spans="7:49" ht="18.75">
      <c r="G67" s="18"/>
      <c r="H67" s="18"/>
      <c r="I67" s="49"/>
      <c r="J67" s="18"/>
      <c r="K67" s="18"/>
      <c r="L67" s="49"/>
      <c r="M67" s="49"/>
      <c r="N67" s="49"/>
      <c r="O67" s="49"/>
      <c r="P67" s="18"/>
      <c r="Q67" s="18"/>
      <c r="R67" s="49"/>
      <c r="S67" s="18"/>
      <c r="T67" s="18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J67" s="49"/>
      <c r="AK67" s="49"/>
      <c r="AL67" s="49"/>
      <c r="AS67" s="18"/>
      <c r="AT67" s="18"/>
      <c r="AU67" s="49"/>
      <c r="AV67" s="18"/>
      <c r="AW67" s="18"/>
    </row>
    <row r="68" spans="7:49" ht="18.75">
      <c r="G68" s="18"/>
      <c r="H68" s="18"/>
      <c r="I68" s="49"/>
      <c r="J68" s="18"/>
      <c r="K68" s="18"/>
      <c r="L68" s="49"/>
      <c r="M68" s="49"/>
      <c r="N68" s="49"/>
      <c r="O68" s="49"/>
      <c r="P68" s="18"/>
      <c r="Q68" s="18"/>
      <c r="R68" s="49"/>
      <c r="S68" s="18"/>
      <c r="T68" s="18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J68" s="49"/>
      <c r="AK68" s="49"/>
      <c r="AL68" s="49"/>
      <c r="AS68" s="18"/>
      <c r="AT68" s="18"/>
      <c r="AU68" s="49"/>
      <c r="AV68" s="18"/>
      <c r="AW68" s="18"/>
    </row>
    <row r="69" spans="7:49" ht="18.75">
      <c r="G69" s="18"/>
      <c r="H69" s="18"/>
      <c r="I69" s="49"/>
      <c r="J69" s="18"/>
      <c r="K69" s="18"/>
      <c r="L69" s="49"/>
      <c r="M69" s="49"/>
      <c r="N69" s="49"/>
      <c r="O69" s="49"/>
      <c r="P69" s="18"/>
      <c r="Q69" s="18"/>
      <c r="R69" s="49"/>
      <c r="S69" s="18"/>
      <c r="T69" s="18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J69" s="49"/>
      <c r="AK69" s="49"/>
      <c r="AL69" s="49"/>
      <c r="AS69" s="18"/>
      <c r="AT69" s="18"/>
      <c r="AU69" s="49"/>
      <c r="AV69" s="18"/>
      <c r="AW69" s="18"/>
    </row>
    <row r="70" spans="7:49" ht="18.75">
      <c r="G70" s="18"/>
      <c r="H70" s="18"/>
      <c r="I70" s="49"/>
      <c r="J70" s="18"/>
      <c r="K70" s="18"/>
      <c r="L70" s="49"/>
      <c r="M70" s="49"/>
      <c r="N70" s="49"/>
      <c r="O70" s="49"/>
      <c r="P70" s="18"/>
      <c r="Q70" s="18"/>
      <c r="R70" s="49"/>
      <c r="S70" s="18"/>
      <c r="T70" s="18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J70" s="49"/>
      <c r="AK70" s="49"/>
      <c r="AL70" s="49"/>
      <c r="AS70" s="18"/>
      <c r="AT70" s="18"/>
      <c r="AU70" s="49"/>
      <c r="AV70" s="18"/>
      <c r="AW70" s="18"/>
    </row>
    <row r="71" spans="7:49" ht="18.75">
      <c r="G71" s="18"/>
      <c r="H71" s="18"/>
      <c r="I71" s="49"/>
      <c r="J71" s="18"/>
      <c r="K71" s="18"/>
      <c r="L71" s="49"/>
      <c r="M71" s="49"/>
      <c r="N71" s="49"/>
      <c r="O71" s="49"/>
      <c r="P71" s="18"/>
      <c r="Q71" s="18"/>
      <c r="R71" s="49"/>
      <c r="S71" s="18"/>
      <c r="T71" s="18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J71" s="49"/>
      <c r="AK71" s="49"/>
      <c r="AL71" s="49"/>
      <c r="AS71" s="18"/>
      <c r="AT71" s="18"/>
      <c r="AU71" s="49"/>
      <c r="AV71" s="18"/>
      <c r="AW71" s="18"/>
    </row>
    <row r="72" spans="7:49" ht="18.75">
      <c r="G72" s="18"/>
      <c r="H72" s="18"/>
      <c r="I72" s="49"/>
      <c r="J72" s="18"/>
      <c r="K72" s="18"/>
      <c r="L72" s="49"/>
      <c r="M72" s="49"/>
      <c r="N72" s="49"/>
      <c r="O72" s="49"/>
      <c r="P72" s="18"/>
      <c r="Q72" s="18"/>
      <c r="R72" s="49"/>
      <c r="S72" s="18"/>
      <c r="T72" s="18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J72" s="49"/>
      <c r="AK72" s="49"/>
      <c r="AL72" s="49"/>
      <c r="AS72" s="18"/>
      <c r="AT72" s="18"/>
      <c r="AU72" s="49"/>
      <c r="AV72" s="18"/>
      <c r="AW72" s="18"/>
    </row>
    <row r="73" spans="7:49" ht="18.75">
      <c r="G73" s="18"/>
      <c r="H73" s="18"/>
      <c r="I73" s="49"/>
      <c r="J73" s="18"/>
      <c r="K73" s="18"/>
      <c r="L73" s="49"/>
      <c r="M73" s="49"/>
      <c r="N73" s="49"/>
      <c r="O73" s="49"/>
      <c r="P73" s="18"/>
      <c r="Q73" s="18"/>
      <c r="R73" s="49"/>
      <c r="S73" s="18"/>
      <c r="T73" s="18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J73" s="49"/>
      <c r="AK73" s="49"/>
      <c r="AL73" s="49"/>
      <c r="AS73" s="18"/>
      <c r="AT73" s="18"/>
      <c r="AU73" s="49"/>
      <c r="AV73" s="18"/>
      <c r="AW73" s="18"/>
    </row>
    <row r="74" spans="7:49" ht="18.75">
      <c r="G74" s="18"/>
      <c r="H74" s="18"/>
      <c r="I74" s="49"/>
      <c r="J74" s="18"/>
      <c r="K74" s="18"/>
      <c r="L74" s="49"/>
      <c r="M74" s="49"/>
      <c r="N74" s="49"/>
      <c r="O74" s="49"/>
      <c r="P74" s="18"/>
      <c r="Q74" s="18"/>
      <c r="R74" s="49"/>
      <c r="S74" s="18"/>
      <c r="T74" s="18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J74" s="49"/>
      <c r="AK74" s="49"/>
      <c r="AL74" s="49"/>
      <c r="AS74" s="18"/>
      <c r="AT74" s="18"/>
      <c r="AU74" s="49"/>
      <c r="AV74" s="18"/>
      <c r="AW74" s="18"/>
    </row>
    <row r="75" spans="7:49" ht="18.75">
      <c r="G75" s="18"/>
      <c r="H75" s="18"/>
      <c r="I75" s="49"/>
      <c r="J75" s="18"/>
      <c r="K75" s="18"/>
      <c r="L75" s="49"/>
      <c r="M75" s="49"/>
      <c r="N75" s="49"/>
      <c r="O75" s="49"/>
      <c r="P75" s="18"/>
      <c r="Q75" s="18"/>
      <c r="R75" s="49"/>
      <c r="S75" s="18"/>
      <c r="T75" s="18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J75" s="49"/>
      <c r="AK75" s="49"/>
      <c r="AL75" s="49"/>
      <c r="AS75" s="18"/>
      <c r="AT75" s="18"/>
      <c r="AU75" s="49"/>
      <c r="AV75" s="18"/>
      <c r="AW75" s="18"/>
    </row>
    <row r="76" spans="7:49" ht="18.75">
      <c r="G76" s="18"/>
      <c r="H76" s="18"/>
      <c r="I76" s="49"/>
      <c r="J76" s="18"/>
      <c r="K76" s="18"/>
      <c r="L76" s="49"/>
      <c r="M76" s="49"/>
      <c r="N76" s="49"/>
      <c r="O76" s="49"/>
      <c r="P76" s="18"/>
      <c r="Q76" s="18"/>
      <c r="R76" s="49"/>
      <c r="S76" s="18"/>
      <c r="T76" s="18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J76" s="49"/>
      <c r="AK76" s="49"/>
      <c r="AL76" s="49"/>
      <c r="AS76" s="18"/>
      <c r="AT76" s="18"/>
      <c r="AU76" s="49"/>
      <c r="AV76" s="18"/>
      <c r="AW76" s="18"/>
    </row>
    <row r="77" spans="7:49" ht="18.75">
      <c r="G77" s="18"/>
      <c r="H77" s="18"/>
      <c r="I77" s="49"/>
      <c r="J77" s="18"/>
      <c r="K77" s="18"/>
      <c r="L77" s="49"/>
      <c r="M77" s="49"/>
      <c r="N77" s="49"/>
      <c r="O77" s="49"/>
      <c r="P77" s="18"/>
      <c r="Q77" s="18"/>
      <c r="R77" s="49"/>
      <c r="S77" s="18"/>
      <c r="T77" s="18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J77" s="49"/>
      <c r="AK77" s="49"/>
      <c r="AL77" s="49"/>
      <c r="AS77" s="18"/>
      <c r="AT77" s="18"/>
      <c r="AU77" s="49"/>
      <c r="AV77" s="18"/>
      <c r="AW77" s="18"/>
    </row>
    <row r="78" spans="7:49" ht="18.75">
      <c r="G78" s="18"/>
      <c r="H78" s="18"/>
      <c r="I78" s="49"/>
      <c r="J78" s="18"/>
      <c r="K78" s="18"/>
      <c r="L78" s="49"/>
      <c r="M78" s="49"/>
      <c r="N78" s="49"/>
      <c r="O78" s="49"/>
      <c r="P78" s="18"/>
      <c r="Q78" s="18"/>
      <c r="R78" s="49"/>
      <c r="S78" s="18"/>
      <c r="T78" s="18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J78" s="49"/>
      <c r="AK78" s="49"/>
      <c r="AL78" s="49"/>
      <c r="AS78" s="18"/>
      <c r="AT78" s="18"/>
      <c r="AU78" s="49"/>
      <c r="AV78" s="18"/>
      <c r="AW78" s="18"/>
    </row>
    <row r="79" spans="7:49" ht="18.75">
      <c r="G79" s="18"/>
      <c r="H79" s="18"/>
      <c r="I79" s="49"/>
      <c r="J79" s="18"/>
      <c r="K79" s="18"/>
      <c r="L79" s="49"/>
      <c r="M79" s="49"/>
      <c r="N79" s="49"/>
      <c r="O79" s="49"/>
      <c r="P79" s="18"/>
      <c r="Q79" s="18"/>
      <c r="R79" s="49"/>
      <c r="S79" s="18"/>
      <c r="T79" s="18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J79" s="49"/>
      <c r="AK79" s="49"/>
      <c r="AL79" s="49"/>
      <c r="AS79" s="18"/>
      <c r="AT79" s="18"/>
      <c r="AU79" s="49"/>
      <c r="AV79" s="18"/>
      <c r="AW79" s="18"/>
    </row>
    <row r="80" spans="7:49" ht="18.75">
      <c r="G80" s="18"/>
      <c r="H80" s="18"/>
      <c r="I80" s="49"/>
      <c r="J80" s="18"/>
      <c r="K80" s="18"/>
      <c r="L80" s="49"/>
      <c r="M80" s="49"/>
      <c r="N80" s="49"/>
      <c r="O80" s="49"/>
      <c r="P80" s="18"/>
      <c r="Q80" s="18"/>
      <c r="R80" s="49"/>
      <c r="S80" s="18"/>
      <c r="T80" s="18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J80" s="49"/>
      <c r="AK80" s="49"/>
      <c r="AL80" s="49"/>
      <c r="AS80" s="18"/>
      <c r="AT80" s="18"/>
      <c r="AU80" s="49"/>
      <c r="AV80" s="18"/>
      <c r="AW80" s="18"/>
    </row>
    <row r="81" spans="7:49" ht="18.75">
      <c r="G81" s="18"/>
      <c r="H81" s="18"/>
      <c r="I81" s="49"/>
      <c r="J81" s="18"/>
      <c r="K81" s="18"/>
      <c r="L81" s="49"/>
      <c r="M81" s="49"/>
      <c r="N81" s="49"/>
      <c r="O81" s="49"/>
      <c r="P81" s="18"/>
      <c r="Q81" s="18"/>
      <c r="R81" s="49"/>
      <c r="S81" s="18"/>
      <c r="T81" s="18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J81" s="49"/>
      <c r="AK81" s="49"/>
      <c r="AL81" s="49"/>
      <c r="AS81" s="18"/>
      <c r="AT81" s="18"/>
      <c r="AU81" s="49"/>
      <c r="AV81" s="18"/>
      <c r="AW81" s="18"/>
    </row>
    <row r="82" spans="7:49" ht="18.75">
      <c r="G82" s="18"/>
      <c r="H82" s="18"/>
      <c r="I82" s="49"/>
      <c r="J82" s="18"/>
      <c r="K82" s="18"/>
      <c r="L82" s="49"/>
      <c r="M82" s="49"/>
      <c r="N82" s="49"/>
      <c r="O82" s="49"/>
      <c r="P82" s="18"/>
      <c r="Q82" s="18"/>
      <c r="R82" s="49"/>
      <c r="S82" s="18"/>
      <c r="T82" s="18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J82" s="49"/>
      <c r="AK82" s="49"/>
      <c r="AL82" s="49"/>
      <c r="AS82" s="18"/>
      <c r="AT82" s="18"/>
      <c r="AU82" s="49"/>
      <c r="AV82" s="18"/>
      <c r="AW82" s="18"/>
    </row>
    <row r="83" spans="7:49" ht="18.75">
      <c r="G83" s="18"/>
      <c r="H83" s="18"/>
      <c r="I83" s="49"/>
      <c r="J83" s="18"/>
      <c r="K83" s="18"/>
      <c r="L83" s="49"/>
      <c r="M83" s="49"/>
      <c r="N83" s="49"/>
      <c r="O83" s="49"/>
      <c r="P83" s="18"/>
      <c r="Q83" s="18"/>
      <c r="R83" s="49"/>
      <c r="S83" s="18"/>
      <c r="T83" s="18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J83" s="49"/>
      <c r="AK83" s="49"/>
      <c r="AL83" s="49"/>
      <c r="AS83" s="18"/>
      <c r="AT83" s="18"/>
      <c r="AU83" s="49"/>
      <c r="AV83" s="18"/>
      <c r="AW83" s="18"/>
    </row>
    <row r="84" spans="7:49" ht="18.75">
      <c r="G84" s="18"/>
      <c r="H84" s="18"/>
      <c r="I84" s="49"/>
      <c r="J84" s="18"/>
      <c r="K84" s="18"/>
      <c r="L84" s="49"/>
      <c r="M84" s="49"/>
      <c r="N84" s="49"/>
      <c r="O84" s="49"/>
      <c r="P84" s="18"/>
      <c r="Q84" s="18"/>
      <c r="R84" s="49"/>
      <c r="S84" s="18"/>
      <c r="T84" s="18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J84" s="49"/>
      <c r="AK84" s="49"/>
      <c r="AL84" s="49"/>
      <c r="AS84" s="18"/>
      <c r="AT84" s="18"/>
      <c r="AU84" s="49"/>
      <c r="AV84" s="18"/>
      <c r="AW84" s="18"/>
    </row>
    <row r="85" spans="7:49" ht="18.75">
      <c r="G85" s="18"/>
      <c r="H85" s="18"/>
      <c r="I85" s="49"/>
      <c r="J85" s="18"/>
      <c r="K85" s="18"/>
      <c r="L85" s="49"/>
      <c r="M85" s="49"/>
      <c r="N85" s="49"/>
      <c r="O85" s="49"/>
      <c r="P85" s="18"/>
      <c r="Q85" s="18"/>
      <c r="R85" s="49"/>
      <c r="S85" s="18"/>
      <c r="T85" s="18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J85" s="49"/>
      <c r="AK85" s="49"/>
      <c r="AL85" s="49"/>
      <c r="AS85" s="18"/>
      <c r="AT85" s="18"/>
      <c r="AU85" s="49"/>
      <c r="AV85" s="18"/>
      <c r="AW85" s="18"/>
    </row>
    <row r="86" spans="7:49" ht="18.75">
      <c r="G86" s="18"/>
      <c r="H86" s="18"/>
      <c r="I86" s="49"/>
      <c r="J86" s="18"/>
      <c r="K86" s="18"/>
      <c r="L86" s="49"/>
      <c r="M86" s="49"/>
      <c r="N86" s="49"/>
      <c r="O86" s="49"/>
      <c r="P86" s="18"/>
      <c r="Q86" s="18"/>
      <c r="R86" s="49"/>
      <c r="S86" s="18"/>
      <c r="T86" s="18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J86" s="49"/>
      <c r="AK86" s="49"/>
      <c r="AL86" s="49"/>
      <c r="AS86" s="18"/>
      <c r="AT86" s="18"/>
      <c r="AU86" s="49"/>
      <c r="AV86" s="18"/>
      <c r="AW86" s="18"/>
    </row>
    <row r="87" spans="7:49" ht="18.75">
      <c r="G87" s="18"/>
      <c r="H87" s="18"/>
      <c r="I87" s="49"/>
      <c r="J87" s="18"/>
      <c r="K87" s="18"/>
      <c r="L87" s="49"/>
      <c r="M87" s="49"/>
      <c r="N87" s="49"/>
      <c r="O87" s="49"/>
      <c r="P87" s="18"/>
      <c r="Q87" s="18"/>
      <c r="R87" s="49"/>
      <c r="S87" s="18"/>
      <c r="T87" s="18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J87" s="49"/>
      <c r="AK87" s="49"/>
      <c r="AL87" s="49"/>
      <c r="AS87" s="18"/>
      <c r="AT87" s="18"/>
      <c r="AU87" s="49"/>
      <c r="AV87" s="18"/>
      <c r="AW87" s="18"/>
    </row>
    <row r="88" spans="7:49" ht="18.75">
      <c r="G88" s="18"/>
      <c r="H88" s="18"/>
      <c r="I88" s="49"/>
      <c r="J88" s="18"/>
      <c r="K88" s="18"/>
      <c r="L88" s="49"/>
      <c r="M88" s="49"/>
      <c r="N88" s="49"/>
      <c r="O88" s="49"/>
      <c r="P88" s="18"/>
      <c r="Q88" s="18"/>
      <c r="R88" s="49"/>
      <c r="S88" s="18"/>
      <c r="T88" s="18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J88" s="49"/>
      <c r="AK88" s="49"/>
      <c r="AL88" s="49"/>
      <c r="AS88" s="18"/>
      <c r="AT88" s="18"/>
      <c r="AU88" s="49"/>
      <c r="AV88" s="18"/>
      <c r="AW88" s="18"/>
    </row>
    <row r="89" spans="7:49" ht="18.75">
      <c r="G89" s="18"/>
      <c r="H89" s="18"/>
      <c r="I89" s="49"/>
      <c r="J89" s="18"/>
      <c r="K89" s="18"/>
      <c r="L89" s="49"/>
      <c r="M89" s="49"/>
      <c r="N89" s="49"/>
      <c r="O89" s="49"/>
      <c r="P89" s="18"/>
      <c r="Q89" s="18"/>
      <c r="R89" s="49"/>
      <c r="S89" s="18"/>
      <c r="T89" s="18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J89" s="49"/>
      <c r="AK89" s="49"/>
      <c r="AL89" s="49"/>
      <c r="AS89" s="18"/>
      <c r="AT89" s="18"/>
      <c r="AU89" s="49"/>
      <c r="AV89" s="18"/>
      <c r="AW89" s="18"/>
    </row>
    <row r="90" spans="7:49" ht="18.75">
      <c r="G90" s="18"/>
      <c r="H90" s="18"/>
      <c r="I90" s="49"/>
      <c r="J90" s="18"/>
      <c r="K90" s="18"/>
      <c r="L90" s="49"/>
      <c r="M90" s="49"/>
      <c r="N90" s="49"/>
      <c r="O90" s="49"/>
      <c r="P90" s="18"/>
      <c r="Q90" s="18"/>
      <c r="R90" s="49"/>
      <c r="S90" s="18"/>
      <c r="T90" s="18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J90" s="49"/>
      <c r="AK90" s="49"/>
      <c r="AL90" s="49"/>
      <c r="AS90" s="18"/>
      <c r="AT90" s="18"/>
      <c r="AU90" s="49"/>
      <c r="AV90" s="18"/>
      <c r="AW90" s="18"/>
    </row>
    <row r="91" spans="7:49" ht="18.75">
      <c r="G91" s="18"/>
      <c r="H91" s="18"/>
      <c r="I91" s="49"/>
      <c r="J91" s="18"/>
      <c r="K91" s="18"/>
      <c r="L91" s="49"/>
      <c r="M91" s="49"/>
      <c r="N91" s="49"/>
      <c r="O91" s="49"/>
      <c r="P91" s="18"/>
      <c r="Q91" s="18"/>
      <c r="R91" s="49"/>
      <c r="S91" s="18"/>
      <c r="T91" s="18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J91" s="49"/>
      <c r="AK91" s="49"/>
      <c r="AL91" s="49"/>
      <c r="AS91" s="18"/>
      <c r="AT91" s="18"/>
      <c r="AU91" s="49"/>
      <c r="AV91" s="18"/>
      <c r="AW91" s="18"/>
    </row>
    <row r="92" spans="7:49" ht="18.75">
      <c r="G92" s="18"/>
      <c r="H92" s="18"/>
      <c r="I92" s="49"/>
      <c r="J92" s="18"/>
      <c r="K92" s="18"/>
      <c r="L92" s="49"/>
      <c r="M92" s="49"/>
      <c r="N92" s="49"/>
      <c r="O92" s="49"/>
      <c r="P92" s="18"/>
      <c r="Q92" s="18"/>
      <c r="R92" s="49"/>
      <c r="S92" s="18"/>
      <c r="T92" s="18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J92" s="49"/>
      <c r="AK92" s="49"/>
      <c r="AL92" s="49"/>
      <c r="AS92" s="18"/>
      <c r="AT92" s="18"/>
      <c r="AU92" s="49"/>
      <c r="AV92" s="18"/>
      <c r="AW92" s="18"/>
    </row>
    <row r="93" spans="7:49" ht="18.75">
      <c r="G93" s="18"/>
      <c r="H93" s="18"/>
      <c r="I93" s="49"/>
      <c r="J93" s="18"/>
      <c r="K93" s="18"/>
      <c r="L93" s="49"/>
      <c r="M93" s="49"/>
      <c r="N93" s="49"/>
      <c r="O93" s="49"/>
      <c r="P93" s="18"/>
      <c r="Q93" s="18"/>
      <c r="R93" s="49"/>
      <c r="S93" s="18"/>
      <c r="T93" s="18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J93" s="49"/>
      <c r="AK93" s="49"/>
      <c r="AL93" s="49"/>
      <c r="AS93" s="18"/>
      <c r="AT93" s="18"/>
      <c r="AU93" s="49"/>
      <c r="AV93" s="18"/>
      <c r="AW93" s="18"/>
    </row>
    <row r="94" spans="7:49" ht="18.75">
      <c r="G94" s="18"/>
      <c r="H94" s="18"/>
      <c r="I94" s="49"/>
      <c r="J94" s="18"/>
      <c r="K94" s="18"/>
      <c r="L94" s="49"/>
      <c r="M94" s="49"/>
      <c r="N94" s="49"/>
      <c r="O94" s="49"/>
      <c r="P94" s="18"/>
      <c r="Q94" s="18"/>
      <c r="R94" s="49"/>
      <c r="S94" s="18"/>
      <c r="T94" s="18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J94" s="49"/>
      <c r="AK94" s="49"/>
      <c r="AL94" s="49"/>
      <c r="AS94" s="18"/>
      <c r="AT94" s="18"/>
      <c r="AU94" s="49"/>
      <c r="AV94" s="18"/>
      <c r="AW94" s="18"/>
    </row>
    <row r="95" spans="7:49" ht="18.75">
      <c r="G95" s="18"/>
      <c r="H95" s="18"/>
      <c r="I95" s="49"/>
      <c r="J95" s="18"/>
      <c r="K95" s="18"/>
      <c r="L95" s="49"/>
      <c r="M95" s="49"/>
      <c r="N95" s="49"/>
      <c r="O95" s="49"/>
      <c r="P95" s="18"/>
      <c r="Q95" s="18"/>
      <c r="R95" s="49"/>
      <c r="S95" s="18"/>
      <c r="T95" s="18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J95" s="49"/>
      <c r="AK95" s="49"/>
      <c r="AL95" s="49"/>
      <c r="AS95" s="18"/>
      <c r="AT95" s="18"/>
      <c r="AU95" s="49"/>
      <c r="AV95" s="18"/>
      <c r="AW95" s="18"/>
    </row>
    <row r="96" spans="7:49" ht="18.75">
      <c r="G96" s="18"/>
      <c r="H96" s="18"/>
      <c r="I96" s="49"/>
      <c r="J96" s="18"/>
      <c r="K96" s="18"/>
      <c r="L96" s="49"/>
      <c r="M96" s="49"/>
      <c r="N96" s="49"/>
      <c r="O96" s="49"/>
      <c r="P96" s="18"/>
      <c r="Q96" s="18"/>
      <c r="R96" s="49"/>
      <c r="S96" s="18"/>
      <c r="T96" s="18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J96" s="49"/>
      <c r="AK96" s="49"/>
      <c r="AL96" s="49"/>
      <c r="AS96" s="18"/>
      <c r="AT96" s="18"/>
      <c r="AU96" s="49"/>
      <c r="AV96" s="18"/>
      <c r="AW96" s="18"/>
    </row>
    <row r="97" spans="7:49" ht="18.75">
      <c r="G97" s="18"/>
      <c r="H97" s="18"/>
      <c r="I97" s="49"/>
      <c r="J97" s="18"/>
      <c r="K97" s="18"/>
      <c r="L97" s="49"/>
      <c r="M97" s="49"/>
      <c r="N97" s="49"/>
      <c r="O97" s="49"/>
      <c r="P97" s="18"/>
      <c r="Q97" s="18"/>
      <c r="R97" s="49"/>
      <c r="S97" s="18"/>
      <c r="T97" s="18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J97" s="49"/>
      <c r="AK97" s="49"/>
      <c r="AL97" s="49"/>
      <c r="AS97" s="18"/>
      <c r="AT97" s="18"/>
      <c r="AU97" s="49"/>
      <c r="AV97" s="18"/>
      <c r="AW97" s="18"/>
    </row>
  </sheetData>
  <sheetProtection/>
  <mergeCells count="25">
    <mergeCell ref="A52:B52"/>
    <mergeCell ref="B51:F51"/>
    <mergeCell ref="M5:O5"/>
    <mergeCell ref="S5:U5"/>
    <mergeCell ref="P5:R5"/>
    <mergeCell ref="AM5:AN5"/>
    <mergeCell ref="A46:C46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A2:AW3"/>
    <mergeCell ref="I1:AW1"/>
    <mergeCell ref="B4:F4"/>
    <mergeCell ref="D5:F5"/>
    <mergeCell ref="AH5:AI5"/>
    <mergeCell ref="AJ5:AL5"/>
    <mergeCell ref="G5:I5"/>
    <mergeCell ref="AE5:AG5"/>
    <mergeCell ref="J5: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2019-04-17T08:21:48Z</cp:lastPrinted>
  <dcterms:created xsi:type="dcterms:W3CDTF">2001-09-14T09:33:50Z</dcterms:created>
  <dcterms:modified xsi:type="dcterms:W3CDTF">2019-04-18T07:33:26Z</dcterms:modified>
  <cp:category/>
  <cp:version/>
  <cp:contentType/>
  <cp:contentStatus/>
</cp:coreProperties>
</file>