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3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'всього'!$B$1:$AW$46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<sst xmlns="http://schemas.openxmlformats.org/spreadsheetml/2006/main" count="1153" uniqueCount="164">
  <si>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</si>
  <si>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</si>
  <si>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</si>
  <si>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</si>
  <si>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</si>
  <si>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</si>
  <si>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</si>
  <si>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</si>
  <si>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</si>
  <si>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</si>
  <si>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</si>
  <si>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</si>
  <si>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</si>
  <si>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</si>
  <si>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</si>
  <si>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</si>
  <si>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</si>
  <si>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</si>
  <si>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</si>
  <si>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</si>
  <si>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</si>
  <si>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</si>
  <si>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</si>
  <si>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</si>
  <si>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</si>
  <si>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</si>
  <si>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</si>
  <si>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</si>
  <si>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</si>
  <si>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</si>
  <si>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</si>
  <si>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</si>
  <si>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</si>
  <si>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</si>
  <si>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</si>
  <si>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</si>
  <si>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</si>
  <si>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</si>
  <si>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</si>
  <si>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</si>
  <si>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</si>
  <si>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</si>
  <si>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</si>
  <si>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</si>
  <si>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</si>
  <si>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</si>
  <si>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</si>
  <si>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</si>
  <si>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</si>
  <si>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</si>
  <si>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</si>
  <si>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</si>
  <si>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</si>
  <si>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</si>
  <si>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</si>
  <si>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</si>
  <si>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</si>
  <si>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</si>
  <si>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</si>
  <si>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</si>
  <si>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</si>
  <si>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</si>
  <si>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</si>
  <si>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</si>
  <si>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</si>
  <si>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</si>
  <si>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</si>
  <si>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</si>
  <si>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</si>
  <si>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</si>
  <si>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</si>
  <si>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</si>
  <si>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</si>
  <si>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</si>
  <si>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</si>
  <si>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</si>
  <si>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</si>
  <si>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</si>
  <si>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</si>
  <si>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</si>
  <si>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</si>
  <si>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</si>
  <si>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</si>
  <si>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</si>
  <si>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</si>
  <si>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</si>
  <si>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</si>
  <si>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</si>
  <si>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</si>
  <si>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</si>
  <si>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</si>
  <si>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</si>
  <si>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</si>
  <si>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</si>
  <si>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</si>
  <si>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</si>
  <si>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</si>
  <si>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</si>
  <si>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</si>
  <si>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</si>
  <si>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</si>
  <si>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</si>
  <si>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</si>
  <si>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</si>
  <si>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</si>
  <si>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</si>
  <si>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</si>
  <si>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</si>
  <si>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</si>
  <si>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</si>
  <si>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</si>
  <si>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</si>
  <si>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</si>
  <si>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</si>
  <si>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</si>
  <si>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</si>
  <si>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</si>
  <si>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</si>
  <si>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</si>
  <si>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</si>
  <si>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</si>
  <si>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</si>
  <si>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</si>
  <si>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</si>
  <si>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</si>
  <si>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</si>
  <si>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</si>
  <si>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</si>
  <si>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</si>
  <si>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</si>
  <si>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</si>
  <si>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</si>
  <si>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</si>
  <si>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</si>
  <si>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</si>
  <si>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</si>
  <si>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</si>
  <si>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</si>
  <si>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</si>
  <si>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январь</t>
  </si>
  <si>
    <t>февраль</t>
  </si>
  <si>
    <t>начислено</t>
  </si>
  <si>
    <t>март</t>
  </si>
  <si>
    <t>апрель</t>
  </si>
  <si>
    <t>май</t>
  </si>
  <si>
    <t>июнь</t>
  </si>
  <si>
    <t>Печенежский р-н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</si>
  <si>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</si>
  <si>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</si>
  <si>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</si>
  <si>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</si>
  <si>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</si>
  <si>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</si>
  <si>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 2018 года</t>
  </si>
  <si>
    <t>на 01.01.2018</t>
  </si>
  <si>
    <t xml:space="preserve">Задолженность за 2018 год по состоянию на 01.03.2018 </t>
  </si>
  <si>
    <t>1 квартал 2018</t>
  </si>
  <si>
    <t>КП "Тепловые сети Роганского поссовета"</t>
  </si>
  <si>
    <t>КП ТС Харьковского района, КП "Комунэнерго"</t>
  </si>
  <si>
    <t>2 квартал 2018</t>
  </si>
  <si>
    <t>3 квартал 2018</t>
  </si>
  <si>
    <t>по оплате услуг водоснабжения и водоотведения на 01.01.2019</t>
  </si>
  <si>
    <t xml:space="preserve">Задолженность за 2018 год по состоянию на 01.01.2019 </t>
  </si>
  <si>
    <t>Общая задолженность на 01.01.2019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</si>
</sst>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 Cyr"/>
      <family val="1"/>
    </font>
    <font>
      <sz val="16"/>
      <color theme="1"/>
      <name val="Times New Roman"/>
      <family val="1"/>
    </font>
    <font>
      <b/>
      <sz val="14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192" fontId="11" fillId="0" borderId="13" xfId="0" applyNumberFormat="1" applyFont="1" applyFill="1" applyBorder="1" applyAlignment="1">
      <alignment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67" fillId="0" borderId="14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5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3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4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4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19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21" fillId="0" borderId="10" xfId="0" applyNumberFormat="1" applyFont="1" applyFill="1" applyBorder="1" applyAlignment="1">
      <alignment wrapText="1"/>
    </xf>
    <xf numFmtId="1" fontId="21" fillId="33" borderId="10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192" fontId="6" fillId="0" borderId="16" xfId="0" applyNumberFormat="1" applyFont="1" applyFill="1" applyBorder="1" applyAlignment="1">
      <alignment horizontal="left" wrapText="1"/>
    </xf>
    <xf numFmtId="192" fontId="5" fillId="0" borderId="16" xfId="0" applyNumberFormat="1" applyFont="1" applyFill="1" applyBorder="1" applyAlignment="1">
      <alignment horizontal="left" wrapText="1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188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2" fontId="65" fillId="0" borderId="14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0" fontId="24" fillId="0" borderId="0" xfId="0" applyFont="1" applyFill="1" applyAlignment="1">
      <alignment/>
    </xf>
    <xf numFmtId="49" fontId="72" fillId="0" borderId="10" xfId="0" applyNumberFormat="1" applyFont="1" applyFill="1" applyBorder="1" applyAlignment="1">
      <alignment horizontal="center"/>
    </xf>
    <xf numFmtId="192" fontId="70" fillId="0" borderId="1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7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3" fillId="0" borderId="0" xfId="0" applyFont="1" applyFill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" fontId="74" fillId="0" borderId="10" xfId="0" applyNumberFormat="1" applyFont="1" applyFill="1" applyBorder="1" applyAlignment="1">
      <alignment/>
    </xf>
    <xf numFmtId="0" fontId="74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92" fontId="75" fillId="0" borderId="10" xfId="0" applyNumberFormat="1" applyFont="1" applyFill="1" applyBorder="1" applyAlignment="1">
      <alignment/>
    </xf>
    <xf numFmtId="192" fontId="75" fillId="0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view="pageBreakPreview" zoomScale="80" zoomScaleNormal="50" zoomScaleSheetLayoutView="80" zoomScalePageLayoutView="0" workbookViewId="0" topLeftCell="B2">
      <pane xSplit="2" ySplit="8" topLeftCell="AT43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B6" sqref="B6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2" hidden="1" customWidth="1"/>
    <col min="5" max="5" width="12.75390625" style="12" hidden="1" customWidth="1"/>
    <col min="6" max="6" width="11.00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625" style="12" customWidth="1"/>
    <col min="15" max="15" width="12.75390625" style="12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customWidth="1"/>
    <col min="26" max="26" width="12.75390625" style="12" customWidth="1"/>
    <col min="27" max="27" width="11.00390625" style="12" customWidth="1"/>
    <col min="28" max="28" width="14.25390625" style="12" hidden="1" customWidth="1"/>
    <col min="29" max="29" width="13.00390625" style="12" hidden="1" customWidth="1"/>
    <col min="30" max="30" width="11.00390625" style="12" hidden="1" customWidth="1"/>
    <col min="31" max="31" width="14.25390625" style="12" hidden="1" customWidth="1"/>
    <col min="32" max="32" width="13.00390625" style="12" hidden="1" customWidth="1"/>
    <col min="33" max="33" width="11.00390625" style="12" hidden="1" customWidth="1"/>
    <col min="34" max="34" width="13.25390625" style="12" hidden="1" customWidth="1"/>
    <col min="35" max="35" width="12.75390625" style="12" hidden="1" customWidth="1"/>
    <col min="36" max="36" width="14.00390625" style="12" customWidth="1"/>
    <col min="37" max="37" width="12.75390625" style="12" customWidth="1"/>
    <col min="38" max="38" width="11.00390625" style="12" customWidth="1"/>
    <col min="39" max="39" width="13.25390625" style="12" customWidth="1"/>
    <col min="40" max="40" width="13.875" style="12" customWidth="1"/>
    <col min="41" max="41" width="13.25390625" style="12" customWidth="1"/>
    <col min="42" max="42" width="12.875" style="12" customWidth="1"/>
    <col min="43" max="43" width="13.25390625" style="12" customWidth="1"/>
    <col min="44" max="44" width="13.375" style="12" customWidth="1"/>
    <col min="45" max="46" width="14.625" style="2" customWidth="1"/>
    <col min="47" max="47" width="11.00390625" style="12" customWidth="1"/>
    <col min="48" max="48" width="20.75390625" style="2" customWidth="1"/>
    <col min="49" max="49" width="21.875" style="2" customWidth="1"/>
    <col min="50" max="50" width="16.00390625" style="2" customWidth="1"/>
    <col min="51" max="51" width="14.375" style="2" customWidth="1"/>
    <col min="52" max="52" width="13.00390625" style="2" bestFit="1" customWidth="1"/>
    <col min="53" max="53" width="19.125" style="2" customWidth="1"/>
    <col min="54" max="56" width="6.75390625" style="2" customWidth="1"/>
    <col min="57" max="57" width="13.875" style="2" bestFit="1" customWidth="1"/>
    <col min="58" max="16384" width="6.75390625" style="2" customWidth="1"/>
  </cols>
  <sheetData>
    <row r="1" spans="4:49" ht="22.5" customHeight="1" hidden="1"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2"/>
      <c r="AT1" s="162"/>
      <c r="AU1" s="162"/>
      <c r="AV1" s="162"/>
      <c r="AW1" s="162"/>
    </row>
    <row r="2" spans="1:49" s="56" customFormat="1" ht="42" customHeight="1">
      <c r="A2" s="55"/>
      <c r="B2" s="163" t="s">
        <v>84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51" s="56" customFormat="1" ht="42" customHeight="1">
      <c r="A3" s="55"/>
      <c r="B3" s="163" t="s">
        <v>161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Y3" s="149"/>
    </row>
    <row r="4" spans="2:49" ht="19.5" customHeight="1">
      <c r="B4" s="164"/>
      <c r="C4" s="164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57" ht="36.75" customHeight="1">
      <c r="A5" s="44" t="s">
        <v>54</v>
      </c>
      <c r="B5" s="45"/>
      <c r="C5" s="46" t="s">
        <v>1</v>
      </c>
      <c r="D5" s="158" t="s">
        <v>139</v>
      </c>
      <c r="E5" s="159"/>
      <c r="F5" s="160"/>
      <c r="G5" s="153" t="s">
        <v>140</v>
      </c>
      <c r="H5" s="154"/>
      <c r="I5" s="155"/>
      <c r="J5" s="153" t="s">
        <v>142</v>
      </c>
      <c r="K5" s="154"/>
      <c r="L5" s="155"/>
      <c r="M5" s="153" t="s">
        <v>156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159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160</v>
      </c>
      <c r="AK5" s="154"/>
      <c r="AL5" s="155"/>
      <c r="AM5" s="153" t="s">
        <v>150</v>
      </c>
      <c r="AN5" s="155"/>
      <c r="AO5" s="153" t="s">
        <v>151</v>
      </c>
      <c r="AP5" s="155"/>
      <c r="AQ5" s="153" t="s">
        <v>152</v>
      </c>
      <c r="AR5" s="155"/>
      <c r="AS5" s="158" t="s">
        <v>153</v>
      </c>
      <c r="AT5" s="159"/>
      <c r="AU5" s="160"/>
      <c r="AV5" s="156" t="s">
        <v>162</v>
      </c>
      <c r="AW5" s="156" t="s">
        <v>163</v>
      </c>
      <c r="AX5" s="19">
        <f>'насел.'!AW7+пільги!AW7+субсидії!AW7+'держ.бюджет'!AW7+'місц.-районн.бюджет'!AW7+областной!AW7+інші!AW7</f>
        <v>46568.16756000001</v>
      </c>
      <c r="BE5" s="19"/>
    </row>
    <row r="6" spans="1:53" ht="46.5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7"/>
      <c r="AW6" s="157"/>
      <c r="AX6" s="19"/>
      <c r="AY6" s="19"/>
      <c r="AZ6" s="19"/>
      <c r="BA6" s="19">
        <f>SUM(AW8:AW43)</f>
        <v>1102056.9675599998</v>
      </c>
    </row>
    <row r="7" spans="1:53" s="12" customFormat="1" ht="35.25" customHeight="1">
      <c r="A7" s="8"/>
      <c r="B7" s="9" t="s">
        <v>88</v>
      </c>
      <c r="C7" s="18">
        <f>'насел.'!C7+пільги!C7+субсидії!C7+'держ.бюджет'!C7+'місц.-районн.бюджет'!C7+областной!C7+інші!C7</f>
        <v>21714.199999999997</v>
      </c>
      <c r="D7" s="18">
        <f>'насел.'!D7+пільги!D7+субсидії!D7+'держ.бюджет'!D7+'місц.-районн.бюджет'!D7+областной!D7+інші!D7</f>
        <v>29436.33718</v>
      </c>
      <c r="E7" s="18">
        <f>'насел.'!E7+пільги!E7+субсидії!E7+'держ.бюджет'!E7+'місц.-районн.бюджет'!E7+областной!E7+інші!E7</f>
        <v>14265.87613</v>
      </c>
      <c r="F7" s="11">
        <f aca="true" t="shared" si="0" ref="F7:F45">E7/D7*100</f>
        <v>48.46348933553017</v>
      </c>
      <c r="G7" s="18">
        <f>'насел.'!G7+пільги!G7+субсидії!G7+'держ.бюджет'!G7+'місц.-районн.бюджет'!G7+областной!G7+інші!G7</f>
        <v>30200.799999999992</v>
      </c>
      <c r="H7" s="18">
        <f>'насел.'!H7+пільги!H7+субсидії!H7+'держ.бюджет'!H7+'місц.-районн.бюджет'!H7+областной!H7+інші!H7</f>
        <v>52544.5</v>
      </c>
      <c r="I7" s="11">
        <f>H7/G7*100</f>
        <v>173.98380175359597</v>
      </c>
      <c r="J7" s="11">
        <f>SUM(J8:J42)</f>
        <v>30226.508999999995</v>
      </c>
      <c r="K7" s="11">
        <f>SUM(K8:K42)</f>
        <v>26795.124</v>
      </c>
      <c r="L7" s="11">
        <f aca="true" t="shared" si="1" ref="L7:L24">K7/J7*100</f>
        <v>88.64776279655717</v>
      </c>
      <c r="M7" s="11">
        <f>'насел.'!M7+пільги!M7+субсидії!M7+'держ.бюджет'!M7+'місц.-районн.бюджет'!M7+областной!M7+інші!M7</f>
        <v>89863.64617999998</v>
      </c>
      <c r="N7" s="11">
        <f>'насел.'!N7+пільги!N7+субсидії!N7+'держ.бюджет'!N7+'місц.-районн.бюджет'!N7+областной!N7+інші!N7</f>
        <v>93605.50013</v>
      </c>
      <c r="O7" s="11">
        <f>N7/M7*100</f>
        <v>104.16392402162825</v>
      </c>
      <c r="P7" s="18">
        <f>'насел.'!P7+пільги!P7+субсидії!P7+'держ.бюджет'!P7+'місц.-районн.бюджет'!P7+областной!P7+інші!P7</f>
        <v>31026.467989999997</v>
      </c>
      <c r="Q7" s="18">
        <f>'насел.'!Q7+пільги!Q7+субсидії!Q7+'держ.бюджет'!Q7+'місц.-районн.бюджет'!Q7+областной!Q7+інші!Q7</f>
        <v>28964.60134</v>
      </c>
      <c r="R7" s="18">
        <f>'насел.'!R7+пільги!R7+субсидії!R7+'держ.бюджет'!R7+'місц.-районн.бюджет'!R7+областной!R7+інші!R7</f>
        <v>649.3006781561414</v>
      </c>
      <c r="S7" s="18">
        <f>'насел.'!S7+пільги!S7+субсидії!S7+'держ.бюджет'!S7+'місц.-районн.бюджет'!S7+областной!S7+інші!S7</f>
        <v>32024.049899999987</v>
      </c>
      <c r="T7" s="18">
        <f>'насел.'!T7+пільги!T7+субсидії!T7+'держ.бюджет'!T7+'місц.-районн.бюджет'!T7+областной!T7+інші!T7</f>
        <v>37362.50644</v>
      </c>
      <c r="U7" s="18">
        <f>'насел.'!U7+пільги!U7+субсидії!U7+'держ.бюджет'!U7+'місц.-районн.бюджет'!U7+областной!U7+інші!U7</f>
        <v>433.75268844789247</v>
      </c>
      <c r="V7" s="18">
        <f>'насел.'!V7+пільги!V7+субсидії!V7+'держ.бюджет'!V7+'місц.-районн.бюджет'!V7+областной!V7+інші!V7</f>
        <v>32295.555980000005</v>
      </c>
      <c r="W7" s="18">
        <f>'насел.'!W7+пільги!W7+субсидії!W7+'держ.бюджет'!W7+'місц.-районн.бюджет'!W7+областной!W7+інші!W7</f>
        <v>22983.428579999996</v>
      </c>
      <c r="X7" s="18">
        <f>'насел.'!X7+пільги!X7+субсидії!X7+'держ.бюджет'!X7+'місц.-районн.бюджет'!X7+областной!X7+інші!X7</f>
        <v>735.9648463447876</v>
      </c>
      <c r="Y7" s="18">
        <f>'насел.'!Y7+пільги!Y7+субсидії!Y7+'держ.бюджет'!Y7+'місц.-районн.бюджет'!Y7+областной!Y7+інші!Y7</f>
        <v>95346.07387000002</v>
      </c>
      <c r="Z7" s="18">
        <f>'насел.'!Z7+пільги!Z7+субсидії!Z7+'держ.бюджет'!Z7+'місц.-районн.бюджет'!Z7+областной!Z7+інші!Z7</f>
        <v>89310.53636</v>
      </c>
      <c r="AA7" s="11">
        <f aca="true" t="shared" si="2" ref="AA7:AA28">Z7/Y7*100</f>
        <v>93.66986257008422</v>
      </c>
      <c r="AB7" s="18">
        <f>'насел.'!AB7+пільги!AB7+субсидії!AB7+'держ.бюджет'!AB7+'місц.-районн.бюджет'!AB7+областной!AB7+інші!AB7</f>
        <v>30899.304010000003</v>
      </c>
      <c r="AC7" s="18">
        <f>'насел.'!AC7+пільги!AC7+субсидії!AC7+'держ.бюджет'!AC7+'місц.-районн.бюджет'!AC7+областной!AC7+інші!AC7</f>
        <v>26185.121690000004</v>
      </c>
      <c r="AD7" s="18">
        <f>'насел.'!AD7+пільги!AD7+субсидії!AD7+'держ.бюджет'!AD7+'місц.-районн.бюджет'!AD7+областной!AD7+інші!AD7</f>
        <v>645.0900584897806</v>
      </c>
      <c r="AE7" s="18">
        <f>'насел.'!AE7+пільги!AE7+субсидії!AE7+'держ.бюджет'!AE7+'місц.-районн.бюджет'!AE7+областной!AE7+інші!AE7</f>
        <v>31339.46942</v>
      </c>
      <c r="AF7" s="18">
        <f>'насел.'!AF7+пільги!AF7+субсидії!AF7+'держ.бюджет'!AF7+'місц.-районн.бюджет'!AF7+областной!AF7+інші!AF7</f>
        <v>27319.403669999996</v>
      </c>
      <c r="AG7" s="18">
        <f>'насел.'!AG7+пільги!AG7+субсидії!AG7+'держ.бюджет'!AG7+'місц.-районн.бюджет'!AG7+областной!AG7+інші!AG7</f>
        <v>617.3767194035269</v>
      </c>
      <c r="AH7" s="18">
        <f>'насел.'!AH7+пільги!AH7+субсидії!AH7+'держ.бюджет'!AH7+'місц.-районн.бюджет'!AH7+областной!AH7+інші!AH7</f>
        <v>31645.588770000006</v>
      </c>
      <c r="AI7" s="18">
        <f>'насел.'!AI7+пільги!AI7+субсидії!AI7+'держ.бюджет'!AI7+'місц.-районн.бюджет'!AI7+областной!AI7+інші!AI7</f>
        <v>28334.552839999997</v>
      </c>
      <c r="AJ7" s="18">
        <f>'насел.'!AJ7+пільги!AJ7+субсидії!AJ7+'держ.бюджет'!AJ7+'місц.-районн.бюджет'!AJ7+областной!AJ7+інші!AJ7</f>
        <v>93884.3622</v>
      </c>
      <c r="AK7" s="18">
        <f>'насел.'!AK7+пільги!AK7+субсидії!AK7+'держ.бюджет'!AK7+'місц.-районн.бюджет'!AK7+областной!AK7+інші!AK7</f>
        <v>81839.07819999999</v>
      </c>
      <c r="AL7" s="18">
        <f>AK7/AJ7*100</f>
        <v>87.17008485998959</v>
      </c>
      <c r="AM7" s="18">
        <f>'насел.'!AM7+пільги!AM7+субсидії!AM7+'держ.бюджет'!AM7+'місц.-районн.бюджет'!AM7+областной!AM7+інші!AM7</f>
        <v>31734.200000000004</v>
      </c>
      <c r="AN7" s="18">
        <f>'насел.'!AN7+пільги!AN7+субсидії!AN7+'держ.бюджет'!AN7+'місц.-районн.бюджет'!AN7+областной!AN7+інші!AN7</f>
        <v>29550.299999999996</v>
      </c>
      <c r="AO7" s="18">
        <f>'насел.'!AO7+пільги!AO7+субсидії!AO7+'держ.бюджет'!AO7+'місц.-районн.бюджет'!AO7+областной!AO7+інші!AO7</f>
        <v>32567.400000000005</v>
      </c>
      <c r="AP7" s="18">
        <f>'насел.'!AP7+пільги!AP7+субсидії!AP7+'держ.бюджет'!AP7+'місц.-районн.бюджет'!AP7+областной!AP7+інші!AP7</f>
        <v>27933.7</v>
      </c>
      <c r="AQ7" s="18">
        <f>'насел.'!AQ7+пільги!AQ7+субсидії!AQ7+'держ.бюджет'!AQ7+'місц.-районн.бюджет'!AQ7+областной!AQ7+інші!AQ7</f>
        <v>35032.600000000006</v>
      </c>
      <c r="AR7" s="18">
        <f>'насел.'!AR7+пільги!AR7+субсидії!AR7+'держ.бюджет'!AR7+'місц.-районн.бюджет'!AR7+областной!AR7+інші!AR7</f>
        <v>31335.199999999997</v>
      </c>
      <c r="AS7" s="18">
        <f>'насел.'!AS7+пільги!AS7+субсидії!AS7+'держ.бюджет'!AS7+'місц.-районн.бюджет'!AS7+областной!AS7+інші!AS7</f>
        <v>378428.28225000005</v>
      </c>
      <c r="AT7" s="18">
        <f>'насел.'!AT7+пільги!AT7+субсидії!AT7+'держ.бюджет'!AT7+'місц.-районн.бюджет'!AT7+областной!AT7+інші!AT7</f>
        <v>353574.31469</v>
      </c>
      <c r="AU7" s="11">
        <f aca="true" t="shared" si="3" ref="AU7:AU45">AT7/AS7*100</f>
        <v>93.43231763434086</v>
      </c>
      <c r="AV7" s="18">
        <f>'насел.'!AV7+пільги!AV7+субсидії!AV7+'держ.бюджет'!AV7+'місц.-районн.бюджет'!AV7+областной!AV7+інші!AV7</f>
        <v>24853.96756000001</v>
      </c>
      <c r="AW7" s="18">
        <f>'насел.'!AW7+пільги!AW7+субсидії!AW7+'держ.бюджет'!AW7+'місц.-районн.бюджет'!AW7+областной!AW7+інші!AW7</f>
        <v>46568.16756000001</v>
      </c>
      <c r="AX7" s="42">
        <f>M7+Y7+AJ7+AM7+AO7+AQ7</f>
        <v>378428.28225000005</v>
      </c>
      <c r="AY7" s="42">
        <f>N7+Z7+AK7+AN7+AP7+AR7</f>
        <v>353574.31468999997</v>
      </c>
      <c r="AZ7" s="42">
        <f>AX7-AY7</f>
        <v>24853.967560000077</v>
      </c>
      <c r="BA7" s="42">
        <f>C7+AX7-AY7</f>
        <v>46568.16756000009</v>
      </c>
    </row>
    <row r="8" spans="1:53" ht="27" customHeight="1">
      <c r="A8" s="13" t="s">
        <v>12</v>
      </c>
      <c r="B8" s="41" t="s">
        <v>90</v>
      </c>
      <c r="C8" s="18">
        <f>'насел.'!C8+пільги!C8+субсидії!C8+'держ.бюджет'!C8+'місц.-районн.бюджет'!C8+областной!C8+інші!C8</f>
        <v>-2655.3</v>
      </c>
      <c r="D8" s="18">
        <f>'насел.'!D8+пільги!D8+субсидії!D8+'держ.бюджет'!D8+'місц.-районн.бюджет'!D8+областной!D8+інші!D8</f>
        <v>2177.7</v>
      </c>
      <c r="E8" s="18">
        <f>'насел.'!E8+пільги!E8+субсидії!E8+'держ.бюджет'!E8+'місц.-районн.бюджет'!E8+областной!E8+інші!E8</f>
        <v>1174.9999999999998</v>
      </c>
      <c r="F8" s="11">
        <f t="shared" si="0"/>
        <v>53.95600863296137</v>
      </c>
      <c r="G8" s="18">
        <f>'насел.'!G8+пільги!G8+субсидії!G8+'держ.бюджет'!G8+'місц.-районн.бюджет'!G8+областной!G8+інші!G8</f>
        <v>2172.4</v>
      </c>
      <c r="H8" s="18">
        <f>'насел.'!H8+пільги!H8+субсидії!H8+'держ.бюджет'!H8+'місц.-районн.бюджет'!H8+областной!H8+інші!H8</f>
        <v>4131.3</v>
      </c>
      <c r="I8" s="11">
        <f aca="true" t="shared" si="4" ref="I8:I45">H8/G8*100</f>
        <v>190.17215982323697</v>
      </c>
      <c r="J8" s="18">
        <f>'насел.'!J8+пільги!J8+субсидії!J8+'держ.бюджет'!J8+'місц.-районн.бюджет'!J8+областной!J8+інші!J8</f>
        <v>2207.6</v>
      </c>
      <c r="K8" s="18">
        <f>'насел.'!K8+пільги!K8+субсидії!K8+'держ.бюджет'!K8+'місц.-районн.бюджет'!K8+областной!K8+інші!K8</f>
        <v>1247</v>
      </c>
      <c r="L8" s="11">
        <f t="shared" si="1"/>
        <v>56.48668236999457</v>
      </c>
      <c r="M8" s="11">
        <f>'насел.'!M8+пільги!M8+субсидії!M8+'держ.бюджет'!M8+'місц.-районн.бюджет'!M8+областной!M8+інші!M8</f>
        <v>6557.700000000001</v>
      </c>
      <c r="N8" s="11">
        <f>'насел.'!N8+пільги!N8+субсидії!N8+'держ.бюджет'!N8+'місц.-районн.бюджет'!N8+областной!N8+інші!N8</f>
        <v>6553.3</v>
      </c>
      <c r="O8" s="11">
        <f aca="true" t="shared" si="5" ref="O8:O45">N8/M8*100</f>
        <v>99.93290330451224</v>
      </c>
      <c r="P8" s="18">
        <f>'насел.'!P8+пільги!P8+субсидії!P8+'держ.бюджет'!P8+'місц.-районн.бюджет'!P8+областной!P8+інші!P8</f>
        <v>2412.2000000000003</v>
      </c>
      <c r="Q8" s="18">
        <f>'насел.'!Q8+пільги!Q8+субсидії!Q8+'держ.бюджет'!Q8+'місц.-районн.бюджет'!Q8+областной!Q8+інші!Q8</f>
        <v>2311.2</v>
      </c>
      <c r="R8" s="11">
        <f aca="true" t="shared" si="6" ref="R8:R28">Q8/P8*100</f>
        <v>95.81295083326422</v>
      </c>
      <c r="S8" s="18">
        <f>'насел.'!S8+пільги!S8+субсидії!S8+'держ.бюджет'!S8+'місц.-районн.бюджет'!S8+областной!S8+інші!S8</f>
        <v>2446.2000000000003</v>
      </c>
      <c r="T8" s="18">
        <f>'насел.'!T8+пільги!T8+субсидії!T8+'держ.бюджет'!T8+'місц.-районн.бюджет'!T8+областной!T8+інші!T8</f>
        <v>3030.9</v>
      </c>
      <c r="U8" s="11">
        <f aca="true" t="shared" si="7" ref="U8:U28">T8/S8*100</f>
        <v>123.90237920039245</v>
      </c>
      <c r="V8" s="18">
        <f>'насел.'!V8+пільги!V8+субсидії!V8+'держ.бюджет'!V8+'місц.-районн.бюджет'!V8+областной!V8+інші!V8</f>
        <v>2387.5</v>
      </c>
      <c r="W8" s="18">
        <f>'насел.'!W8+пільги!W8+субсидії!W8+'держ.бюджет'!W8+'місц.-районн.бюджет'!W8+областной!W8+інші!W8</f>
        <v>1519.6</v>
      </c>
      <c r="X8" s="11">
        <f aca="true" t="shared" si="8" ref="X8:X28">W8/V8*100</f>
        <v>63.64816753926701</v>
      </c>
      <c r="Y8" s="18">
        <f>'насел.'!Y8+пільги!Y8+субсидії!Y8+'держ.бюджет'!Y8+'місц.-районн.бюджет'!Y8+областной!Y8+інші!Y8</f>
        <v>7245.9</v>
      </c>
      <c r="Z8" s="18">
        <f>'насел.'!Z8+пільги!Z8+субсидії!Z8+'держ.бюджет'!Z8+'місц.-районн.бюджет'!Z8+областной!Z8+інші!Z8</f>
        <v>6861.700000000001</v>
      </c>
      <c r="AA8" s="11">
        <f t="shared" si="2"/>
        <v>94.69769110807492</v>
      </c>
      <c r="AB8" s="18">
        <f>'насел.'!AB8+пільги!AB8+субсидії!AB8+'держ.бюджет'!AB8+'місц.-районн.бюджет'!AB8+областной!AB8+інші!AB8</f>
        <v>2504.3</v>
      </c>
      <c r="AC8" s="18">
        <f>'насел.'!AC8+пільги!AC8+субсидії!AC8+'держ.бюджет'!AC8+'місц.-районн.бюджет'!AC8+областной!AC8+інші!AC8</f>
        <v>2148.5</v>
      </c>
      <c r="AD8" s="11">
        <f aca="true" t="shared" si="9" ref="AD8:AD28">AC8/AB8*100</f>
        <v>85.79243700834563</v>
      </c>
      <c r="AE8" s="18">
        <f>'насел.'!AE8+пільги!AE8+субсидії!AE8+'держ.бюджет'!AE8+'місц.-районн.бюджет'!AE8+областной!AE8+інші!AE8</f>
        <v>2447.4999999999995</v>
      </c>
      <c r="AF8" s="18">
        <f>'насел.'!AF8+пільги!AF8+субсидії!AF8+'держ.бюджет'!AF8+'місц.-районн.бюджет'!AF8+областной!AF8+інші!AF8</f>
        <v>2131.8</v>
      </c>
      <c r="AG8" s="11">
        <f aca="true" t="shared" si="10" ref="AG8:AG28">AF8/AE8*100</f>
        <v>87.10112359550564</v>
      </c>
      <c r="AH8" s="18">
        <f>'насел.'!AH8+пільги!AH8+субсидії!AH8+'держ.бюджет'!AH8+'місц.-районн.бюджет'!AH8+областной!AH8+інші!AH8</f>
        <v>2436.7999999999997</v>
      </c>
      <c r="AI8" s="18">
        <f>'насел.'!AI8+пільги!AI8+субсидії!AI8+'держ.бюджет'!AI8+'місц.-районн.бюджет'!AI8+областной!AI8+інші!AI8</f>
        <v>2027.2999999999997</v>
      </c>
      <c r="AJ8" s="18">
        <f>'насел.'!AJ8+пільги!AJ8+субсидії!AJ8+'держ.бюджет'!AJ8+'місц.-районн.бюджет'!AJ8+областной!AJ8+інші!AJ8</f>
        <v>7388.599999999999</v>
      </c>
      <c r="AK8" s="18">
        <f>'насел.'!AK8+пільги!AK8+субсидії!AK8+'держ.бюджет'!AK8+'місц.-районн.бюджет'!AK8+областной!AK8+інші!AK8</f>
        <v>6307.6</v>
      </c>
      <c r="AL8" s="18">
        <f aca="true" t="shared" si="11" ref="AL8:AL45">AK8/AJ8*100</f>
        <v>85.3693527867255</v>
      </c>
      <c r="AM8" s="18">
        <f>'насел.'!AM8+пільги!AM8+субсидії!AM8+'держ.бюджет'!AM8+'місц.-районн.бюджет'!AM8+областной!AM8+інші!AM8</f>
        <v>2400.9</v>
      </c>
      <c r="AN8" s="18">
        <f>'насел.'!AN8+пільги!AN8+субсидії!AN8+'держ.бюджет'!AN8+'місц.-районн.бюджет'!AN8+областной!AN8+інші!AN8</f>
        <v>2068.7</v>
      </c>
      <c r="AO8" s="18">
        <f>'насел.'!AO8+пільги!AO8+субсидії!AO8+'держ.бюджет'!AO8+'місц.-районн.бюджет'!AO8+областной!AO8+інші!AO8</f>
        <v>2342</v>
      </c>
      <c r="AP8" s="18">
        <f>'насел.'!AP8+пільги!AP8+субсидії!AP8+'держ.бюджет'!AP8+'місц.-районн.бюджет'!AP8+областной!AP8+інші!AP8</f>
        <v>1970.5</v>
      </c>
      <c r="AQ8" s="18">
        <f>'насел.'!AQ8+пільги!AQ8+субсидії!AQ8+'держ.бюджет'!AQ8+'місц.-районн.бюджет'!AQ8+областной!AQ8+інші!AQ8</f>
        <v>2303.9</v>
      </c>
      <c r="AR8" s="18">
        <f>'насел.'!AR8+пільги!AR8+субсидії!AR8+'держ.бюджет'!AR8+'місц.-районн.бюджет'!AR8+областной!AR8+інші!AR8</f>
        <v>2090</v>
      </c>
      <c r="AS8" s="18">
        <f>'насел.'!AS8+пільги!AS8+субсидії!AS8+'держ.бюджет'!AS8+'місц.-районн.бюджет'!AS8+областной!AS8+інші!AS8</f>
        <v>28239.000000000004</v>
      </c>
      <c r="AT8" s="18">
        <f>'насел.'!AT8+пільги!AT8+субсидії!AT8+'держ.бюджет'!AT8+'місц.-районн.бюджет'!AT8+областной!AT8+інші!AT8</f>
        <v>25851.8</v>
      </c>
      <c r="AU8" s="11">
        <f>AT8/AS8*100</f>
        <v>91.5464428627076</v>
      </c>
      <c r="AV8" s="18">
        <f>'насел.'!AV8+пільги!AV8+субсидії!AV8+'держ.бюджет'!AV8+'місц.-районн.бюджет'!AV8+областной!AV8+інші!AV8</f>
        <v>2387.1999999999994</v>
      </c>
      <c r="AW8" s="129">
        <f>'насел.'!AW8+пільги!AW8+субсидії!AW8+'держ.бюджет'!AW8+'місц.-районн.бюджет'!AW8+областной!AW8+інші!AW8</f>
        <v>-268.0999999999999</v>
      </c>
      <c r="AX8" s="42">
        <f aca="true" t="shared" si="12" ref="AX8:AX45">M8+Y8+AJ8+AM8+AO8+AQ8</f>
        <v>28239.000000000004</v>
      </c>
      <c r="AY8" s="42">
        <f aca="true" t="shared" si="13" ref="AY8:AY45">N8+Z8+AK8+AN8+AP8+AR8</f>
        <v>25851.8</v>
      </c>
      <c r="AZ8" s="42">
        <f aca="true" t="shared" si="14" ref="AZ8:AZ45">AX8-AY8</f>
        <v>2387.2000000000044</v>
      </c>
      <c r="BA8" s="42">
        <f aca="true" t="shared" si="15" ref="BA8:BA45">C8+AX8-AY8</f>
        <v>-268.0999999999949</v>
      </c>
    </row>
    <row r="9" spans="1:53" ht="27" customHeight="1">
      <c r="A9" s="13" t="s">
        <v>13</v>
      </c>
      <c r="B9" s="41" t="s">
        <v>91</v>
      </c>
      <c r="C9" s="18">
        <f>'насел.'!C9+пільги!C9+субсидії!C9+'держ.бюджет'!C9+'місц.-районн.бюджет'!C9+областной!C9+інші!C9</f>
        <v>-1196.7000000000003</v>
      </c>
      <c r="D9" s="18">
        <f>'насел.'!D9+пільги!D9+субсидії!D9+'держ.бюджет'!D9+'місц.-районн.бюджет'!D9+областной!D9+інші!D9</f>
        <v>379.2</v>
      </c>
      <c r="E9" s="18">
        <f>'насел.'!E9+пільги!E9+субсидії!E9+'держ.бюджет'!E9+'місц.-районн.бюджет'!E9+областной!E9+інші!E9</f>
        <v>123.2</v>
      </c>
      <c r="F9" s="11">
        <f t="shared" si="0"/>
        <v>32.48945147679325</v>
      </c>
      <c r="G9" s="18">
        <f>'насел.'!G9+пільги!G9+субсидії!G9+'держ.бюджет'!G9+'місц.-районн.бюджет'!G9+областной!G9+інші!G9</f>
        <v>392.5</v>
      </c>
      <c r="H9" s="18">
        <f>'насел.'!H9+пільги!H9+субсидії!H9+'держ.бюджет'!H9+'місц.-районн.бюджет'!H9+областной!H9+інші!H9</f>
        <v>794.4000000000001</v>
      </c>
      <c r="I9" s="11">
        <f t="shared" si="4"/>
        <v>202.39490445859875</v>
      </c>
      <c r="J9" s="18">
        <f>'насел.'!J9+пільги!J9+субсидії!J9+'держ.бюджет'!J9+'місц.-районн.бюджет'!J9+областной!J9+інші!J9</f>
        <v>410.7</v>
      </c>
      <c r="K9" s="18">
        <f>'насел.'!K9+пільги!K9+субсидії!K9+'держ.бюджет'!K9+'місц.-районн.бюджет'!K9+областной!K9+інші!K9</f>
        <v>155.00000000000003</v>
      </c>
      <c r="L9" s="11">
        <f t="shared" si="1"/>
        <v>37.74044314584856</v>
      </c>
      <c r="M9" s="11">
        <f>'насел.'!M9+пільги!M9+субсидії!M9+'держ.бюджет'!M9+'місц.-районн.бюджет'!M9+областной!M9+інші!M9</f>
        <v>1182.4</v>
      </c>
      <c r="N9" s="11">
        <f>'насел.'!N9+пільги!N9+субсидії!N9+'держ.бюджет'!N9+'місц.-районн.бюджет'!N9+областной!N9+інші!N9</f>
        <v>1072.6000000000001</v>
      </c>
      <c r="O9" s="11">
        <f t="shared" si="5"/>
        <v>90.71380243572395</v>
      </c>
      <c r="P9" s="18">
        <f>'насел.'!P9+пільги!P9+субсидії!P9+'держ.бюджет'!P9+'місц.-районн.бюджет'!P9+областной!P9+інші!P9</f>
        <v>416.49999999999994</v>
      </c>
      <c r="Q9" s="18">
        <f>'насел.'!Q9+пільги!Q9+субсидії!Q9+'держ.бюджет'!Q9+'місц.-районн.бюджет'!Q9+областной!Q9+інші!Q9</f>
        <v>334.5</v>
      </c>
      <c r="R9" s="11">
        <f t="shared" si="6"/>
        <v>80.31212484993999</v>
      </c>
      <c r="S9" s="18">
        <f>'насел.'!S9+пільги!S9+субсидії!S9+'держ.бюджет'!S9+'місц.-районн.бюджет'!S9+областной!S9+інші!S9</f>
        <v>371.7</v>
      </c>
      <c r="T9" s="18">
        <f>'насел.'!T9+пільги!T9+субсидії!T9+'держ.бюджет'!T9+'місц.-районн.бюджет'!T9+областной!T9+інші!T9</f>
        <v>424.00000000000006</v>
      </c>
      <c r="U9" s="11">
        <f t="shared" si="7"/>
        <v>114.0704869518429</v>
      </c>
      <c r="V9" s="18">
        <f>'насел.'!V9+пільги!V9+субсидії!V9+'держ.бюджет'!V9+'місц.-районн.бюджет'!V9+областной!V9+інші!V9</f>
        <v>321.40000000000003</v>
      </c>
      <c r="W9" s="18">
        <f>'насел.'!W9+пільги!W9+субсидії!W9+'держ.бюджет'!W9+'місц.-районн.бюджет'!W9+областной!W9+інші!W9</f>
        <v>243.70000000000002</v>
      </c>
      <c r="X9" s="11">
        <f t="shared" si="8"/>
        <v>75.82451773490976</v>
      </c>
      <c r="Y9" s="18">
        <f>'насел.'!Y9+пільги!Y9+субсидії!Y9+'держ.бюджет'!Y9+'місц.-районн.бюджет'!Y9+областной!Y9+інші!Y9</f>
        <v>1109.6</v>
      </c>
      <c r="Z9" s="18">
        <f>'насел.'!Z9+пільги!Z9+субсидії!Z9+'держ.бюджет'!Z9+'місц.-районн.бюджет'!Z9+областной!Z9+інші!Z9</f>
        <v>1002.2</v>
      </c>
      <c r="AA9" s="11">
        <f t="shared" si="2"/>
        <v>90.3208363374189</v>
      </c>
      <c r="AB9" s="18">
        <f>'насел.'!AB9+пільги!AB9+субсидії!AB9+'держ.бюджет'!AB9+'місц.-районн.бюджет'!AB9+областной!AB9+інші!AB9</f>
        <v>362.29999999999995</v>
      </c>
      <c r="AC9" s="18">
        <f>'насел.'!AC9+пільги!AC9+субсидії!AC9+'держ.бюджет'!AC9+'місц.-районн.бюджет'!AC9+областной!AC9+інші!AC9</f>
        <v>340.5</v>
      </c>
      <c r="AD9" s="11">
        <f t="shared" si="9"/>
        <v>93.98288711012974</v>
      </c>
      <c r="AE9" s="18">
        <f>'насел.'!AE9+пільги!AE9+субсидії!AE9+'держ.бюджет'!AE9+'місц.-районн.бюджет'!AE9+областной!AE9+інші!AE9</f>
        <v>353.9</v>
      </c>
      <c r="AF9" s="18">
        <f>'насел.'!AF9+пільги!AF9+субсидії!AF9+'держ.бюджет'!AF9+'місц.-районн.бюджет'!AF9+областной!AF9+інші!AF9</f>
        <v>311.59999999999997</v>
      </c>
      <c r="AG9" s="11">
        <f t="shared" si="10"/>
        <v>88.0474710370161</v>
      </c>
      <c r="AH9" s="18">
        <f>'насел.'!AH9+пільги!AH9+субсидії!AH9+'держ.бюджет'!AH9+'місц.-районн.бюджет'!AH9+областной!AH9+інші!AH9</f>
        <v>380.29999999999995</v>
      </c>
      <c r="AI9" s="18">
        <f>'насел.'!AI9+пільги!AI9+субсидії!AI9+'держ.бюджет'!AI9+'місц.-районн.бюджет'!AI9+областной!AI9+інші!AI9</f>
        <v>375.2</v>
      </c>
      <c r="AJ9" s="18">
        <f>'насел.'!AJ9+пільги!AJ9+субсидії!AJ9+'держ.бюджет'!AJ9+'місц.-районн.бюджет'!AJ9+областной!AJ9+інші!AJ9</f>
        <v>1096.4999999999998</v>
      </c>
      <c r="AK9" s="18">
        <f>'насел.'!AK9+пільги!AK9+субсидії!AK9+'держ.бюджет'!AK9+'місц.-районн.бюджет'!AK9+областной!AK9+інші!AK9</f>
        <v>1027.3</v>
      </c>
      <c r="AL9" s="18">
        <f t="shared" si="11"/>
        <v>93.68901048791611</v>
      </c>
      <c r="AM9" s="18">
        <f>'насел.'!AM9+пільги!AM9+субсидії!AM9+'держ.бюджет'!AM9+'місц.-районн.бюджет'!AM9+областной!AM9+інші!AM9</f>
        <v>359.30000000000007</v>
      </c>
      <c r="AN9" s="18">
        <f>'насел.'!AN9+пільги!AN9+субсидії!AN9+'держ.бюджет'!AN9+'місц.-районн.бюджет'!AN9+областной!AN9+інші!AN9</f>
        <v>310.59999999999997</v>
      </c>
      <c r="AO9" s="18">
        <f>'насел.'!AO9+пільги!AO9+субсидії!AO9+'держ.бюджет'!AO9+'місц.-районн.бюджет'!AO9+областной!AO9+інші!AO9</f>
        <v>416.69999999999993</v>
      </c>
      <c r="AP9" s="18">
        <f>'насел.'!AP9+пільги!AP9+субсидії!AP9+'держ.бюджет'!AP9+'місц.-районн.бюджет'!AP9+областной!AP9+інші!AP9</f>
        <v>365.79999999999995</v>
      </c>
      <c r="AQ9" s="18">
        <f>'насел.'!AQ9+пільги!AQ9+субсидії!AQ9+'держ.бюджет'!AQ9+'місц.-районн.бюджет'!AQ9+областной!AQ9+інші!AQ9</f>
        <v>341.5</v>
      </c>
      <c r="AR9" s="18">
        <f>'насел.'!AR9+пільги!AR9+субсидії!AR9+'держ.бюджет'!AR9+'місц.-районн.бюджет'!AR9+областной!AR9+інші!AR9</f>
        <v>404.99999999999994</v>
      </c>
      <c r="AS9" s="18">
        <f>'насел.'!AS9+пільги!AS9+субсидії!AS9+'держ.бюджет'!AS9+'місц.-районн.бюджет'!AS9+областной!AS9+інші!AS9</f>
        <v>4505.999999999999</v>
      </c>
      <c r="AT9" s="18">
        <f>'насел.'!AT9+пільги!AT9+субсидії!AT9+'держ.бюджет'!AT9+'місц.-районн.бюджет'!AT9+областной!AT9+інші!AT9</f>
        <v>4183.5</v>
      </c>
      <c r="AU9" s="11">
        <f t="shared" si="3"/>
        <v>92.8428761651132</v>
      </c>
      <c r="AV9" s="18">
        <f>'насел.'!AV9+пільги!AV9+субсидії!AV9+'держ.бюджет'!AV9+'місц.-районн.бюджет'!AV9+областной!AV9+інші!AV9</f>
        <v>322.4999999999992</v>
      </c>
      <c r="AW9" s="129">
        <f>'насел.'!AW9+пільги!AW9+субсидії!AW9+'держ.бюджет'!AW9+'місц.-районн.бюджет'!AW9+областной!AW9+інші!AW9</f>
        <v>-874.200000000001</v>
      </c>
      <c r="AX9" s="42">
        <f t="shared" si="12"/>
        <v>4506</v>
      </c>
      <c r="AY9" s="42">
        <f t="shared" si="13"/>
        <v>4183.5</v>
      </c>
      <c r="AZ9" s="42">
        <f t="shared" si="14"/>
        <v>322.5</v>
      </c>
      <c r="BA9" s="42">
        <f t="shared" si="15"/>
        <v>-874.2000000000003</v>
      </c>
    </row>
    <row r="10" spans="1:53" s="152" customFormat="1" ht="27" customHeight="1">
      <c r="A10" s="150" t="s">
        <v>14</v>
      </c>
      <c r="B10" s="175" t="s">
        <v>132</v>
      </c>
      <c r="C10" s="18">
        <f>'насел.'!C10+пільги!C10+субсидії!C10+'держ.бюджет'!C10+'місц.-районн.бюджет'!C10+областной!C10+інші!C10</f>
        <v>230.4</v>
      </c>
      <c r="D10" s="18">
        <f>'насел.'!D10+пільги!D10+субсидії!D10+'держ.бюджет'!D10+'місц.-районн.бюджет'!D10+областной!D10+інші!D10</f>
        <v>141.5</v>
      </c>
      <c r="E10" s="18">
        <f>'насел.'!E10+пільги!E10+субсидії!E10+'держ.бюджет'!E10+'місц.-районн.бюджет'!E10+областной!E10+інші!E10</f>
        <v>40.3</v>
      </c>
      <c r="F10" s="11">
        <f t="shared" si="0"/>
        <v>28.480565371024735</v>
      </c>
      <c r="G10" s="18">
        <f>'насел.'!G10+пільги!G10+субсидії!G10+'держ.бюджет'!G10+'місц.-районн.бюджет'!G10+областной!G10+інші!G10</f>
        <v>434.79999999999995</v>
      </c>
      <c r="H10" s="18">
        <f>'насел.'!H10+пільги!H10+субсидії!H10+'держ.бюджет'!H10+'місц.-районн.бюджет'!H10+областной!H10+інші!H10</f>
        <v>651</v>
      </c>
      <c r="I10" s="11">
        <f t="shared" si="4"/>
        <v>149.72401103955843</v>
      </c>
      <c r="J10" s="18">
        <f>'насел.'!J10+пільги!J10+субсидії!J10+'держ.бюджет'!J10+'місц.-районн.бюджет'!J10+областной!J10+інші!J10</f>
        <v>443.79999999999995</v>
      </c>
      <c r="K10" s="18">
        <f>'насел.'!K10+пільги!K10+субсидії!K10+'держ.бюджет'!K10+'місц.-районн.бюджет'!K10+областной!K10+інші!K10</f>
        <v>339.2</v>
      </c>
      <c r="L10" s="11">
        <f t="shared" si="1"/>
        <v>76.43082469580892</v>
      </c>
      <c r="M10" s="11">
        <f>'насел.'!M10+пільги!M10+субсидії!M10+'держ.бюджет'!M10+'місц.-районн.бюджет'!M10+областной!M10+інші!M10</f>
        <v>1020.0999999999999</v>
      </c>
      <c r="N10" s="11">
        <f>'насел.'!N10+пільги!N10+субсидії!N10+'держ.бюджет'!N10+'місц.-районн.бюджет'!N10+областной!N10+інші!N10</f>
        <v>1030.5</v>
      </c>
      <c r="O10" s="11">
        <f t="shared" si="5"/>
        <v>101.01950789138321</v>
      </c>
      <c r="P10" s="18">
        <f>'насел.'!P10+пільги!P10+субсидії!P10+'держ.бюджет'!P10+'місц.-районн.бюджет'!P10+областной!P10+інші!P10</f>
        <v>177.89999999999998</v>
      </c>
      <c r="Q10" s="18">
        <f>'насел.'!Q10+пільги!Q10+субсидії!Q10+'держ.бюджет'!Q10+'місц.-районн.бюджет'!Q10+областной!Q10+інші!Q10</f>
        <v>179.2</v>
      </c>
      <c r="R10" s="129">
        <f t="shared" si="6"/>
        <v>100.73074761101743</v>
      </c>
      <c r="S10" s="18">
        <f>'насел.'!S10+пільги!S10+субсидії!S10+'держ.бюджет'!S10+'місц.-районн.бюджет'!S10+областной!S10+інші!S10</f>
        <v>14.2</v>
      </c>
      <c r="T10" s="18">
        <f>'насел.'!T10+пільги!T10+субсидії!T10+'держ.бюджет'!T10+'місц.-районн.бюджет'!T10+областной!T10+інші!T10</f>
        <v>139.8</v>
      </c>
      <c r="U10" s="129">
        <f t="shared" si="7"/>
        <v>984.5070422535211</v>
      </c>
      <c r="V10" s="18">
        <f>'насел.'!V10+пільги!V10+субсидії!V10+'держ.бюджет'!V10+'місц.-районн.бюджет'!V10+областной!V10+інші!V10</f>
        <v>17.700000000000003</v>
      </c>
      <c r="W10" s="18">
        <f>'насел.'!W10+пільги!W10+субсидії!W10+'держ.бюджет'!W10+'місц.-районн.бюджет'!W10+областной!W10+інші!W10</f>
        <v>89.2</v>
      </c>
      <c r="X10" s="129">
        <f t="shared" si="8"/>
        <v>503.95480225988695</v>
      </c>
      <c r="Y10" s="18">
        <f>'насел.'!Y10+пільги!Y10+субсидії!Y10+'держ.бюджет'!Y10+'місц.-районн.бюджет'!Y10+областной!Y10+інші!Y10</f>
        <v>209.8</v>
      </c>
      <c r="Z10" s="18">
        <f>'насел.'!Z10+пільги!Z10+субсидії!Z10+'держ.бюджет'!Z10+'місц.-районн.бюджет'!Z10+областной!Z10+інші!Z10</f>
        <v>408.20000000000005</v>
      </c>
      <c r="AA10" s="11">
        <f t="shared" si="2"/>
        <v>194.56625357483318</v>
      </c>
      <c r="AB10" s="18">
        <f>'насел.'!AB10+пільги!AB10+субсидії!AB10+'держ.бюджет'!AB10+'місц.-районн.бюджет'!AB10+областной!AB10+інші!AB10</f>
        <v>17.700000000000003</v>
      </c>
      <c r="AC10" s="18">
        <f>'насел.'!AC10+пільги!AC10+субсидії!AC10+'держ.бюджет'!AC10+'місц.-районн.бюджет'!AC10+областной!AC10+інші!AC10</f>
        <v>89.2</v>
      </c>
      <c r="AD10" s="129">
        <f t="shared" si="9"/>
        <v>503.95480225988695</v>
      </c>
      <c r="AE10" s="18">
        <f>'насел.'!AE10+пільги!AE10+субсидії!AE10+'держ.бюджет'!AE10+'місц.-районн.бюджет'!AE10+областной!AE10+інші!AE10</f>
        <v>37.1</v>
      </c>
      <c r="AF10" s="18">
        <f>'насел.'!AF10+пільги!AF10+субсидії!AF10+'держ.бюджет'!AF10+'місц.-районн.бюджет'!AF10+областной!AF10+інші!AF10</f>
        <v>24.6</v>
      </c>
      <c r="AG10" s="101">
        <f t="shared" si="10"/>
        <v>66.30727762803235</v>
      </c>
      <c r="AH10" s="18">
        <f>'насел.'!AH10+пільги!AH10+субсидії!AH10+'держ.бюджет'!AH10+'місц.-районн.бюджет'!AH10+областной!AH10+інші!AH10</f>
        <v>0</v>
      </c>
      <c r="AI10" s="18">
        <f>'насел.'!AI10+пільги!AI10+субсидії!AI10+'держ.бюджет'!AI10+'місц.-районн.бюджет'!AI10+областной!AI10+інші!AI10</f>
        <v>0</v>
      </c>
      <c r="AJ10" s="18">
        <f>'насел.'!AJ10+пільги!AJ10+субсидії!AJ10+'держ.бюджет'!AJ10+'місц.-районн.бюджет'!AJ10+областной!AJ10+інші!AJ10</f>
        <v>54.8</v>
      </c>
      <c r="AK10" s="18">
        <f>'насел.'!AK10+пільги!AK10+субсидії!AK10+'держ.бюджет'!AK10+'місц.-районн.бюджет'!AK10+областной!AK10+інші!AK10</f>
        <v>113.8</v>
      </c>
      <c r="AL10" s="18">
        <f t="shared" si="11"/>
        <v>207.66423357664232</v>
      </c>
      <c r="AM10" s="18">
        <f>'насел.'!AM10+пільги!AM10+субсидії!AM10+'держ.бюджет'!AM10+'місц.-районн.бюджет'!AM10+областной!AM10+інші!AM10</f>
        <v>107.2</v>
      </c>
      <c r="AN10" s="18">
        <f>'насел.'!AN10+пільги!AN10+субсидії!AN10+'держ.бюджет'!AN10+'місц.-районн.бюджет'!AN10+областной!AN10+інші!AN10</f>
        <v>6</v>
      </c>
      <c r="AO10" s="18">
        <f>'насел.'!AO10+пільги!AO10+субсидії!AO10+'держ.бюджет'!AO10+'місц.-районн.бюджет'!AO10+областной!AO10+інші!AO10</f>
        <v>110.10000000000001</v>
      </c>
      <c r="AP10" s="18">
        <f>'насел.'!AP10+пільги!AP10+субсидії!AP10+'держ.бюджет'!AP10+'місц.-районн.бюджет'!AP10+областной!AP10+інші!AP10</f>
        <v>326.29999999999995</v>
      </c>
      <c r="AQ10" s="18">
        <f>'насел.'!AQ10+пільги!AQ10+субсидії!AQ10+'держ.бюджет'!AQ10+'місц.-районн.бюджет'!AQ10+областной!AQ10+інші!AQ10</f>
        <v>101.2</v>
      </c>
      <c r="AR10" s="18">
        <f>'насел.'!AR10+пільги!AR10+субсидії!AR10+'держ.бюджет'!AR10+'місц.-районн.бюджет'!AR10+областной!AR10+інші!AR10</f>
        <v>0</v>
      </c>
      <c r="AS10" s="18">
        <f>'насел.'!AS10+пільги!AS10+субсидії!AS10+'держ.бюджет'!AS10+'місц.-районн.бюджет'!AS10+областной!AS10+інші!AS10</f>
        <v>1603.2</v>
      </c>
      <c r="AT10" s="18">
        <f>'насел.'!AT10+пільги!AT10+субсидії!AT10+'держ.бюджет'!AT10+'місц.-районн.бюджет'!AT10+областной!AT10+інші!AT10</f>
        <v>1884.7999999999997</v>
      </c>
      <c r="AU10" s="11">
        <f t="shared" si="3"/>
        <v>117.56487025948101</v>
      </c>
      <c r="AV10" s="151">
        <f>'насел.'!AV10+пільги!AV10+субсидії!AV10+'держ.бюджет'!AV10+'місц.-районн.бюджет'!AV10+областной!AV10+інші!AV10</f>
        <v>-281.59999999999985</v>
      </c>
      <c r="AW10" s="129">
        <f>'насел.'!AW10+пільги!AW10+субсидії!AW10+'держ.бюджет'!AW10+'місц.-районн.бюджет'!AW10+областной!AW10+інші!AW10</f>
        <v>-51.19999999999985</v>
      </c>
      <c r="AX10" s="42">
        <f t="shared" si="12"/>
        <v>1603.1999999999998</v>
      </c>
      <c r="AY10" s="42">
        <f t="shared" si="13"/>
        <v>1884.8</v>
      </c>
      <c r="AZ10" s="42">
        <f t="shared" si="14"/>
        <v>-281.60000000000014</v>
      </c>
      <c r="BA10" s="42">
        <f t="shared" si="15"/>
        <v>-51.200000000000045</v>
      </c>
    </row>
    <row r="11" spans="1:53" ht="26.25" customHeight="1">
      <c r="A11" s="13" t="s">
        <v>15</v>
      </c>
      <c r="B11" s="41" t="s">
        <v>92</v>
      </c>
      <c r="C11" s="18">
        <f>'насел.'!C11+пільги!C11+субсидії!C11+'держ.бюджет'!C11+'місц.-районн.бюджет'!C11+областной!C11+інші!C11</f>
        <v>-393.2</v>
      </c>
      <c r="D11" s="18">
        <f>'насел.'!D11+пільги!D11+субсидії!D11+'держ.бюджет'!D11+'місц.-районн.бюджет'!D11+областной!D11+інші!D11</f>
        <v>767.0999999999999</v>
      </c>
      <c r="E11" s="18">
        <f>'насел.'!E11+пільги!E11+субсидії!E11+'держ.бюджет'!E11+'місц.-районн.бюджет'!E11+областной!E11+інші!E11</f>
        <v>233.2</v>
      </c>
      <c r="F11" s="11">
        <f t="shared" si="0"/>
        <v>30.400208577760395</v>
      </c>
      <c r="G11" s="18">
        <f>'насел.'!G11+пільги!G11+субсидії!G11+'держ.бюджет'!G11+'місц.-районн.бюджет'!G11+областной!G11+інші!G11</f>
        <v>783.1999999999998</v>
      </c>
      <c r="H11" s="18">
        <f>'насел.'!H11+пільги!H11+субсидії!H11+'держ.бюджет'!H11+'місц.-районн.бюджет'!H11+областной!H11+інші!H11</f>
        <v>1049.3</v>
      </c>
      <c r="I11" s="11">
        <f t="shared" si="4"/>
        <v>133.97599591419817</v>
      </c>
      <c r="J11" s="18">
        <f>'насел.'!J11+пільги!J11+субсидії!J11+'держ.бюджет'!J11+'місц.-районн.бюджет'!J11+областной!J11+інші!J11</f>
        <v>811.7</v>
      </c>
      <c r="K11" s="18">
        <f>'насел.'!K11+пільги!K11+субсидії!K11+'держ.бюджет'!K11+'місц.-районн.бюджет'!K11+областной!K11+інші!K11</f>
        <v>1340.8000000000002</v>
      </c>
      <c r="L11" s="11">
        <f t="shared" si="1"/>
        <v>165.1841813477886</v>
      </c>
      <c r="M11" s="11">
        <f>'насел.'!M11+пільги!M11+субсидії!M11+'держ.бюджет'!M11+'місц.-районн.бюджет'!M11+областной!M11+інші!M11</f>
        <v>2362</v>
      </c>
      <c r="N11" s="11">
        <f>'насел.'!N11+пільги!N11+субсидії!N11+'держ.бюджет'!N11+'місц.-районн.бюджет'!N11+областной!N11+інші!N11</f>
        <v>2623.3000000000006</v>
      </c>
      <c r="O11" s="11">
        <f t="shared" si="5"/>
        <v>111.06265876375956</v>
      </c>
      <c r="P11" s="18">
        <f>'насел.'!P11+пільги!P11+субсидії!P11+'держ.бюджет'!P11+'місц.-районн.бюджет'!P11+областной!P11+інші!P11</f>
        <v>837.9000000000001</v>
      </c>
      <c r="Q11" s="18">
        <f>'насел.'!Q11+пільги!Q11+субсидії!Q11+'держ.бюджет'!Q11+'місц.-районн.бюджет'!Q11+областной!Q11+інші!Q11</f>
        <v>788.6000000000001</v>
      </c>
      <c r="R11" s="11">
        <f t="shared" si="6"/>
        <v>94.11624298842345</v>
      </c>
      <c r="S11" s="18">
        <f>'насел.'!S11+пільги!S11+субсидії!S11+'держ.бюджет'!S11+'місц.-районн.бюджет'!S11+областной!S11+інші!S11</f>
        <v>522.1</v>
      </c>
      <c r="T11" s="18">
        <f>'насел.'!T11+пільги!T11+субсидії!T11+'держ.бюджет'!T11+'місц.-районн.бюджет'!T11+областной!T11+інші!T11</f>
        <v>689.0000000000001</v>
      </c>
      <c r="U11" s="11">
        <f t="shared" si="7"/>
        <v>131.96705611951737</v>
      </c>
      <c r="V11" s="18">
        <f>'насел.'!V11+пільги!V11+субсидії!V11+'держ.бюджет'!V11+'місц.-районн.бюджет'!V11+областной!V11+інші!V11</f>
        <v>509.4</v>
      </c>
      <c r="W11" s="18">
        <f>'насел.'!W11+пільги!W11+субсидії!W11+'держ.бюджет'!W11+'місц.-районн.бюджет'!W11+областной!W11+інші!W11</f>
        <v>347.29999999999995</v>
      </c>
      <c r="X11" s="11">
        <f t="shared" si="8"/>
        <v>68.17824892029839</v>
      </c>
      <c r="Y11" s="18">
        <f>'насел.'!Y11+пільги!Y11+субсидії!Y11+'держ.бюджет'!Y11+'місц.-районн.бюджет'!Y11+областной!Y11+інші!Y11</f>
        <v>1869.4</v>
      </c>
      <c r="Z11" s="18">
        <f>'насел.'!Z11+пільги!Z11+субсидії!Z11+'держ.бюджет'!Z11+'місц.-районн.бюджет'!Z11+областной!Z11+інші!Z11</f>
        <v>1824.8999999999999</v>
      </c>
      <c r="AA11" s="11">
        <f t="shared" si="2"/>
        <v>97.61955707713705</v>
      </c>
      <c r="AB11" s="18">
        <f>'насел.'!AB11+пільги!AB11+субсидії!AB11+'держ.бюджет'!AB11+'місц.-районн.бюджет'!AB11+областной!AB11+інші!AB11</f>
        <v>518.8000000000001</v>
      </c>
      <c r="AC11" s="18">
        <f>'насел.'!AC11+пільги!AC11+субсидії!AC11+'держ.бюджет'!AC11+'місц.-районн.бюджет'!AC11+областной!AC11+інші!AC11</f>
        <v>544.4</v>
      </c>
      <c r="AD11" s="11">
        <f t="shared" si="9"/>
        <v>104.93446414803391</v>
      </c>
      <c r="AE11" s="18">
        <f>'насел.'!AE11+пільги!AE11+субсидії!AE11+'держ.бюджет'!AE11+'місц.-районн.бюджет'!AE11+областной!AE11+інші!AE11</f>
        <v>527.2</v>
      </c>
      <c r="AF11" s="18">
        <f>'насел.'!AF11+пільги!AF11+субсидії!AF11+'держ.бюджет'!AF11+'місц.-районн.бюджет'!AF11+областной!AF11+інші!AF11</f>
        <v>427.7</v>
      </c>
      <c r="AG11" s="11">
        <f t="shared" si="10"/>
        <v>81.12670713201821</v>
      </c>
      <c r="AH11" s="18">
        <f>'насел.'!AH11+пільги!AH11+субсидії!AH11+'держ.бюджет'!AH11+'місц.-районн.бюджет'!AH11+областной!AH11+інші!AH11</f>
        <v>499.29999999999995</v>
      </c>
      <c r="AI11" s="18">
        <f>'насел.'!AI11+пільги!AI11+субсидії!AI11+'держ.бюджет'!AI11+'місц.-районн.бюджет'!AI11+областной!AI11+інші!AI11</f>
        <v>423.09999999999997</v>
      </c>
      <c r="AJ11" s="18">
        <f>'насел.'!AJ11+пільги!AJ11+субсидії!AJ11+'держ.бюджет'!AJ11+'місц.-районн.бюджет'!AJ11+областной!AJ11+інші!AJ11</f>
        <v>1545.3</v>
      </c>
      <c r="AK11" s="18">
        <f>'насел.'!AK11+пільги!AK11+субсидії!AK11+'держ.бюджет'!AK11+'місц.-районн.бюджет'!AK11+областной!AK11+інші!AK11</f>
        <v>1395.1999999999998</v>
      </c>
      <c r="AL11" s="18">
        <f t="shared" si="11"/>
        <v>90.28667572639615</v>
      </c>
      <c r="AM11" s="18">
        <f>'насел.'!AM11+пільги!AM11+субсидії!AM11+'держ.бюджет'!AM11+'місц.-районн.бюджет'!AM11+областной!AM11+інші!AM11</f>
        <v>513.1000000000001</v>
      </c>
      <c r="AN11" s="18">
        <f>'насел.'!AN11+пільги!AN11+субсидії!AN11+'держ.бюджет'!AN11+'місц.-районн.бюджет'!AN11+областной!AN11+інші!AN11</f>
        <v>455.9</v>
      </c>
      <c r="AO11" s="18">
        <f>'насел.'!AO11+пільги!AO11+субсидії!AO11+'держ.бюджет'!AO11+'місц.-районн.бюджет'!AO11+областной!AO11+інші!AO11</f>
        <v>795</v>
      </c>
      <c r="AP11" s="18">
        <f>'насел.'!AP11+пільги!AP11+субсидії!AP11+'держ.бюджет'!AP11+'місц.-районн.бюджет'!AP11+областной!AP11+інші!AP11</f>
        <v>710.8000000000001</v>
      </c>
      <c r="AQ11" s="18">
        <f>'насел.'!AQ11+пільги!AQ11+субсидії!AQ11+'держ.бюджет'!AQ11+'місц.-районн.бюджет'!AQ11+областной!AQ11+інші!AQ11</f>
        <v>760.6</v>
      </c>
      <c r="AR11" s="18">
        <f>'насел.'!AR11+пільги!AR11+субсидії!AR11+'держ.бюджет'!AR11+'місц.-районн.бюджет'!AR11+областной!AR11+інші!AR11</f>
        <v>670.4</v>
      </c>
      <c r="AS11" s="18">
        <f>'насел.'!AS11+пільги!AS11+субсидії!AS11+'держ.бюджет'!AS11+'місц.-районн.бюджет'!AS11+областной!AS11+інші!AS11</f>
        <v>7845.4</v>
      </c>
      <c r="AT11" s="18">
        <f>'насел.'!AT11+пільги!AT11+субсидії!AT11+'держ.бюджет'!AT11+'місц.-районн.бюджет'!AT11+областной!AT11+інші!AT11</f>
        <v>7680.5</v>
      </c>
      <c r="AU11" s="11">
        <f t="shared" si="3"/>
        <v>97.89813138909426</v>
      </c>
      <c r="AV11" s="18">
        <f>'насел.'!AV11+пільги!AV11+субсидії!AV11+'держ.бюджет'!AV11+'місц.-районн.бюджет'!AV11+областной!AV11+інші!AV11</f>
        <v>164.90000000000043</v>
      </c>
      <c r="AW11" s="18">
        <f>'насел.'!AW11+пільги!AW11+субсидії!AW11+'держ.бюджет'!AW11+'місц.-районн.бюджет'!AW11+областной!AW11+інші!AW11</f>
        <v>-228.29999999999964</v>
      </c>
      <c r="AX11" s="42">
        <f t="shared" si="12"/>
        <v>7845.400000000001</v>
      </c>
      <c r="AY11" s="42">
        <f t="shared" si="13"/>
        <v>7680.5</v>
      </c>
      <c r="AZ11" s="42">
        <f t="shared" si="14"/>
        <v>164.90000000000055</v>
      </c>
      <c r="BA11" s="42">
        <f t="shared" si="15"/>
        <v>-228.29999999999927</v>
      </c>
    </row>
    <row r="12" spans="1:53" s="152" customFormat="1" ht="25.5" customHeight="1">
      <c r="A12" s="150" t="s">
        <v>16</v>
      </c>
      <c r="B12" s="176" t="s">
        <v>93</v>
      </c>
      <c r="C12" s="18">
        <f>'насел.'!C12+пільги!C12+субсидії!C12+'держ.бюджет'!C12+'місц.-районн.бюджет'!C12+областной!C12+інші!C12</f>
        <v>92.5</v>
      </c>
      <c r="D12" s="18">
        <f>'насел.'!D12+пільги!D12+субсидії!D12+'держ.бюджет'!D12+'місц.-районн.бюджет'!D12+областной!D12+інші!D12</f>
        <v>402.6</v>
      </c>
      <c r="E12" s="18">
        <f>'насел.'!E12+пільги!E12+субсидії!E12+'держ.бюджет'!E12+'місц.-районн.бюджет'!E12+областной!E12+інші!E12</f>
        <v>103.2</v>
      </c>
      <c r="F12" s="11">
        <f t="shared" si="0"/>
        <v>25.633383010432194</v>
      </c>
      <c r="G12" s="18">
        <f>'насел.'!G12+пільги!G12+субсидії!G12+'держ.бюджет'!G12+'місц.-районн.бюджет'!G12+областной!G12+інші!G12</f>
        <v>412.9</v>
      </c>
      <c r="H12" s="18">
        <f>'насел.'!H12+пільги!H12+субсидії!H12+'держ.бюджет'!H12+'місц.-районн.бюджет'!H12+областной!H12+інші!H12</f>
        <v>1198.6999999999998</v>
      </c>
      <c r="I12" s="11">
        <f t="shared" si="4"/>
        <v>290.3124243158149</v>
      </c>
      <c r="J12" s="18">
        <f>'насел.'!J12+пільги!J12+субсидії!J12+'держ.бюджет'!J12+'місц.-районн.бюджет'!J12+областной!J12+інші!J12</f>
        <v>413.70000000000005</v>
      </c>
      <c r="K12" s="18">
        <f>'насел.'!K12+пільги!K12+субсидії!K12+'держ.бюджет'!K12+'місц.-районн.бюджет'!K12+областной!K12+інші!K12</f>
        <v>157.5</v>
      </c>
      <c r="L12" s="68">
        <f t="shared" si="1"/>
        <v>38.07106598984771</v>
      </c>
      <c r="M12" s="11">
        <f>'насел.'!M12+пільги!M12+субсидії!M12+'держ.бюджет'!M12+'місц.-районн.бюджет'!M12+областной!M12+інші!M12</f>
        <v>1229.2</v>
      </c>
      <c r="N12" s="11">
        <f>'насел.'!N12+пільги!N12+субсидії!N12+'держ.бюджет'!N12+'місц.-районн.бюджет'!N12+областной!N12+інші!N12</f>
        <v>1459.4</v>
      </c>
      <c r="O12" s="11">
        <f t="shared" si="5"/>
        <v>118.72762772534982</v>
      </c>
      <c r="P12" s="18">
        <f>'насел.'!P12+пільги!P12+субсидії!P12+'держ.бюджет'!P12+'місц.-районн.бюджет'!P12+областной!P12+інші!P12</f>
        <v>475.99999999999994</v>
      </c>
      <c r="Q12" s="18">
        <f>'насел.'!Q12+пільги!Q12+субсидії!Q12+'держ.бюджет'!Q12+'місц.-районн.бюджет'!Q12+областной!Q12+інші!Q12</f>
        <v>449.29999999999995</v>
      </c>
      <c r="R12" s="57">
        <f t="shared" si="6"/>
        <v>94.39075630252101</v>
      </c>
      <c r="S12" s="18">
        <f>'насел.'!S12+пільги!S12+субсидії!S12+'держ.бюджет'!S12+'місц.-районн.бюджет'!S12+областной!S12+інші!S12</f>
        <v>444.29999999999995</v>
      </c>
      <c r="T12" s="18">
        <f>'насел.'!T12+пільги!T12+субсидії!T12+'держ.бюджет'!T12+'місц.-районн.бюджет'!T12+областной!T12+інші!T12</f>
        <v>637.0999999999999</v>
      </c>
      <c r="U12" s="57">
        <f t="shared" si="7"/>
        <v>143.39410308350213</v>
      </c>
      <c r="V12" s="18">
        <f>'насел.'!V12+пільги!V12+субсидії!V12+'держ.бюджет'!V12+'місц.-районн.бюджет'!V12+областной!V12+інші!V12</f>
        <v>419.9000000000001</v>
      </c>
      <c r="W12" s="18">
        <f>'насел.'!W12+пільги!W12+субсидії!W12+'держ.бюджет'!W12+'місц.-районн.бюджет'!W12+областной!W12+інші!W12</f>
        <v>546.1000000000001</v>
      </c>
      <c r="X12" s="57">
        <f t="shared" si="8"/>
        <v>130.05477494641582</v>
      </c>
      <c r="Y12" s="18">
        <f>'насел.'!Y12+пільги!Y12+субсидії!Y12+'держ.бюджет'!Y12+'місц.-районн.бюджет'!Y12+областной!Y12+інші!Y12</f>
        <v>1340.1999999999998</v>
      </c>
      <c r="Z12" s="18">
        <f>'насел.'!Z12+пільги!Z12+субсидії!Z12+'держ.бюджет'!Z12+'місц.-районн.бюджет'!Z12+областной!Z12+інші!Z12</f>
        <v>1632.5</v>
      </c>
      <c r="AA12" s="11">
        <f t="shared" si="2"/>
        <v>121.81017758543501</v>
      </c>
      <c r="AB12" s="18">
        <f>'насел.'!AB12+пільги!AB12+субсидії!AB12+'держ.бюджет'!AB12+'місц.-районн.бюджет'!AB12+областной!AB12+інші!AB12</f>
        <v>351.5</v>
      </c>
      <c r="AC12" s="18">
        <f>'насел.'!AC12+пільги!AC12+субсидії!AC12+'держ.бюджет'!AC12+'місц.-районн.бюджет'!AC12+областной!AC12+інші!AC12</f>
        <v>363</v>
      </c>
      <c r="AD12" s="57">
        <f t="shared" si="9"/>
        <v>103.27169274537695</v>
      </c>
      <c r="AE12" s="18">
        <f>'насел.'!AE12+пільги!AE12+субсидії!AE12+'держ.бюджет'!AE12+'місц.-районн.бюджет'!AE12+областной!AE12+інші!AE12</f>
        <v>341.59999999999997</v>
      </c>
      <c r="AF12" s="18">
        <f>'насел.'!AF12+пільги!AF12+субсидії!AF12+'держ.бюджет'!AF12+'місц.-районн.бюджет'!AF12+областной!AF12+інші!AF12</f>
        <v>278.20000000000005</v>
      </c>
      <c r="AG12" s="57">
        <f t="shared" si="10"/>
        <v>81.44028103044498</v>
      </c>
      <c r="AH12" s="18">
        <f>'насел.'!AH12+пільги!AH12+субсидії!AH12+'держ.бюджет'!AH12+'місц.-районн.бюджет'!AH12+областной!AH12+інші!AH12</f>
        <v>358.00000000000006</v>
      </c>
      <c r="AI12" s="18">
        <f>'насел.'!AI12+пільги!AI12+субсидії!AI12+'держ.бюджет'!AI12+'місц.-районн.бюджет'!AI12+областной!AI12+інші!AI12</f>
        <v>283.9</v>
      </c>
      <c r="AJ12" s="18">
        <f>'насел.'!AJ12+пільги!AJ12+субсидії!AJ12+'держ.бюджет'!AJ12+'місц.-районн.бюджет'!AJ12+областной!AJ12+інші!AJ12</f>
        <v>1051.1000000000001</v>
      </c>
      <c r="AK12" s="18">
        <f>'насел.'!AK12+пільги!AK12+субсидії!AK12+'держ.бюджет'!AK12+'місц.-районн.бюджет'!AK12+областной!AK12+інші!AK12</f>
        <v>925.1</v>
      </c>
      <c r="AL12" s="18">
        <f t="shared" si="11"/>
        <v>88.01255827228617</v>
      </c>
      <c r="AM12" s="18">
        <f>'насел.'!AM12+пільги!AM12+субсидії!AM12+'держ.бюджет'!AM12+'місц.-районн.бюджет'!AM12+областной!AM12+інші!AM12</f>
        <v>392.8</v>
      </c>
      <c r="AN12" s="18">
        <f>'насел.'!AN12+пільги!AN12+субсидії!AN12+'держ.бюджет'!AN12+'місц.-районн.бюджет'!AN12+областной!AN12+інші!AN12</f>
        <v>323.59999999999997</v>
      </c>
      <c r="AO12" s="18">
        <f>'насел.'!AO12+пільги!AO12+субсидії!AO12+'держ.бюджет'!AO12+'місц.-районн.бюджет'!AO12+областной!AO12+інші!AO12</f>
        <v>361.2</v>
      </c>
      <c r="AP12" s="18">
        <f>'насел.'!AP12+пільги!AP12+субсидії!AP12+'держ.бюджет'!AP12+'місц.-районн.бюджет'!AP12+областной!AP12+інші!AP12</f>
        <v>314.29999999999995</v>
      </c>
      <c r="AQ12" s="18">
        <f>'насел.'!AQ12+пільги!AQ12+субсидії!AQ12+'держ.бюджет'!AQ12+'місц.-районн.бюджет'!AQ12+областной!AQ12+інші!AQ12</f>
        <v>442.70000000000005</v>
      </c>
      <c r="AR12" s="18">
        <f>'насел.'!AR12+пільги!AR12+субсидії!AR12+'держ.бюджет'!AR12+'місц.-районн.бюджет'!AR12+областной!AR12+інші!AR12</f>
        <v>307.5</v>
      </c>
      <c r="AS12" s="18">
        <f>'насел.'!AS12+пільги!AS12+субсидії!AS12+'держ.бюджет'!AS12+'місц.-районн.бюджет'!AS12+областной!AS12+інші!AS12</f>
        <v>4817.2</v>
      </c>
      <c r="AT12" s="18">
        <f>'насел.'!AT12+пільги!AT12+субсидії!AT12+'держ.бюджет'!AT12+'місц.-районн.бюджет'!AT12+областной!AT12+інші!AT12</f>
        <v>4962.4</v>
      </c>
      <c r="AU12" s="11">
        <f t="shared" si="3"/>
        <v>103.01419911982063</v>
      </c>
      <c r="AV12" s="177">
        <f>'насел.'!AV12+пільги!AV12+субсидії!AV12+'держ.бюджет'!AV12+'місц.-районн.бюджет'!AV12+областной!AV12+інші!AV12</f>
        <v>-145.19999999999953</v>
      </c>
      <c r="AW12" s="177">
        <f>'насел.'!AW12+пільги!AW12+субсидії!AW12+'держ.бюджет'!AW12+'місц.-районн.бюджет'!AW12+областной!AW12+інші!AW12</f>
        <v>-52.69999999999962</v>
      </c>
      <c r="AX12" s="42">
        <f t="shared" si="12"/>
        <v>4817.2</v>
      </c>
      <c r="AY12" s="42">
        <f t="shared" si="13"/>
        <v>4962.400000000001</v>
      </c>
      <c r="AZ12" s="42">
        <f t="shared" si="14"/>
        <v>-145.20000000000073</v>
      </c>
      <c r="BA12" s="42">
        <f t="shared" si="15"/>
        <v>-52.70000000000073</v>
      </c>
    </row>
    <row r="13" spans="1:53" ht="27" customHeight="1">
      <c r="A13" s="13" t="s">
        <v>17</v>
      </c>
      <c r="B13" s="41" t="s">
        <v>94</v>
      </c>
      <c r="C13" s="18">
        <f>'насел.'!C13+пільги!C13+субсидії!C13+'держ.бюджет'!C13+'місц.-районн.бюджет'!C13+областной!C13+інші!C13</f>
        <v>-936.2</v>
      </c>
      <c r="D13" s="18">
        <f>'насел.'!D13+пільги!D13+субсидії!D13+'держ.бюджет'!D13+'місц.-районн.бюджет'!D13+областной!D13+інші!D13</f>
        <v>458.30000000000007</v>
      </c>
      <c r="E13" s="18">
        <f>'насел.'!E13+пільги!E13+субсидії!E13+'держ.бюджет'!E13+'місц.-районн.бюджет'!E13+областной!E13+інші!E13</f>
        <v>239.70000000000002</v>
      </c>
      <c r="F13" s="11">
        <f t="shared" si="0"/>
        <v>52.30198559895265</v>
      </c>
      <c r="G13" s="18">
        <f>'насел.'!G13+пільги!G13+субсидії!G13+'держ.бюджет'!G13+'місц.-районн.бюджет'!G13+областной!G13+інші!G13</f>
        <v>442.7</v>
      </c>
      <c r="H13" s="18">
        <f>'насел.'!H13+пільги!H13+субсидії!H13+'держ.бюджет'!H13+'місц.-районн.бюджет'!H13+областной!H13+інші!H13</f>
        <v>1141.3</v>
      </c>
      <c r="I13" s="11">
        <f t="shared" si="4"/>
        <v>257.8043822001355</v>
      </c>
      <c r="J13" s="18">
        <f>'насел.'!J13+пільги!J13+субсидії!J13+'держ.бюджет'!J13+'місц.-районн.бюджет'!J13+областной!J13+інші!J13</f>
        <v>437.3999999999999</v>
      </c>
      <c r="K13" s="18">
        <f>'насел.'!K13+пільги!K13+субсидії!K13+'держ.бюджет'!K13+'місц.-районн.бюджет'!K13+областной!K13+інші!K13</f>
        <v>265.5</v>
      </c>
      <c r="L13" s="11">
        <f t="shared" si="1"/>
        <v>60.69958847736626</v>
      </c>
      <c r="M13" s="11">
        <f>'насел.'!M13+пільги!M13+субсидії!M13+'держ.бюджет'!M13+'місц.-районн.бюджет'!M13+областной!M13+інші!M13</f>
        <v>1338.3999999999996</v>
      </c>
      <c r="N13" s="11">
        <f>'насел.'!N13+пільги!N13+субсидії!N13+'держ.бюджет'!N13+'місц.-районн.бюджет'!N13+областной!N13+інші!N13</f>
        <v>1646.5</v>
      </c>
      <c r="O13" s="11">
        <f t="shared" si="5"/>
        <v>123.02002390914528</v>
      </c>
      <c r="P13" s="18">
        <f>'насел.'!P13+пільги!P13+субсидії!P13+'держ.бюджет'!P13+'місц.-районн.бюджет'!P13+областной!P13+інші!P13</f>
        <v>485.2</v>
      </c>
      <c r="Q13" s="18">
        <f>'насел.'!Q13+пільги!Q13+субсидії!Q13+'держ.бюджет'!Q13+'місц.-районн.бюджет'!Q13+областной!Q13+інші!Q13</f>
        <v>411.50000000000006</v>
      </c>
      <c r="R13" s="11">
        <f t="shared" si="6"/>
        <v>84.81038746908493</v>
      </c>
      <c r="S13" s="18">
        <f>'насел.'!S13+пільги!S13+субсидії!S13+'держ.бюджет'!S13+'місц.-районн.бюджет'!S13+областной!S13+інші!S13</f>
        <v>487.89999999999986</v>
      </c>
      <c r="T13" s="18">
        <f>'насел.'!T13+пільги!T13+субсидії!T13+'держ.бюджет'!T13+'місц.-районн.бюджет'!T13+областной!T13+інші!T13</f>
        <v>528.5000000000001</v>
      </c>
      <c r="U13" s="11">
        <f t="shared" si="7"/>
        <v>108.32137733142042</v>
      </c>
      <c r="V13" s="18">
        <f>'насел.'!V13+пільги!V13+субсидії!V13+'держ.бюджет'!V13+'місц.-районн.бюджет'!V13+областной!V13+інші!V13</f>
        <v>471.40000000000003</v>
      </c>
      <c r="W13" s="18">
        <f>'насел.'!W13+пільги!W13+субсидії!W13+'держ.бюджет'!W13+'місц.-районн.бюджет'!W13+областной!W13+інші!W13</f>
        <v>316.8</v>
      </c>
      <c r="X13" s="11">
        <f t="shared" si="8"/>
        <v>67.20407297411964</v>
      </c>
      <c r="Y13" s="18">
        <f>'насел.'!Y13+пільги!Y13+субсидії!Y13+'держ.бюджет'!Y13+'місц.-районн.бюджет'!Y13+областной!Y13+інші!Y13</f>
        <v>1444.5</v>
      </c>
      <c r="Z13" s="18">
        <f>'насел.'!Z13+пільги!Z13+субсидії!Z13+'держ.бюджет'!Z13+'місц.-районн.бюджет'!Z13+областной!Z13+інші!Z13</f>
        <v>1256.8</v>
      </c>
      <c r="AA13" s="11">
        <f t="shared" si="2"/>
        <v>87.00588438906196</v>
      </c>
      <c r="AB13" s="18">
        <f>'насел.'!AB13+пільги!AB13+субсидії!AB13+'держ.бюджет'!AB13+'місц.-районн.бюджет'!AB13+областной!AB13+інші!AB13</f>
        <v>484.49999999999994</v>
      </c>
      <c r="AC13" s="18">
        <f>'насел.'!AC13+пільги!AC13+субсидії!AC13+'держ.бюджет'!AC13+'місц.-районн.бюджет'!AC13+областной!AC13+інші!AC13</f>
        <v>370.2</v>
      </c>
      <c r="AD13" s="11">
        <f t="shared" si="9"/>
        <v>76.40866873065016</v>
      </c>
      <c r="AE13" s="18">
        <f>'насел.'!AE13+пільги!AE13+субсидії!AE13+'держ.бюджет'!AE13+'місц.-районн.бюджет'!AE13+областной!AE13+інші!AE13</f>
        <v>505</v>
      </c>
      <c r="AF13" s="18">
        <f>'насел.'!AF13+пільги!AF13+субсидії!AF13+'держ.бюджет'!AF13+'місц.-районн.бюджет'!AF13+областной!AF13+інші!AF13</f>
        <v>351.7</v>
      </c>
      <c r="AG13" s="11">
        <f t="shared" si="10"/>
        <v>69.64356435643563</v>
      </c>
      <c r="AH13" s="18">
        <f>'насел.'!AH13+пільги!AH13+субсидії!AH13+'держ.бюджет'!AH13+'місц.-районн.бюджет'!AH13+областной!AH13+інші!AH13</f>
        <v>542.4</v>
      </c>
      <c r="AI13" s="18">
        <f>'насел.'!AI13+пільги!AI13+субсидії!AI13+'держ.бюджет'!AI13+'місц.-районн.бюджет'!AI13+областной!AI13+інші!AI13</f>
        <v>430.79999999999995</v>
      </c>
      <c r="AJ13" s="18">
        <f>'насел.'!AJ13+пільги!AJ13+субсидії!AJ13+'держ.бюджет'!AJ13+'місц.-районн.бюджет'!AJ13+областной!AJ13+інші!AJ13</f>
        <v>1531.9000000000003</v>
      </c>
      <c r="AK13" s="18">
        <f>'насел.'!AK13+пільги!AK13+субсидії!AK13+'держ.бюджет'!AK13+'місц.-районн.бюджет'!AK13+областной!AK13+інші!AK13</f>
        <v>1152.6999999999998</v>
      </c>
      <c r="AL13" s="18">
        <f t="shared" si="11"/>
        <v>75.24642600691949</v>
      </c>
      <c r="AM13" s="18">
        <f>'насел.'!AM13+пільги!AM13+субсидії!AM13+'держ.бюджет'!AM13+'місц.-районн.бюджет'!AM13+областной!AM13+інші!AM13</f>
        <v>524.8</v>
      </c>
      <c r="AN13" s="18">
        <f>'насел.'!AN13+пільги!AN13+субсидії!AN13+'держ.бюджет'!AN13+'місц.-районн.бюджет'!AN13+областной!AN13+інші!AN13</f>
        <v>406.9</v>
      </c>
      <c r="AO13" s="18">
        <f>'насел.'!AO13+пільги!AO13+субсидії!AO13+'держ.бюджет'!AO13+'місц.-районн.бюджет'!AO13+областной!AO13+інші!AO13</f>
        <v>539.5</v>
      </c>
      <c r="AP13" s="18">
        <f>'насел.'!AP13+пільги!AP13+субсидії!AP13+'держ.бюджет'!AP13+'місц.-районн.бюджет'!AP13+областной!AP13+інші!AP13</f>
        <v>477.1</v>
      </c>
      <c r="AQ13" s="18">
        <f>'насел.'!AQ13+пільги!AQ13+субсидії!AQ13+'держ.бюджет'!AQ13+'місц.-районн.бюджет'!AQ13+областной!AQ13+інші!AQ13</f>
        <v>522.5</v>
      </c>
      <c r="AR13" s="18">
        <f>'насел.'!AR13+пільги!AR13+субсидії!AR13+'держ.бюджет'!AR13+'місц.-районн.бюджет'!AR13+областной!AR13+інші!AR13</f>
        <v>443.5</v>
      </c>
      <c r="AS13" s="18">
        <f>'насел.'!AS13+пільги!AS13+субсидії!AS13+'держ.бюджет'!AS13+'місц.-районн.бюджет'!AS13+областной!AS13+інші!AS13</f>
        <v>5901.6</v>
      </c>
      <c r="AT13" s="18">
        <f>'насел.'!AT13+пільги!AT13+субсидії!AT13+'держ.бюджет'!AT13+'місц.-районн.бюджет'!AT13+областной!AT13+інші!AT13</f>
        <v>5383.500000000001</v>
      </c>
      <c r="AU13" s="11">
        <f t="shared" si="3"/>
        <v>91.22102480683205</v>
      </c>
      <c r="AV13" s="18">
        <f>'насел.'!AV13+пільги!AV13+субсидії!AV13+'держ.бюджет'!AV13+'місц.-районн.бюджет'!AV13+областной!AV13+інші!AV13</f>
        <v>518.0999999999995</v>
      </c>
      <c r="AW13" s="18">
        <f>'насел.'!AW13+пільги!AW13+субсидії!AW13+'держ.бюджет'!AW13+'місц.-районн.бюджет'!AW13+областной!AW13+інші!AW13</f>
        <v>-418.1000000000006</v>
      </c>
      <c r="AX13" s="42">
        <f t="shared" si="12"/>
        <v>5901.6</v>
      </c>
      <c r="AY13" s="42">
        <f t="shared" si="13"/>
        <v>5383.5</v>
      </c>
      <c r="AZ13" s="42">
        <f t="shared" si="14"/>
        <v>518.1000000000004</v>
      </c>
      <c r="BA13" s="42">
        <f t="shared" si="15"/>
        <v>-418.09999999999945</v>
      </c>
    </row>
    <row r="14" spans="1:53" ht="27" customHeight="1">
      <c r="A14" s="13" t="s">
        <v>18</v>
      </c>
      <c r="B14" s="41" t="s">
        <v>95</v>
      </c>
      <c r="C14" s="18">
        <f>'насел.'!C14+пільги!C14+субсидії!C14+'держ.бюджет'!C14+'місц.-районн.бюджет'!C14+областной!C14+інші!C14</f>
        <v>-422.9</v>
      </c>
      <c r="D14" s="18">
        <f>'насел.'!D14+пільги!D14+субсидії!D14+'держ.бюджет'!D14+'місц.-районн.бюджет'!D14+областной!D14+інші!D14</f>
        <v>153.4</v>
      </c>
      <c r="E14" s="18">
        <f>'насел.'!E14+пільги!E14+субсидії!E14+'держ.бюджет'!E14+'місц.-районн.бюджет'!E14+областной!E14+інші!E14</f>
        <v>43.1</v>
      </c>
      <c r="F14" s="11">
        <f t="shared" si="0"/>
        <v>28.096479791395048</v>
      </c>
      <c r="G14" s="18">
        <f>'насел.'!G14+пільги!G14+субсидії!G14+'держ.бюджет'!G14+'місц.-районн.бюджет'!G14+областной!G14+інші!G14</f>
        <v>171.2</v>
      </c>
      <c r="H14" s="18">
        <f>'насел.'!H14+пільги!H14+субсидії!H14+'держ.бюджет'!H14+'місц.-районн.бюджет'!H14+областной!H14+інші!H14</f>
        <v>285.9</v>
      </c>
      <c r="I14" s="11">
        <f t="shared" si="4"/>
        <v>166.99766355140187</v>
      </c>
      <c r="J14" s="18">
        <f>'насел.'!J14+пільги!J14+субсидії!J14+'держ.бюджет'!J14+'місц.-районн.бюджет'!J14+областной!J14+інші!J14</f>
        <v>165.00000000000003</v>
      </c>
      <c r="K14" s="18">
        <f>'насел.'!K14+пільги!K14+субсидії!K14+'держ.бюджет'!K14+'місц.-районн.бюджет'!K14+областной!K14+інші!K14</f>
        <v>77</v>
      </c>
      <c r="L14" s="11">
        <f t="shared" si="1"/>
        <v>46.66666666666666</v>
      </c>
      <c r="M14" s="11">
        <f>'насел.'!M14+пільги!M14+субсидії!M14+'держ.бюджет'!M14+'місц.-районн.бюджет'!M14+областной!M14+інші!M14</f>
        <v>489.6</v>
      </c>
      <c r="N14" s="11">
        <f>'насел.'!N14+пільги!N14+субсидії!N14+'держ.бюджет'!N14+'місц.-районн.бюджет'!N14+областной!N14+інші!N14</f>
        <v>406.00000000000006</v>
      </c>
      <c r="O14" s="11">
        <f t="shared" si="5"/>
        <v>82.92483660130719</v>
      </c>
      <c r="P14" s="18">
        <f>'насел.'!P14+пільги!P14+субсидії!P14+'держ.бюджет'!P14+'місц.-районн.бюджет'!P14+областной!P14+інші!P14</f>
        <v>160.1</v>
      </c>
      <c r="Q14" s="18">
        <f>'насел.'!Q14+пільги!Q14+субсидії!Q14+'держ.бюджет'!Q14+'місц.-районн.бюджет'!Q14+областной!Q14+інші!Q14</f>
        <v>172.7</v>
      </c>
      <c r="R14" s="11">
        <f t="shared" si="6"/>
        <v>107.87008119925045</v>
      </c>
      <c r="S14" s="18">
        <f>'насел.'!S14+пільги!S14+субсидії!S14+'держ.бюджет'!S14+'місц.-районн.бюджет'!S14+областной!S14+інші!S14</f>
        <v>131.79999999999998</v>
      </c>
      <c r="T14" s="18">
        <f>'насел.'!T14+пільги!T14+субсидії!T14+'держ.бюджет'!T14+'місц.-районн.бюджет'!T14+областной!T14+інші!T14</f>
        <v>228.10000000000002</v>
      </c>
      <c r="U14" s="11">
        <f t="shared" si="7"/>
        <v>173.0652503793627</v>
      </c>
      <c r="V14" s="18">
        <f>'насел.'!V14+пільги!V14+субсидії!V14+'держ.бюджет'!V14+'місц.-районн.бюджет'!V14+областной!V14+інші!V14</f>
        <v>56.39999999999999</v>
      </c>
      <c r="W14" s="18">
        <f>'насел.'!W14+пільги!W14+субсидії!W14+'держ.бюджет'!W14+'місц.-районн.бюджет'!W14+областной!W14+інші!W14</f>
        <v>141.9</v>
      </c>
      <c r="X14" s="11">
        <f t="shared" si="8"/>
        <v>251.59574468085114</v>
      </c>
      <c r="Y14" s="18">
        <f>'насел.'!Y14+пільги!Y14+субсидії!Y14+'держ.бюджет'!Y14+'місц.-районн.бюджет'!Y14+областной!Y14+інші!Y14</f>
        <v>348.29999999999995</v>
      </c>
      <c r="Z14" s="18">
        <f>'насел.'!Z14+пільги!Z14+субсидії!Z14+'держ.бюджет'!Z14+'місц.-районн.бюджет'!Z14+областной!Z14+інші!Z14</f>
        <v>542.6999999999999</v>
      </c>
      <c r="AA14" s="11">
        <f t="shared" si="2"/>
        <v>155.8139534883721</v>
      </c>
      <c r="AB14" s="18">
        <f>'насел.'!AB14+пільги!AB14+субсидії!AB14+'держ.бюджет'!AB14+'місц.-районн.бюджет'!AB14+областной!AB14+інші!AB14</f>
        <v>175.50000000000003</v>
      </c>
      <c r="AC14" s="18">
        <f>'насел.'!AC14+пільги!AC14+субсидії!AC14+'держ.бюджет'!AC14+'місц.-районн.бюджет'!AC14+областной!AC14+інші!AC14</f>
        <v>33</v>
      </c>
      <c r="AD14" s="11">
        <f t="shared" si="9"/>
        <v>18.8034188034188</v>
      </c>
      <c r="AE14" s="18">
        <f>'насел.'!AE14+пільги!AE14+субсидії!AE14+'держ.бюджет'!AE14+'місц.-районн.бюджет'!AE14+областной!AE14+інші!AE14</f>
        <v>178.7</v>
      </c>
      <c r="AF14" s="18">
        <f>'насел.'!AF14+пільги!AF14+субсидії!AF14+'держ.бюджет'!AF14+'місц.-районн.бюджет'!AF14+областной!AF14+інші!AF14</f>
        <v>108.7</v>
      </c>
      <c r="AG14" s="11">
        <f t="shared" si="10"/>
        <v>60.8282036933408</v>
      </c>
      <c r="AH14" s="18">
        <f>'насел.'!AH14+пільги!AH14+субсидії!AH14+'держ.бюджет'!AH14+'місц.-районн.бюджет'!AH14+областной!AH14+інші!AH14</f>
        <v>141.39999999999998</v>
      </c>
      <c r="AI14" s="18">
        <f>'насел.'!AI14+пільги!AI14+субсидії!AI14+'держ.бюджет'!AI14+'місц.-районн.бюджет'!AI14+областной!AI14+інші!AI14</f>
        <v>116.69999999999999</v>
      </c>
      <c r="AJ14" s="18">
        <f>'насел.'!AJ14+пільги!AJ14+субсидії!AJ14+'держ.бюджет'!AJ14+'місц.-районн.бюджет'!AJ14+областной!AJ14+інші!AJ14</f>
        <v>495.6</v>
      </c>
      <c r="AK14" s="18">
        <f>'насел.'!AK14+пільги!AK14+субсидії!AK14+'держ.бюджет'!AK14+'місц.-районн.бюджет'!AK14+областной!AK14+інші!AK14</f>
        <v>258.40000000000003</v>
      </c>
      <c r="AL14" s="18">
        <f t="shared" si="11"/>
        <v>52.13882163034705</v>
      </c>
      <c r="AM14" s="18">
        <f>'насел.'!AM14+пільги!AM14+субсидії!AM14+'держ.бюджет'!AM14+'місц.-районн.бюджет'!AM14+областной!AM14+інші!AM14</f>
        <v>174</v>
      </c>
      <c r="AN14" s="18">
        <f>'насел.'!AN14+пільги!AN14+субсидії!AN14+'держ.бюджет'!AN14+'місц.-районн.бюджет'!AN14+областной!AN14+інші!AN14</f>
        <v>114.19999999999999</v>
      </c>
      <c r="AO14" s="18">
        <f>'насел.'!AO14+пільги!AO14+субсидії!AO14+'держ.бюджет'!AO14+'місц.-районн.бюджет'!AO14+областной!AO14+інші!AO14</f>
        <v>157.10000000000002</v>
      </c>
      <c r="AP14" s="18">
        <f>'насел.'!AP14+пільги!AP14+субсидії!AP14+'держ.бюджет'!AP14+'місц.-районн.бюджет'!AP14+областной!AP14+інші!AP14</f>
        <v>109.8</v>
      </c>
      <c r="AQ14" s="18">
        <f>'насел.'!AQ14+пільги!AQ14+субсидії!AQ14+'держ.бюджет'!AQ14+'місц.-районн.бюджет'!AQ14+областной!AQ14+інші!AQ14</f>
        <v>155.7</v>
      </c>
      <c r="AR14" s="18">
        <f>'насел.'!AR14+пільги!AR14+субсидії!AR14+'держ.бюджет'!AR14+'місц.-районн.бюджет'!AR14+областной!AR14+інші!AR14</f>
        <v>235.70000000000002</v>
      </c>
      <c r="AS14" s="18">
        <f>'насел.'!AS14+пільги!AS14+субсидії!AS14+'держ.бюджет'!AS14+'місц.-районн.бюджет'!AS14+областной!AS14+інші!AS14</f>
        <v>1820.3</v>
      </c>
      <c r="AT14" s="18">
        <f>'насел.'!AT14+пільги!AT14+субсидії!AT14+'держ.бюджет'!AT14+'місц.-районн.бюджет'!AT14+областной!AT14+інші!AT14</f>
        <v>1666.7999999999997</v>
      </c>
      <c r="AU14" s="11">
        <f t="shared" si="3"/>
        <v>91.5673240674614</v>
      </c>
      <c r="AV14" s="18">
        <f>'насел.'!AV14+пільги!AV14+субсидії!AV14+'держ.бюджет'!AV14+'місц.-районн.бюджет'!AV14+областной!AV14+інші!AV14</f>
        <v>153.49999999999994</v>
      </c>
      <c r="AW14" s="18">
        <f>'насел.'!AW14+пільги!AW14+субсидії!AW14+'держ.бюджет'!AW14+'місц.-районн.бюджет'!AW14+областной!AW14+інші!AW14</f>
        <v>-269.40000000000003</v>
      </c>
      <c r="AX14" s="42">
        <f t="shared" si="12"/>
        <v>1820.3</v>
      </c>
      <c r="AY14" s="42">
        <f t="shared" si="13"/>
        <v>1666.8000000000002</v>
      </c>
      <c r="AZ14" s="42">
        <f t="shared" si="14"/>
        <v>153.49999999999977</v>
      </c>
      <c r="BA14" s="42">
        <f t="shared" si="15"/>
        <v>-269.4000000000001</v>
      </c>
    </row>
    <row r="15" spans="1:53" ht="27" customHeight="1">
      <c r="A15" s="13" t="s">
        <v>19</v>
      </c>
      <c r="B15" s="41" t="s">
        <v>96</v>
      </c>
      <c r="C15" s="18">
        <f>'насел.'!C15+пільги!C15+субсидії!C15+'держ.бюджет'!C15+'місц.-районн.бюджет'!C15+областной!C15+інші!C15</f>
        <v>1225.3999999999999</v>
      </c>
      <c r="D15" s="18">
        <f>'насел.'!D15+пільги!D15+субсидії!D15+'держ.бюджет'!D15+'місц.-районн.бюджет'!D15+областной!D15+інші!D15</f>
        <v>1311.9999999999998</v>
      </c>
      <c r="E15" s="18">
        <f>'насел.'!E15+пільги!E15+субсидії!E15+'держ.бюджет'!E15+'місц.-районн.бюджет'!E15+областной!E15+інші!E15</f>
        <v>561.4000000000001</v>
      </c>
      <c r="F15" s="11">
        <f t="shared" si="0"/>
        <v>42.78963414634148</v>
      </c>
      <c r="G15" s="18">
        <f>'насел.'!G15+пільги!G15+субсидії!G15+'держ.бюджет'!G15+'місц.-районн.бюджет'!G15+областной!G15+інші!G15</f>
        <v>1305</v>
      </c>
      <c r="H15" s="18">
        <f>'насел.'!H15+пільги!H15+субсидії!H15+'держ.бюджет'!H15+'місц.-районн.бюджет'!H15+областной!H15+інші!H15</f>
        <v>2410.3</v>
      </c>
      <c r="I15" s="11">
        <f t="shared" si="4"/>
        <v>184.69731800766286</v>
      </c>
      <c r="J15" s="18">
        <f>'насел.'!J15+пільги!J15+субсидії!J15+'держ.бюджет'!J15+'місц.-районн.бюджет'!J15+областной!J15+інші!J15</f>
        <v>1344.9</v>
      </c>
      <c r="K15" s="18">
        <f>'насел.'!K15+пільги!K15+субсидії!K15+'держ.бюджет'!K15+'місц.-районн.бюджет'!K15+областной!K15+інші!K15</f>
        <v>1919.4</v>
      </c>
      <c r="L15" s="11">
        <f t="shared" si="1"/>
        <v>142.7169306268124</v>
      </c>
      <c r="M15" s="11">
        <f>'насел.'!M15+пільги!M15+субсидії!M15+'держ.бюджет'!M15+'місц.-районн.бюджет'!M15+областной!M15+інші!M15</f>
        <v>3961.9</v>
      </c>
      <c r="N15" s="11">
        <f>'насел.'!N15+пільги!N15+субсидії!N15+'держ.бюджет'!N15+'місц.-районн.бюджет'!N15+областной!N15+інші!N15</f>
        <v>4891.099999999999</v>
      </c>
      <c r="O15" s="11">
        <f t="shared" si="5"/>
        <v>123.45339357379032</v>
      </c>
      <c r="P15" s="18">
        <f>'насел.'!P15+пільги!P15+субсидії!P15+'держ.бюджет'!P15+'місц.-районн.бюджет'!P15+областной!P15+інші!P15</f>
        <v>1349.8</v>
      </c>
      <c r="Q15" s="18">
        <f>'насел.'!Q15+пільги!Q15+субсидії!Q15+'держ.бюджет'!Q15+'місц.-районн.бюджет'!Q15+областной!Q15+інші!Q15</f>
        <v>1297.6000000000001</v>
      </c>
      <c r="R15" s="11">
        <f t="shared" si="6"/>
        <v>96.1327604089495</v>
      </c>
      <c r="S15" s="18">
        <f>'насел.'!S15+пільги!S15+субсидії!S15+'держ.бюджет'!S15+'місц.-районн.бюджет'!S15+областной!S15+інші!S15</f>
        <v>1402</v>
      </c>
      <c r="T15" s="18">
        <f>'насел.'!T15+пільги!T15+субсидії!T15+'держ.бюджет'!T15+'місц.-районн.бюджет'!T15+областной!T15+інші!T15</f>
        <v>1707.5</v>
      </c>
      <c r="U15" s="11">
        <f t="shared" si="7"/>
        <v>121.79029957203996</v>
      </c>
      <c r="V15" s="18">
        <f>'насел.'!V15+пільги!V15+субсидії!V15+'держ.бюджет'!V15+'місц.-районн.бюджет'!V15+областной!V15+інші!V15</f>
        <v>1376</v>
      </c>
      <c r="W15" s="18">
        <f>'насел.'!W15+пільги!W15+субсидії!W15+'держ.бюджет'!W15+'місц.-районн.бюджет'!W15+областной!W15+інші!W15</f>
        <v>880.3000000000001</v>
      </c>
      <c r="X15" s="11">
        <f t="shared" si="8"/>
        <v>63.975290697674424</v>
      </c>
      <c r="Y15" s="18">
        <f>'насел.'!Y15+пільги!Y15+субсидії!Y15+'держ.бюджет'!Y15+'місц.-районн.бюджет'!Y15+областной!Y15+інші!Y15</f>
        <v>4127.799999999999</v>
      </c>
      <c r="Z15" s="18">
        <f>'насел.'!Z15+пільги!Z15+субсидії!Z15+'держ.бюджет'!Z15+'місц.-районн.бюджет'!Z15+областной!Z15+інші!Z15</f>
        <v>3885.4</v>
      </c>
      <c r="AA15" s="11">
        <f t="shared" si="2"/>
        <v>94.12762246232862</v>
      </c>
      <c r="AB15" s="18">
        <f>'насел.'!AB15+пільги!AB15+субсидії!AB15+'держ.бюджет'!AB15+'місц.-районн.бюджет'!AB15+областной!AB15+інші!AB15</f>
        <v>1396.6</v>
      </c>
      <c r="AC15" s="18">
        <f>'насел.'!AC15+пільги!AC15+субсидії!AC15+'держ.бюджет'!AC15+'місц.-районн.бюджет'!AC15+областной!AC15+інші!AC15</f>
        <v>1375.6999999999996</v>
      </c>
      <c r="AD15" s="11">
        <f t="shared" si="9"/>
        <v>98.50350852069309</v>
      </c>
      <c r="AE15" s="18">
        <f>'насел.'!AE15+пільги!AE15+субсидії!AE15+'держ.бюджет'!AE15+'місц.-районн.бюджет'!AE15+областной!AE15+інші!AE15</f>
        <v>1424.9</v>
      </c>
      <c r="AF15" s="18">
        <f>'насел.'!AF15+пільги!AF15+субсидії!AF15+'держ.бюджет'!AF15+'місц.-районн.бюджет'!AF15+областной!AF15+інші!AF15</f>
        <v>1242.6999999999998</v>
      </c>
      <c r="AG15" s="11">
        <f t="shared" si="10"/>
        <v>87.2131377640536</v>
      </c>
      <c r="AH15" s="18">
        <f>'насел.'!AH15+пільги!AH15+субсидії!AH15+'держ.бюджет'!AH15+'місц.-районн.бюджет'!AH15+областной!AH15+інші!AH15</f>
        <v>1480.6</v>
      </c>
      <c r="AI15" s="18">
        <f>'насел.'!AI15+пільги!AI15+субсидії!AI15+'держ.бюджет'!AI15+'місц.-районн.бюджет'!AI15+областной!AI15+інші!AI15</f>
        <v>1349.6</v>
      </c>
      <c r="AJ15" s="18">
        <f>'насел.'!AJ15+пільги!AJ15+субсидії!AJ15+'держ.бюджет'!AJ15+'місц.-районн.бюджет'!AJ15+областной!AJ15+інші!AJ15</f>
        <v>4302.1</v>
      </c>
      <c r="AK15" s="18">
        <f>'насел.'!AK15+пільги!AK15+субсидії!AK15+'держ.бюджет'!AK15+'місц.-районн.бюджет'!AK15+областной!AK15+інші!AK15</f>
        <v>3967.9999999999995</v>
      </c>
      <c r="AL15" s="18">
        <f t="shared" si="11"/>
        <v>92.23402524348572</v>
      </c>
      <c r="AM15" s="18">
        <f>'насел.'!AM15+пільги!AM15+субсидії!AM15+'держ.бюджет'!AM15+'місц.-районн.бюджет'!AM15+областной!AM15+інші!AM15</f>
        <v>1508.3</v>
      </c>
      <c r="AN15" s="18">
        <f>'насел.'!AN15+пільги!AN15+субсидії!AN15+'держ.бюджет'!AN15+'місц.-районн.бюджет'!AN15+областной!AN15+інші!AN15</f>
        <v>1428.3000000000002</v>
      </c>
      <c r="AO15" s="18">
        <f>'насел.'!AO15+пільги!AO15+субсидії!AO15+'держ.бюджет'!AO15+'місц.-районн.бюджет'!AO15+областной!AO15+інші!AO15</f>
        <v>1594.3999999999999</v>
      </c>
      <c r="AP15" s="18">
        <f>'насел.'!AP15+пільги!AP15+субсидії!AP15+'держ.бюджет'!AP15+'місц.-районн.бюджет'!AP15+областной!AP15+інші!AP15</f>
        <v>1414.9999999999998</v>
      </c>
      <c r="AQ15" s="18">
        <f>'насел.'!AQ15+пільги!AQ15+субсидії!AQ15+'держ.бюджет'!AQ15+'місц.-районн.бюджет'!AQ15+областной!AQ15+інші!AQ15</f>
        <v>1663.2</v>
      </c>
      <c r="AR15" s="18">
        <f>'насел.'!AR15+пільги!AR15+субсидії!AR15+'держ.бюджет'!AR15+'місц.-районн.бюджет'!AR15+областной!AR15+інші!AR15</f>
        <v>1516.9999999999998</v>
      </c>
      <c r="AS15" s="18">
        <f>'насел.'!AS15+пільги!AS15+субсидії!AS15+'держ.бюджет'!AS15+'місц.-районн.бюджет'!AS15+областной!AS15+інші!AS15</f>
        <v>17157.699999999997</v>
      </c>
      <c r="AT15" s="18">
        <f>'насел.'!AT15+пільги!AT15+субсидії!AT15+'держ.бюджет'!AT15+'місц.-районн.бюджет'!AT15+областной!AT15+інші!AT15</f>
        <v>17104.8</v>
      </c>
      <c r="AU15" s="11">
        <f t="shared" si="3"/>
        <v>99.69168361726805</v>
      </c>
      <c r="AV15" s="18">
        <f>'насел.'!AV15+пільги!AV15+субсидії!AV15+'держ.бюджет'!AV15+'місц.-районн.бюджет'!AV15+областной!AV15+інші!AV15</f>
        <v>52.899999999999864</v>
      </c>
      <c r="AW15" s="18">
        <f>'насел.'!AW15+пільги!AW15+субсидії!AW15+'держ.бюджет'!AW15+'місц.-районн.бюджет'!AW15+областной!AW15+інші!AW15</f>
        <v>1278.3000000000004</v>
      </c>
      <c r="AX15" s="42">
        <f t="shared" si="12"/>
        <v>17157.699999999997</v>
      </c>
      <c r="AY15" s="42">
        <f t="shared" si="13"/>
        <v>17104.8</v>
      </c>
      <c r="AZ15" s="42">
        <f t="shared" si="14"/>
        <v>52.89999999999782</v>
      </c>
      <c r="BA15" s="42">
        <f t="shared" si="15"/>
        <v>1278.2999999999993</v>
      </c>
    </row>
    <row r="16" spans="1:53" ht="27" customHeight="1">
      <c r="A16" s="13" t="s">
        <v>20</v>
      </c>
      <c r="B16" s="41" t="s">
        <v>97</v>
      </c>
      <c r="C16" s="18">
        <f>'насел.'!C16+пільги!C16+субсидії!C16+'держ.бюджет'!C16+'місц.-районн.бюджет'!C16+областной!C16+інші!C16</f>
        <v>-31.200000000000003</v>
      </c>
      <c r="D16" s="18">
        <f>'насел.'!D16+пільги!D16+субсидії!D16+'держ.бюджет'!D16+'місц.-районн.бюджет'!D16+областной!D16+інші!D16</f>
        <v>32.1</v>
      </c>
      <c r="E16" s="18">
        <f>'насел.'!E16+пільги!E16+субсидії!E16+'держ.бюджет'!E16+'місц.-районн.бюджет'!E16+областной!E16+інші!E16</f>
        <v>15.399999999999999</v>
      </c>
      <c r="F16" s="11">
        <f t="shared" si="0"/>
        <v>47.97507788161993</v>
      </c>
      <c r="G16" s="18">
        <f>'насел.'!G16+пільги!G16+субсидії!G16+'держ.бюджет'!G16+'місц.-районн.бюджет'!G16+областной!G16+інші!G16</f>
        <v>30.3</v>
      </c>
      <c r="H16" s="18">
        <f>'насел.'!H16+пільги!H16+субсидії!H16+'держ.бюджет'!H16+'місц.-районн.бюджет'!H16+областной!H16+інші!H16</f>
        <v>104.7</v>
      </c>
      <c r="I16" s="11">
        <f t="shared" si="4"/>
        <v>345.54455445544556</v>
      </c>
      <c r="J16" s="18">
        <f>'насел.'!J16+пільги!J16+субсидії!J16+'держ.бюджет'!J16+'місц.-районн.бюджет'!J16+областной!J16+інші!J16</f>
        <v>29.099999999999994</v>
      </c>
      <c r="K16" s="18">
        <f>'насел.'!K16+пільги!K16+субсидії!K16+'держ.бюджет'!K16+'місц.-районн.бюджет'!K16+областной!K16+інші!K16</f>
        <v>19.9</v>
      </c>
      <c r="L16" s="11">
        <f t="shared" si="1"/>
        <v>68.38487972508592</v>
      </c>
      <c r="M16" s="11">
        <f>'насел.'!M16+пільги!M16+субсидії!M16+'держ.бюджет'!M16+'місц.-районн.бюджет'!M16+областной!M16+інші!M16</f>
        <v>91.5</v>
      </c>
      <c r="N16" s="11">
        <f>'насел.'!N16+пільги!N16+субсидії!N16+'держ.бюджет'!N16+'місц.-районн.бюджет'!N16+областной!N16+інші!N16</f>
        <v>139.99999999999997</v>
      </c>
      <c r="O16" s="11">
        <f t="shared" si="5"/>
        <v>153.00546448087428</v>
      </c>
      <c r="P16" s="18">
        <f>'насел.'!P16+пільги!P16+субсидії!P16+'держ.бюджет'!P16+'місц.-районн.бюджет'!P16+областной!P16+інші!P16</f>
        <v>66.10000000000001</v>
      </c>
      <c r="Q16" s="18">
        <f>'насел.'!Q16+пільги!Q16+субсидії!Q16+'держ.бюджет'!Q16+'місц.-районн.бюджет'!Q16+областной!Q16+інші!Q16</f>
        <v>17.5</v>
      </c>
      <c r="R16" s="11">
        <f t="shared" si="6"/>
        <v>26.4750378214826</v>
      </c>
      <c r="S16" s="18">
        <f>'насел.'!S16+пільги!S16+субсидії!S16+'держ.бюджет'!S16+'місц.-районн.бюджет'!S16+областной!S16+інші!S16</f>
        <v>45.20000000000001</v>
      </c>
      <c r="T16" s="18">
        <f>'насел.'!T16+пільги!T16+субсидії!T16+'держ.бюджет'!T16+'місц.-районн.бюджет'!T16+областной!T16+інші!T16</f>
        <v>26.799999999999997</v>
      </c>
      <c r="U16" s="11">
        <f t="shared" si="7"/>
        <v>59.29203539823007</v>
      </c>
      <c r="V16" s="18">
        <f>'насел.'!V16+пільги!V16+субсидії!V16+'держ.бюджет'!V16+'місц.-районн.бюджет'!V16+областной!V16+інші!V16</f>
        <v>47.9</v>
      </c>
      <c r="W16" s="18">
        <f>'насел.'!W16+пільги!W16+субсидії!W16+'держ.бюджет'!W16+'місц.-районн.бюджет'!W16+областной!W16+інші!W16</f>
        <v>86.89999999999999</v>
      </c>
      <c r="X16" s="11">
        <f t="shared" si="8"/>
        <v>181.41962421711898</v>
      </c>
      <c r="Y16" s="18">
        <f>'насел.'!Y16+пільги!Y16+субсидії!Y16+'держ.бюджет'!Y16+'місц.-районн.бюджет'!Y16+областной!Y16+інші!Y16</f>
        <v>159.2</v>
      </c>
      <c r="Z16" s="18">
        <f>'насел.'!Z16+пільги!Z16+субсидії!Z16+'держ.бюджет'!Z16+'місц.-районн.бюджет'!Z16+областной!Z16+інші!Z16</f>
        <v>131.2</v>
      </c>
      <c r="AA16" s="11">
        <f t="shared" si="2"/>
        <v>82.41206030150754</v>
      </c>
      <c r="AB16" s="18">
        <f>'насел.'!AB16+пільги!AB16+субсидії!AB16+'держ.бюджет'!AB16+'місц.-районн.бюджет'!AB16+областной!AB16+інші!AB16</f>
        <v>43</v>
      </c>
      <c r="AC16" s="18">
        <f>'насел.'!AC16+пільги!AC16+субсидії!AC16+'держ.бюджет'!AC16+'місц.-районн.бюджет'!AC16+областной!AC16+інші!AC16</f>
        <v>38.199999999999996</v>
      </c>
      <c r="AD16" s="11">
        <f t="shared" si="9"/>
        <v>88.83720930232558</v>
      </c>
      <c r="AE16" s="18">
        <f>'насел.'!AE16+пільги!AE16+субсидії!AE16+'держ.бюджет'!AE16+'місц.-районн.бюджет'!AE16+областной!AE16+інші!AE16</f>
        <v>42.2</v>
      </c>
      <c r="AF16" s="18">
        <f>'насел.'!AF16+пільги!AF16+субсидії!AF16+'держ.бюджет'!AF16+'місц.-районн.бюджет'!AF16+областной!AF16+інші!AF16</f>
        <v>29.3</v>
      </c>
      <c r="AG16" s="11">
        <f t="shared" si="10"/>
        <v>69.43127962085308</v>
      </c>
      <c r="AH16" s="18">
        <f>'насел.'!AH16+пільги!AH16+субсидії!AH16+'держ.бюджет'!AH16+'місц.-районн.бюджет'!AH16+областной!AH16+інші!AH16</f>
        <v>42.8</v>
      </c>
      <c r="AI16" s="18">
        <f>'насел.'!AI16+пільги!AI16+субсидії!AI16+'держ.бюджет'!AI16+'місц.-районн.бюджет'!AI16+областной!AI16+інші!AI16</f>
        <v>33.2</v>
      </c>
      <c r="AJ16" s="18">
        <f>'насел.'!AJ16+пільги!AJ16+субсидії!AJ16+'держ.бюджет'!AJ16+'місц.-районн.бюджет'!AJ16+областной!AJ16+інші!AJ16</f>
        <v>128</v>
      </c>
      <c r="AK16" s="18">
        <f>'насел.'!AK16+пільги!AK16+субсидії!AK16+'держ.бюджет'!AK16+'місц.-районн.бюджет'!AK16+областной!AK16+інші!AK16</f>
        <v>100.7</v>
      </c>
      <c r="AL16" s="18">
        <f t="shared" si="11"/>
        <v>78.671875</v>
      </c>
      <c r="AM16" s="18">
        <f>'насел.'!AM16+пільги!AM16+субсидії!AM16+'держ.бюджет'!AM16+'місц.-районн.бюджет'!AM16+областной!AM16+інші!AM16</f>
        <v>38.800000000000004</v>
      </c>
      <c r="AN16" s="18">
        <f>'насел.'!AN16+пільги!AN16+субсидії!AN16+'держ.бюджет'!AN16+'місц.-районн.бюджет'!AN16+областной!AN16+інші!AN16</f>
        <v>37.2</v>
      </c>
      <c r="AO16" s="18">
        <f>'насел.'!AO16+пільги!AO16+субсидії!AO16+'держ.бюджет'!AO16+'місц.-районн.бюджет'!AO16+областной!AO16+інші!AO16</f>
        <v>37.5</v>
      </c>
      <c r="AP16" s="18">
        <f>'насел.'!AP16+пільги!AP16+субсидії!AP16+'держ.бюджет'!AP16+'місц.-районн.бюджет'!AP16+областной!AP16+інші!AP16</f>
        <v>32.800000000000004</v>
      </c>
      <c r="AQ16" s="18">
        <f>'насел.'!AQ16+пільги!AQ16+субсидії!AQ16+'держ.бюджет'!AQ16+'місц.-районн.бюджет'!AQ16+областной!AQ16+інші!AQ16</f>
        <v>36.300000000000004</v>
      </c>
      <c r="AR16" s="18">
        <f>'насел.'!AR16+пільги!AR16+субсидії!AR16+'держ.бюджет'!AR16+'місц.-районн.бюджет'!AR16+областной!AR16+інші!AR16</f>
        <v>36.9</v>
      </c>
      <c r="AS16" s="18">
        <f>'насел.'!AS16+пільги!AS16+субсидії!AS16+'держ.бюджет'!AS16+'місц.-районн.бюджет'!AS16+областной!AS16+інші!AS16</f>
        <v>491.30000000000007</v>
      </c>
      <c r="AT16" s="18">
        <f>'насел.'!AT16+пільги!AT16+субсидії!AT16+'держ.бюджет'!AT16+'місц.-районн.бюджет'!AT16+областной!AT16+інші!AT16</f>
        <v>478.8</v>
      </c>
      <c r="AU16" s="11">
        <f t="shared" si="3"/>
        <v>97.45572969672297</v>
      </c>
      <c r="AV16" s="18">
        <f>'насел.'!AV16+пільги!AV16+субсидії!AV16+'держ.бюджет'!AV16+'місц.-районн.бюджет'!AV16+областной!AV16+інші!AV16</f>
        <v>12.50000000000006</v>
      </c>
      <c r="AW16" s="18">
        <f>'насел.'!AW16+пільги!AW16+субсидії!AW16+'держ.бюджет'!AW16+'місц.-районн.бюджет'!AW16+областной!AW16+інші!AW16</f>
        <v>-18.69999999999991</v>
      </c>
      <c r="AX16" s="42">
        <f t="shared" si="12"/>
        <v>491.3</v>
      </c>
      <c r="AY16" s="42">
        <f t="shared" si="13"/>
        <v>478.7999999999999</v>
      </c>
      <c r="AZ16" s="42">
        <f t="shared" si="14"/>
        <v>12.500000000000114</v>
      </c>
      <c r="BA16" s="42">
        <f t="shared" si="15"/>
        <v>-18.699999999999875</v>
      </c>
    </row>
    <row r="17" spans="1:53" ht="27" customHeight="1">
      <c r="A17" s="13" t="s">
        <v>21</v>
      </c>
      <c r="B17" s="15" t="s">
        <v>98</v>
      </c>
      <c r="C17" s="18">
        <f>'насел.'!C17+пільги!C17+субсидії!C17+'держ.бюджет'!C17+'місц.-районн.бюджет'!C17+областной!C17+інші!C17</f>
        <v>6740.2</v>
      </c>
      <c r="D17" s="18">
        <f>'насел.'!D17+пільги!D17+субсидії!D17+'держ.бюджет'!D17+'місц.-районн.бюджет'!D17+областной!D17+інші!D17</f>
        <v>876.3000000000001</v>
      </c>
      <c r="E17" s="18">
        <f>'насел.'!E17+пільги!E17+субсидії!E17+'держ.бюджет'!E17+'місц.-районн.бюджет'!E17+областной!E17+інші!E17</f>
        <v>752.2</v>
      </c>
      <c r="F17" s="11">
        <f t="shared" si="0"/>
        <v>85.83818327056943</v>
      </c>
      <c r="G17" s="18">
        <f>'насел.'!G17+пільги!G17+субсидії!G17+'держ.бюджет'!G17+'місц.-районн.бюджет'!G17+областной!G17+інші!G17</f>
        <v>1423</v>
      </c>
      <c r="H17" s="18">
        <f>'насел.'!H17+пільги!H17+субсидії!H17+'держ.бюджет'!H17+'місц.-районн.бюджет'!H17+областной!H17+інші!H17</f>
        <v>1371.0999999999997</v>
      </c>
      <c r="I17" s="11">
        <f t="shared" si="4"/>
        <v>96.35277582572029</v>
      </c>
      <c r="J17" s="18">
        <f>'насел.'!J17+пільги!J17+субсидії!J17+'держ.бюджет'!J17+'місц.-районн.бюджет'!J17+областной!J17+інші!J17</f>
        <v>1172.1999999999998</v>
      </c>
      <c r="K17" s="18">
        <f>'насел.'!K17+пільги!K17+субсидії!K17+'держ.бюджет'!K17+'місц.-районн.бюджет'!K17+областной!K17+інші!K17</f>
        <v>894.5</v>
      </c>
      <c r="L17" s="11">
        <f t="shared" si="1"/>
        <v>76.30950349769665</v>
      </c>
      <c r="M17" s="11">
        <f>'насел.'!M17+пільги!M17+субсидії!M17+'держ.бюджет'!M17+'місц.-районн.бюджет'!M17+областной!M17+інші!M17</f>
        <v>3471.5</v>
      </c>
      <c r="N17" s="11">
        <f>'насел.'!N17+пільги!N17+субсидії!N17+'держ.бюджет'!N17+'місц.-районн.бюджет'!N17+областной!N17+інші!N17</f>
        <v>3017.8</v>
      </c>
      <c r="O17" s="11">
        <f t="shared" si="5"/>
        <v>86.93072159009074</v>
      </c>
      <c r="P17" s="18">
        <f>'насел.'!P17+пільги!P17+субсидії!P17+'держ.бюджет'!P17+'місц.-районн.бюджет'!P17+областной!P17+інші!P17</f>
        <v>957</v>
      </c>
      <c r="Q17" s="18">
        <f>'насел.'!Q17+пільги!Q17+субсидії!Q17+'держ.бюджет'!Q17+'місц.-районн.бюджет'!Q17+областной!Q17+інші!Q17</f>
        <v>1076.8</v>
      </c>
      <c r="R17" s="11">
        <f t="shared" si="6"/>
        <v>112.51828631138976</v>
      </c>
      <c r="S17" s="18">
        <f>'насел.'!S17+пільги!S17+субсидії!S17+'держ.бюджет'!S17+'місц.-районн.бюджет'!S17+областной!S17+інші!S17</f>
        <v>975.3</v>
      </c>
      <c r="T17" s="18">
        <f>'насел.'!T17+пільги!T17+субсидії!T17+'держ.бюджет'!T17+'місц.-районн.бюджет'!T17+областной!T17+інші!T17</f>
        <v>1415.7000000000003</v>
      </c>
      <c r="U17" s="11">
        <f t="shared" si="7"/>
        <v>145.1553368194402</v>
      </c>
      <c r="V17" s="18">
        <f>'насел.'!V17+пільги!V17+субсидії!V17+'держ.бюджет'!V17+'місц.-районн.бюджет'!V17+областной!V17+інші!V17</f>
        <v>865.0999999999999</v>
      </c>
      <c r="W17" s="18">
        <f>'насел.'!W17+пільги!W17+субсидії!W17+'держ.бюджет'!W17+'місц.-районн.бюджет'!W17+областной!W17+інші!W17</f>
        <v>938.1</v>
      </c>
      <c r="X17" s="11">
        <f t="shared" si="8"/>
        <v>108.43833082880595</v>
      </c>
      <c r="Y17" s="18">
        <f>'насел.'!Y17+пільги!Y17+субсидії!Y17+'держ.бюджет'!Y17+'місц.-районн.бюджет'!Y17+областной!Y17+інші!Y17</f>
        <v>2797.4000000000005</v>
      </c>
      <c r="Z17" s="18">
        <f>'насел.'!Z17+пільги!Z17+субсидії!Z17+'держ.бюджет'!Z17+'місц.-районн.бюджет'!Z17+областной!Z17+інші!Z17</f>
        <v>3430.6000000000004</v>
      </c>
      <c r="AA17" s="11">
        <f t="shared" si="2"/>
        <v>122.63530421105311</v>
      </c>
      <c r="AB17" s="18">
        <f>'насел.'!AB17+пільги!AB17+субсидії!AB17+'держ.бюджет'!AB17+'місц.-районн.бюджет'!AB17+областной!AB17+інші!AB17</f>
        <v>1088.5</v>
      </c>
      <c r="AC17" s="18">
        <f>'насел.'!AC17+пільги!AC17+субсидії!AC17+'держ.бюджет'!AC17+'місц.-районн.бюджет'!AC17+областной!AC17+інші!AC17</f>
        <v>1262.3</v>
      </c>
      <c r="AD17" s="11">
        <f t="shared" si="9"/>
        <v>115.96692696371153</v>
      </c>
      <c r="AE17" s="18">
        <f>'насел.'!AE17+пільги!AE17+субсидії!AE17+'держ.бюджет'!AE17+'місц.-районн.бюджет'!AE17+областной!AE17+інші!AE17</f>
        <v>900.3999999999999</v>
      </c>
      <c r="AF17" s="18">
        <f>'насел.'!AF17+пільги!AF17+субсидії!AF17+'держ.бюджет'!AF17+'місц.-районн.бюджет'!AF17+областной!AF17+інші!AF17</f>
        <v>773.8000000000001</v>
      </c>
      <c r="AG17" s="11">
        <f t="shared" si="10"/>
        <v>85.93958240781878</v>
      </c>
      <c r="AH17" s="18">
        <f>'насел.'!AH17+пільги!AH17+субсидії!AH17+'держ.бюджет'!AH17+'місц.-районн.бюджет'!AH17+областной!AH17+інші!AH17</f>
        <v>1000.3999999999999</v>
      </c>
      <c r="AI17" s="18">
        <f>'насел.'!AI17+пільги!AI17+субсидії!AI17+'держ.бюджет'!AI17+'місц.-районн.бюджет'!AI17+областной!AI17+інші!AI17</f>
        <v>828.8</v>
      </c>
      <c r="AJ17" s="18">
        <f>'насел.'!AJ17+пільги!AJ17+субсидії!AJ17+'держ.бюджет'!AJ17+'місц.-районн.бюджет'!AJ17+областной!AJ17+інші!AJ17</f>
        <v>2989.2999999999993</v>
      </c>
      <c r="AK17" s="18">
        <f>'насел.'!AK17+пільги!AK17+субсидії!AK17+'держ.бюджет'!AK17+'місц.-районн.бюджет'!AK17+областной!AK17+інші!AK17</f>
        <v>2864.9</v>
      </c>
      <c r="AL17" s="18">
        <f t="shared" si="11"/>
        <v>95.83849061653233</v>
      </c>
      <c r="AM17" s="18">
        <f>'насел.'!AM17+пільги!AM17+субсидії!AM17+'держ.бюджет'!AM17+'місц.-районн.бюджет'!AM17+областной!AM17+інші!AM17</f>
        <v>873.5</v>
      </c>
      <c r="AN17" s="18">
        <f>'насел.'!AN17+пільги!AN17+субсидії!AN17+'держ.бюджет'!AN17+'місц.-районн.бюджет'!AN17+областной!AN17+інші!AN17</f>
        <v>924.3</v>
      </c>
      <c r="AO17" s="18">
        <f>'насел.'!AO17+пільги!AO17+субсидії!AO17+'держ.бюджет'!AO17+'місц.-районн.бюджет'!AO17+областной!AO17+інші!AO17</f>
        <v>1111.8</v>
      </c>
      <c r="AP17" s="18">
        <f>'насел.'!AP17+пільги!AP17+субсидії!AP17+'держ.бюджет'!AP17+'місц.-районн.бюджет'!AP17+областной!AP17+інші!AP17</f>
        <v>806.6999999999999</v>
      </c>
      <c r="AQ17" s="18">
        <f>'насел.'!AQ17+пільги!AQ17+субсидії!AQ17+'держ.бюджет'!AQ17+'місц.-районн.бюджет'!AQ17+областной!AQ17+інші!AQ17</f>
        <v>1330.1</v>
      </c>
      <c r="AR17" s="18">
        <f>'насел.'!AR17+пільги!AR17+субсидії!AR17+'держ.бюджет'!AR17+'місц.-районн.бюджет'!AR17+областной!AR17+інші!AR17</f>
        <v>964.4</v>
      </c>
      <c r="AS17" s="18">
        <f>'насел.'!AS17+пільги!AS17+субсидії!AS17+'держ.бюджет'!AS17+'місц.-районн.бюджет'!AS17+областной!AS17+інші!AS17</f>
        <v>12573.599999999999</v>
      </c>
      <c r="AT17" s="18">
        <f>'насел.'!AT17+пільги!AT17+субсидії!AT17+'держ.бюджет'!AT17+'місц.-районн.бюджет'!AT17+областной!AT17+інші!AT17</f>
        <v>12008.7</v>
      </c>
      <c r="AU17" s="11">
        <f t="shared" si="3"/>
        <v>95.50725329261311</v>
      </c>
      <c r="AV17" s="18">
        <f>'насел.'!AV17+пільги!AV17+субсидії!AV17+'держ.бюджет'!AV17+'місц.-районн.бюджет'!AV17+областной!AV17+інші!AV17</f>
        <v>564.899999999999</v>
      </c>
      <c r="AW17" s="18">
        <f>'насел.'!AW17+пільги!AW17+субсидії!AW17+'держ.бюджет'!AW17+'місц.-районн.бюджет'!AW17+областной!AW17+інші!AW17</f>
        <v>7305.0999999999985</v>
      </c>
      <c r="AX17" s="42">
        <f t="shared" si="12"/>
        <v>12573.6</v>
      </c>
      <c r="AY17" s="42">
        <f t="shared" si="13"/>
        <v>12008.7</v>
      </c>
      <c r="AZ17" s="42">
        <f t="shared" si="14"/>
        <v>564.8999999999996</v>
      </c>
      <c r="BA17" s="42">
        <f t="shared" si="15"/>
        <v>7305.0999999999985</v>
      </c>
    </row>
    <row r="18" spans="1:53" ht="27" customHeight="1">
      <c r="A18" s="13" t="s">
        <v>22</v>
      </c>
      <c r="B18" s="15" t="s">
        <v>99</v>
      </c>
      <c r="C18" s="18">
        <f>'насел.'!C18+пільги!C18+субсидії!C18+'держ.бюджет'!C18+'місц.-районн.бюджет'!C18+областной!C18+інші!C18</f>
        <v>318.9</v>
      </c>
      <c r="D18" s="18">
        <f>'насел.'!D18+пільги!D18+субсидії!D18+'держ.бюджет'!D18+'місц.-районн.бюджет'!D18+областной!D18+інші!D18</f>
        <v>261.40000000000003</v>
      </c>
      <c r="E18" s="18">
        <f>'насел.'!E18+пільги!E18+субсидії!E18+'держ.бюджет'!E18+'місц.-районн.бюджет'!E18+областной!E18+інші!E18</f>
        <v>83.2</v>
      </c>
      <c r="F18" s="11">
        <f t="shared" si="0"/>
        <v>31.828615149196633</v>
      </c>
      <c r="G18" s="18">
        <f>'насел.'!G18+пільги!G18+субсидії!G18+'держ.бюджет'!G18+'місц.-районн.бюджет'!G18+областной!G18+інші!G18</f>
        <v>242.90000000000003</v>
      </c>
      <c r="H18" s="18">
        <f>'насел.'!H18+пільги!H18+субсидії!H18+'держ.бюджет'!H18+'місц.-районн.бюджет'!H18+областной!H18+інші!H18</f>
        <v>562</v>
      </c>
      <c r="I18" s="11">
        <f t="shared" si="4"/>
        <v>231.3709345409633</v>
      </c>
      <c r="J18" s="18">
        <f>'насел.'!J18+пільги!J18+субсидії!J18+'держ.бюджет'!J18+'місц.-районн.бюджет'!J18+областной!J18+інші!J18</f>
        <v>275.7</v>
      </c>
      <c r="K18" s="18">
        <f>'насел.'!K18+пільги!K18+субсидії!K18+'держ.бюджет'!K18+'місц.-районн.бюджет'!K18+областной!K18+інші!K18</f>
        <v>115.3</v>
      </c>
      <c r="L18" s="11">
        <f t="shared" si="1"/>
        <v>41.820819731592316</v>
      </c>
      <c r="M18" s="11">
        <f>'насел.'!M18+пільги!M18+субсидії!M18+'держ.бюджет'!M18+'місц.-районн.бюджет'!M18+областной!M18+інші!M18</f>
        <v>780.0000000000001</v>
      </c>
      <c r="N18" s="11">
        <f>'насел.'!N18+пільги!N18+субсидії!N18+'держ.бюджет'!N18+'місц.-районн.бюджет'!N18+областной!N18+інші!N18</f>
        <v>760.5</v>
      </c>
      <c r="O18" s="11">
        <f t="shared" si="5"/>
        <v>97.49999999999999</v>
      </c>
      <c r="P18" s="18">
        <f>'насел.'!P18+пільги!P18+субсидії!P18+'держ.бюджет'!P18+'місц.-районн.бюджет'!P18+областной!P18+інші!P18</f>
        <v>304.20000000000005</v>
      </c>
      <c r="Q18" s="18">
        <f>'насел.'!Q18+пільги!Q18+субсидії!Q18+'держ.бюджет'!Q18+'місц.-районн.бюджет'!Q18+областной!Q18+інші!Q18</f>
        <v>86.8</v>
      </c>
      <c r="R18" s="11">
        <f t="shared" si="6"/>
        <v>28.533859303090065</v>
      </c>
      <c r="S18" s="18">
        <f>'насел.'!S18+пільги!S18+субсидії!S18+'держ.бюджет'!S18+'місц.-районн.бюджет'!S18+областной!S18+інші!S18</f>
        <v>-50.099999999999994</v>
      </c>
      <c r="T18" s="18">
        <f>'насел.'!T18+пільги!T18+субсидії!T18+'держ.бюджет'!T18+'місц.-районн.бюджет'!T18+областной!T18+інші!T18</f>
        <v>112.6</v>
      </c>
      <c r="U18" s="11">
        <f t="shared" si="7"/>
        <v>-224.75049900199605</v>
      </c>
      <c r="V18" s="18">
        <f>'насел.'!V18+пільги!V18+субсидії!V18+'держ.бюджет'!V18+'місц.-районн.бюджет'!V18+областной!V18+інші!V18</f>
        <v>258</v>
      </c>
      <c r="W18" s="18">
        <f>'насел.'!W18+пільги!W18+субсидії!W18+'держ.бюджет'!W18+'місц.-районн.бюджет'!W18+областной!W18+інші!W18</f>
        <v>314</v>
      </c>
      <c r="X18" s="11">
        <f t="shared" si="8"/>
        <v>121.70542635658914</v>
      </c>
      <c r="Y18" s="18">
        <f>'насел.'!Y18+пільги!Y18+субсидії!Y18+'держ.бюджет'!Y18+'місц.-районн.бюджет'!Y18+областной!Y18+інші!Y18</f>
        <v>512.1</v>
      </c>
      <c r="Z18" s="18">
        <f>'насел.'!Z18+пільги!Z18+субсидії!Z18+'держ.бюджет'!Z18+'місц.-районн.бюджет'!Z18+областной!Z18+інші!Z18</f>
        <v>513.4</v>
      </c>
      <c r="AA18" s="11">
        <f t="shared" si="2"/>
        <v>100.2538566686194</v>
      </c>
      <c r="AB18" s="18">
        <f>'насел.'!AB18+пільги!AB18+субсидії!AB18+'держ.бюджет'!AB18+'місц.-районн.бюджет'!AB18+областной!AB18+інші!AB18</f>
        <v>254.79999999999998</v>
      </c>
      <c r="AC18" s="18">
        <f>'насел.'!AC18+пільги!AC18+субсидії!AC18+'держ.бюджет'!AC18+'місц.-районн.бюджет'!AC18+областной!AC18+інші!AC18</f>
        <v>346.7</v>
      </c>
      <c r="AD18" s="11">
        <f t="shared" si="9"/>
        <v>136.0675039246468</v>
      </c>
      <c r="AE18" s="18">
        <f>'насел.'!AE18+пільги!AE18+субсидії!AE18+'держ.бюджет'!AE18+'місц.-районн.бюджет'!AE18+областной!AE18+інші!AE18</f>
        <v>230.8</v>
      </c>
      <c r="AF18" s="18">
        <f>'насел.'!AF18+пільги!AF18+субсидії!AF18+'держ.бюджет'!AF18+'місц.-районн.бюджет'!AF18+областной!AF18+інші!AF18</f>
        <v>188.70000000000002</v>
      </c>
      <c r="AG18" s="11">
        <f t="shared" si="10"/>
        <v>81.75909878682842</v>
      </c>
      <c r="AH18" s="18">
        <f>'насел.'!AH18+пільги!AH18+субсидії!AH18+'держ.бюджет'!AH18+'місц.-районн.бюджет'!AH18+областной!AH18+інші!AH18</f>
        <v>269</v>
      </c>
      <c r="AI18" s="18">
        <f>'насел.'!AI18+пільги!AI18+субсидії!AI18+'держ.бюджет'!AI18+'місц.-районн.бюджет'!AI18+областной!AI18+інші!AI18</f>
        <v>259.4</v>
      </c>
      <c r="AJ18" s="18">
        <f>'насел.'!AJ18+пільги!AJ18+субсидії!AJ18+'держ.бюджет'!AJ18+'місц.-районн.бюджет'!AJ18+областной!AJ18+інші!AJ18</f>
        <v>754.6</v>
      </c>
      <c r="AK18" s="18">
        <f>'насел.'!AK18+пільги!AK18+субсидії!AK18+'держ.бюджет'!AK18+'місц.-районн.бюджет'!AK18+областной!AK18+інші!AK18</f>
        <v>794.8000000000001</v>
      </c>
      <c r="AL18" s="18">
        <f t="shared" si="11"/>
        <v>105.327325735489</v>
      </c>
      <c r="AM18" s="18">
        <f>'насел.'!AM18+пільги!AM18+субсидії!AM18+'держ.бюджет'!AM18+'місц.-районн.бюджет'!AM18+областной!AM18+інші!AM18</f>
        <v>217.59999999999994</v>
      </c>
      <c r="AN18" s="18">
        <f>'насел.'!AN18+пільги!AN18+субсидії!AN18+'держ.бюджет'!AN18+'місц.-районн.бюджет'!AN18+областной!AN18+інші!AN18</f>
        <v>216.3</v>
      </c>
      <c r="AO18" s="18">
        <f>'насел.'!AO18+пільги!AO18+субсидії!AO18+'держ.бюджет'!AO18+'місц.-районн.бюджет'!AO18+областной!AO18+інші!AO18</f>
        <v>375</v>
      </c>
      <c r="AP18" s="18">
        <f>'насел.'!AP18+пільги!AP18+субсидії!AP18+'держ.бюджет'!AP18+'місц.-районн.бюджет'!AP18+областной!AP18+інші!AP18</f>
        <v>201.39999999999998</v>
      </c>
      <c r="AQ18" s="18">
        <f>'насел.'!AQ18+пільги!AQ18+субсидії!AQ18+'держ.бюджет'!AQ18+'місц.-районн.бюджет'!AQ18+областной!AQ18+інші!AQ18</f>
        <v>325.70000000000005</v>
      </c>
      <c r="AR18" s="18">
        <f>'насел.'!AR18+пільги!AR18+субсидії!AR18+'держ.бюджет'!AR18+'місц.-районн.бюджет'!AR18+областной!AR18+інші!AR18</f>
        <v>377.8</v>
      </c>
      <c r="AS18" s="18">
        <f>'насел.'!AS18+пільги!AS18+субсидії!AS18+'держ.бюджет'!AS18+'місц.-районн.бюджет'!AS18+областной!AS18+інші!AS18</f>
        <v>2965</v>
      </c>
      <c r="AT18" s="18">
        <f>'насел.'!AT18+пільги!AT18+субсидії!AT18+'держ.бюджет'!AT18+'місц.-районн.бюджет'!AT18+областной!AT18+інші!AT18</f>
        <v>2864.2</v>
      </c>
      <c r="AU18" s="11">
        <f t="shared" si="3"/>
        <v>96.60033726812816</v>
      </c>
      <c r="AV18" s="18">
        <f>'насел.'!AV18+пільги!AV18+субсидії!AV18+'держ.бюджет'!AV18+'місц.-районн.бюджет'!AV18+областной!AV18+інші!AV18</f>
        <v>100.80000000000008</v>
      </c>
      <c r="AW18" s="18">
        <f>'насел.'!AW18+пільги!AW18+субсидії!AW18+'держ.бюджет'!AW18+'місц.-районн.бюджет'!AW18+областной!AW18+інші!AW18</f>
        <v>419.70000000000005</v>
      </c>
      <c r="AX18" s="42">
        <f t="shared" si="12"/>
        <v>2965</v>
      </c>
      <c r="AY18" s="42">
        <f t="shared" si="13"/>
        <v>2864.2000000000007</v>
      </c>
      <c r="AZ18" s="42">
        <f t="shared" si="14"/>
        <v>100.79999999999927</v>
      </c>
      <c r="BA18" s="42">
        <f t="shared" si="15"/>
        <v>419.69999999999936</v>
      </c>
    </row>
    <row r="19" spans="1:53" ht="27" customHeight="1">
      <c r="A19" s="13" t="s">
        <v>23</v>
      </c>
      <c r="B19" s="41" t="s">
        <v>100</v>
      </c>
      <c r="C19" s="18">
        <f>'насел.'!C19+пільги!C19+субсидії!C19+'держ.бюджет'!C19+'місц.-районн.бюджет'!C19+областной!C19+інші!C19</f>
        <v>1584</v>
      </c>
      <c r="D19" s="18">
        <f>'насел.'!D19+пільги!D19+субсидії!D19+'держ.бюджет'!D19+'місц.-районн.бюджет'!D19+областной!D19+інші!D19</f>
        <v>1074</v>
      </c>
      <c r="E19" s="18">
        <f>'насел.'!E19+пільги!E19+субсидії!E19+'держ.бюджет'!E19+'місц.-районн.бюджет'!E19+областной!E19+інші!E19</f>
        <v>602.2</v>
      </c>
      <c r="F19" s="11">
        <f t="shared" si="0"/>
        <v>56.0707635009311</v>
      </c>
      <c r="G19" s="18">
        <f>'насел.'!G19+пільги!G19+субсидії!G19+'держ.бюджет'!G19+'місц.-районн.бюджет'!G19+областной!G19+інші!G19</f>
        <v>1039.8</v>
      </c>
      <c r="H19" s="18">
        <f>'насел.'!H19+пільги!H19+субсидії!H19+'держ.бюджет'!H19+'місц.-районн.бюджет'!H19+областной!H19+інші!H19</f>
        <v>2731.6999999999994</v>
      </c>
      <c r="I19" s="11">
        <f t="shared" si="4"/>
        <v>262.71398345835735</v>
      </c>
      <c r="J19" s="18">
        <f>'насел.'!J19+пільги!J19+субсидії!J19+'держ.бюджет'!J19+'місц.-районн.бюджет'!J19+областной!J19+інші!J19</f>
        <v>1067.8</v>
      </c>
      <c r="K19" s="18">
        <f>'насел.'!K19+пільги!K19+субсидії!K19+'держ.бюджет'!K19+'місц.-районн.бюджет'!K19+областной!K19+інші!K19</f>
        <v>700.3</v>
      </c>
      <c r="L19" s="11">
        <f t="shared" si="1"/>
        <v>65.58344259224573</v>
      </c>
      <c r="M19" s="11">
        <f>'насел.'!M19+пільги!M19+субсидії!M19+'держ.бюджет'!M19+'місц.-районн.бюджет'!M19+областной!M19+інші!M19</f>
        <v>3181.6000000000004</v>
      </c>
      <c r="N19" s="11">
        <f>'насел.'!N19+пільги!N19+субсидії!N19+'держ.бюджет'!N19+'місц.-районн.бюджет'!N19+областной!N19+інші!N19</f>
        <v>4034.2</v>
      </c>
      <c r="O19" s="11">
        <f t="shared" si="5"/>
        <v>126.79783756600452</v>
      </c>
      <c r="P19" s="18">
        <f>'насел.'!P19+пільги!P19+субсидії!P19+'держ.бюджет'!P19+'місц.-районн.бюджет'!P19+областной!P19+інші!P19</f>
        <v>1173.4</v>
      </c>
      <c r="Q19" s="18">
        <f>'насел.'!Q19+пільги!Q19+субсидії!Q19+'держ.бюджет'!Q19+'місц.-районн.бюджет'!Q19+областной!Q19+інші!Q19</f>
        <v>942.6</v>
      </c>
      <c r="R19" s="11">
        <f t="shared" si="6"/>
        <v>80.33066303050963</v>
      </c>
      <c r="S19" s="18">
        <f>'насел.'!S19+пільги!S19+субсидії!S19+'держ.бюджет'!S19+'місц.-районн.бюджет'!S19+областной!S19+інші!S19</f>
        <v>1021</v>
      </c>
      <c r="T19" s="18">
        <f>'насел.'!T19+пільги!T19+субсидії!T19+'держ.бюджет'!T19+'місц.-районн.бюджет'!T19+областной!T19+інші!T19</f>
        <v>1438.8</v>
      </c>
      <c r="U19" s="11">
        <f t="shared" si="7"/>
        <v>140.92066601371204</v>
      </c>
      <c r="V19" s="18">
        <f>'насел.'!V19+пільги!V19+субсидії!V19+'держ.бюджет'!V19+'місц.-районн.бюджет'!V19+областной!V19+інші!V19</f>
        <v>1034.5</v>
      </c>
      <c r="W19" s="18">
        <f>'насел.'!W19+пільги!W19+субсидії!W19+'держ.бюджет'!W19+'місц.-районн.бюджет'!W19+областной!W19+інші!W19</f>
        <v>1098.8999999999999</v>
      </c>
      <c r="X19" s="11">
        <f t="shared" si="8"/>
        <v>106.225229579507</v>
      </c>
      <c r="Y19" s="18">
        <f>'насел.'!Y19+пільги!Y19+субсидії!Y19+'держ.бюджет'!Y19+'місц.-районн.бюджет'!Y19+областной!Y19+інші!Y19</f>
        <v>3228.9000000000005</v>
      </c>
      <c r="Z19" s="18">
        <f>'насел.'!Z19+пільги!Z19+субсидії!Z19+'держ.бюджет'!Z19+'місц.-районн.бюджет'!Z19+областной!Z19+інші!Z19</f>
        <v>3480.3</v>
      </c>
      <c r="AA19" s="11">
        <f t="shared" si="2"/>
        <v>107.7859332899749</v>
      </c>
      <c r="AB19" s="18">
        <f>'насел.'!AB19+пільги!AB19+субсидії!AB19+'держ.бюджет'!AB19+'місц.-районн.бюджет'!AB19+областной!AB19+інші!AB19</f>
        <v>1063.8</v>
      </c>
      <c r="AC19" s="18">
        <f>'насел.'!AC19+пільги!AC19+субсидії!AC19+'держ.бюджет'!AC19+'місц.-районн.бюджет'!AC19+областной!AC19+інші!AC19</f>
        <v>834.1999999999999</v>
      </c>
      <c r="AD19" s="11">
        <f t="shared" si="9"/>
        <v>78.41699567587892</v>
      </c>
      <c r="AE19" s="18">
        <f>'насел.'!AE19+пільги!AE19+субсидії!AE19+'держ.бюджет'!AE19+'місц.-районн.бюджет'!AE19+областной!AE19+інші!AE19</f>
        <v>1078</v>
      </c>
      <c r="AF19" s="18">
        <f>'насел.'!AF19+пільги!AF19+субсидії!AF19+'держ.бюджет'!AF19+'місц.-районн.бюджет'!AF19+областной!AF19+інші!AF19</f>
        <v>881.9000000000001</v>
      </c>
      <c r="AG19" s="11">
        <f t="shared" si="10"/>
        <v>81.80890538033397</v>
      </c>
      <c r="AH19" s="18">
        <f>'насел.'!AH19+пільги!AH19+субсидії!AH19+'держ.бюджет'!AH19+'місц.-районн.бюджет'!AH19+областной!AH19+інші!AH19</f>
        <v>1054.9</v>
      </c>
      <c r="AI19" s="18">
        <f>'насел.'!AI19+пільги!AI19+субсидії!AI19+'держ.бюджет'!AI19+'місц.-районн.бюджет'!AI19+областной!AI19+інші!AI19</f>
        <v>1070.7</v>
      </c>
      <c r="AJ19" s="18">
        <f>'насел.'!AJ19+пільги!AJ19+субсидії!AJ19+'держ.бюджет'!AJ19+'місц.-районн.бюджет'!AJ19+областной!AJ19+інші!AJ19</f>
        <v>3196.7</v>
      </c>
      <c r="AK19" s="18">
        <f>'насел.'!AK19+пільги!AK19+субсидії!AK19+'держ.бюджет'!AK19+'місц.-районн.бюджет'!AK19+областной!AK19+інші!AK19</f>
        <v>2786.8</v>
      </c>
      <c r="AL19" s="18">
        <f t="shared" si="11"/>
        <v>87.17740169549849</v>
      </c>
      <c r="AM19" s="18">
        <f>'насел.'!AM19+пільги!AM19+субсидії!AM19+'держ.бюджет'!AM19+'місц.-районн.бюджет'!AM19+областной!AM19+інші!AM19</f>
        <v>1056.7</v>
      </c>
      <c r="AN19" s="18">
        <f>'насел.'!AN19+пільги!AN19+субсидії!AN19+'держ.бюджет'!AN19+'місц.-районн.бюджет'!AN19+областной!AN19+інші!AN19</f>
        <v>1013.8</v>
      </c>
      <c r="AO19" s="18">
        <f>'насел.'!AO19+пільги!AO19+субсидії!AO19+'держ.бюджет'!AO19+'місц.-районн.бюджет'!AO19+областной!AO19+інші!AO19</f>
        <v>976.8999999999999</v>
      </c>
      <c r="AP19" s="18">
        <f>'насел.'!AP19+пільги!AP19+субсидії!AP19+'держ.бюджет'!AP19+'місц.-районн.бюджет'!AP19+областной!AP19+інші!AP19</f>
        <v>922.1000000000001</v>
      </c>
      <c r="AQ19" s="18">
        <f>'насел.'!AQ19+пільги!AQ19+субсидії!AQ19+'держ.бюджет'!AQ19+'місц.-районн.бюджет'!AQ19+областной!AQ19+інші!AQ19</f>
        <v>1022.5000000000001</v>
      </c>
      <c r="AR19" s="18">
        <f>'насел.'!AR19+пільги!AR19+субсидії!AR19+'держ.бюджет'!AR19+'місц.-районн.бюджет'!AR19+областной!AR19+інші!AR19</f>
        <v>844.3</v>
      </c>
      <c r="AS19" s="18">
        <f>'насел.'!AS19+пільги!AS19+субсидії!AS19+'держ.бюджет'!AS19+'місц.-районн.бюджет'!AS19+областной!AS19+інші!AS19</f>
        <v>12663.3</v>
      </c>
      <c r="AT19" s="18">
        <f>'насел.'!AT19+пільги!AT19+субсидії!AT19+'держ.бюджет'!AT19+'місц.-районн.бюджет'!AT19+областной!AT19+інші!AT19</f>
        <v>13081.5</v>
      </c>
      <c r="AU19" s="11">
        <f t="shared" si="3"/>
        <v>103.30245670559808</v>
      </c>
      <c r="AV19" s="18">
        <f>'насел.'!AV19+пільги!AV19+субсидії!AV19+'держ.бюджет'!AV19+'місц.-районн.бюджет'!AV19+областной!AV19+інші!AV19</f>
        <v>-418.2000000000004</v>
      </c>
      <c r="AW19" s="18">
        <f>'насел.'!AW19+пільги!AW19+субсидії!AW19+'держ.бюджет'!AW19+'місц.-районн.бюджет'!AW19+областной!AW19+інші!AW19</f>
        <v>1165.7999999999993</v>
      </c>
      <c r="AX19" s="42">
        <f t="shared" si="12"/>
        <v>12663.300000000001</v>
      </c>
      <c r="AY19" s="42">
        <f t="shared" si="13"/>
        <v>13081.499999999998</v>
      </c>
      <c r="AZ19" s="42">
        <f t="shared" si="14"/>
        <v>-418.1999999999971</v>
      </c>
      <c r="BA19" s="42">
        <f t="shared" si="15"/>
        <v>1165.800000000003</v>
      </c>
    </row>
    <row r="20" spans="1:53" ht="27" customHeight="1">
      <c r="A20" s="13" t="s">
        <v>24</v>
      </c>
      <c r="B20" s="178" t="s">
        <v>101</v>
      </c>
      <c r="C20" s="179">
        <f>'насел.'!C20+пільги!C20+субсидії!C20+'держ.бюджет'!C20+'місц.-районн.бюджет'!C20+областной!C20+інші!C20</f>
        <v>498.2</v>
      </c>
      <c r="D20" s="179">
        <f>'насел.'!D20+пільги!D20+субсидії!D20+'держ.бюджет'!D20+'місц.-районн.бюджет'!D20+областной!D20+інші!D20</f>
        <v>200.7</v>
      </c>
      <c r="E20" s="179">
        <f>'насел.'!E20+пільги!E20+субсидії!E20+'держ.бюджет'!E20+'місц.-районн.бюджет'!E20+областной!E20+інші!E20</f>
        <v>114.5</v>
      </c>
      <c r="F20" s="180">
        <f t="shared" si="0"/>
        <v>57.050323866467366</v>
      </c>
      <c r="G20" s="179">
        <f>'насел.'!G20+пільги!G20+субсидії!G20+'держ.бюджет'!G20+'місц.-районн.бюджет'!G20+областной!G20+інші!G20</f>
        <v>203.6</v>
      </c>
      <c r="H20" s="179">
        <f>'насел.'!H20+пільги!H20+субсидії!H20+'держ.бюджет'!H20+'місц.-районн.бюджет'!H20+областной!H20+інші!H20</f>
        <v>225.60000000000002</v>
      </c>
      <c r="I20" s="180">
        <f t="shared" si="4"/>
        <v>110.80550098231829</v>
      </c>
      <c r="J20" s="179">
        <f>'насел.'!J20+пільги!J20+субсидії!J20+'держ.бюджет'!J20+'місц.-районн.бюджет'!J20+областной!J20+інші!J20</f>
        <v>215.50000000000003</v>
      </c>
      <c r="K20" s="179">
        <f>'насел.'!K20+пільги!K20+субсидії!K20+'держ.бюджет'!K20+'місц.-районн.бюджет'!K20+областной!K20+інші!K20</f>
        <v>514.8</v>
      </c>
      <c r="L20" s="180">
        <f t="shared" si="1"/>
        <v>238.88631090487235</v>
      </c>
      <c r="M20" s="180">
        <f>'насел.'!M20+пільги!M20+субсидії!M20+'держ.бюджет'!M20+'місц.-районн.бюджет'!M20+областной!M20+інші!M20</f>
        <v>619.8</v>
      </c>
      <c r="N20" s="180">
        <f>'насел.'!N20+пільги!N20+субсидії!N20+'держ.бюджет'!N20+'місц.-районн.бюджет'!N20+областной!N20+інші!N20</f>
        <v>854.9000000000001</v>
      </c>
      <c r="O20" s="180">
        <f t="shared" si="5"/>
        <v>137.9315908357535</v>
      </c>
      <c r="P20" s="179">
        <f>'насел.'!P20+пільги!P20+субсидії!P20+'держ.бюджет'!P20+'місц.-районн.бюджет'!P20+областной!P20+інші!P20</f>
        <v>202.9</v>
      </c>
      <c r="Q20" s="179">
        <f>'насел.'!Q20+пільги!Q20+субсидії!Q20+'держ.бюджет'!Q20+'місц.-районн.бюджет'!Q20+областной!Q20+інші!Q20</f>
        <v>207.10000000000002</v>
      </c>
      <c r="R20" s="180">
        <f t="shared" si="6"/>
        <v>102.06998521439132</v>
      </c>
      <c r="S20" s="179">
        <f>'насел.'!S20+пільги!S20+субсидії!S20+'держ.бюджет'!S20+'місц.-районн.бюджет'!S20+областной!S20+інші!S20</f>
        <v>408.2</v>
      </c>
      <c r="T20" s="179">
        <f>'насел.'!T20+пільги!T20+субсидії!T20+'держ.бюджет'!T20+'місц.-районн.бюджет'!T20+областной!T20+інші!T20</f>
        <v>285.69999999999993</v>
      </c>
      <c r="U20" s="180">
        <f t="shared" si="7"/>
        <v>69.99020088192061</v>
      </c>
      <c r="V20" s="179">
        <f>'насел.'!V20+пільги!V20+субсидії!V20+'держ.бюджет'!V20+'місц.-районн.бюджет'!V20+областной!V20+інші!V20</f>
        <v>378.4000000000001</v>
      </c>
      <c r="W20" s="179">
        <f>'насел.'!W20+пільги!W20+субсидії!W20+'держ.бюджет'!W20+'місц.-районн.бюджет'!W20+областной!W20+інші!W20</f>
        <v>136.5</v>
      </c>
      <c r="X20" s="180">
        <f t="shared" si="8"/>
        <v>36.07293868921775</v>
      </c>
      <c r="Y20" s="179">
        <f>'насел.'!Y20+пільги!Y20+субсидії!Y20+'держ.бюджет'!Y20+'місц.-районн.бюджет'!Y20+областной!Y20+інші!Y20</f>
        <v>989.5</v>
      </c>
      <c r="Z20" s="179">
        <f>'насел.'!Z20+пільги!Z20+субсидії!Z20+'держ.бюджет'!Z20+'місц.-районн.бюджет'!Z20+областной!Z20+інші!Z20</f>
        <v>629.3000000000001</v>
      </c>
      <c r="AA20" s="180">
        <f t="shared" si="2"/>
        <v>63.597776654876206</v>
      </c>
      <c r="AB20" s="179">
        <f>'насел.'!AB20+пільги!AB20+субсидії!AB20+'держ.бюджет'!AB20+'місц.-районн.бюджет'!AB20+областной!AB20+інші!AB20</f>
        <v>40.800000000000004</v>
      </c>
      <c r="AC20" s="179">
        <f>'насел.'!AC20+пільги!AC20+субсидії!AC20+'держ.бюджет'!AC20+'місц.-районн.бюджет'!AC20+областной!AC20+інші!AC20</f>
        <v>133.20000000000002</v>
      </c>
      <c r="AD20" s="180">
        <f t="shared" si="9"/>
        <v>326.4705882352941</v>
      </c>
      <c r="AE20" s="179">
        <f>'насел.'!AE20+пільги!AE20+субсидії!AE20+'держ.бюджет'!AE20+'місц.-районн.бюджет'!AE20+областной!AE20+інші!AE20</f>
        <v>197.10000000000002</v>
      </c>
      <c r="AF20" s="179">
        <f>'насел.'!AF20+пільги!AF20+субсидії!AF20+'держ.бюджет'!AF20+'місц.-районн.бюджет'!AF20+областной!AF20+інші!AF20</f>
        <v>205.50000000000003</v>
      </c>
      <c r="AG20" s="180">
        <f t="shared" si="10"/>
        <v>104.26179604261796</v>
      </c>
      <c r="AH20" s="18">
        <f>'насел.'!AH20+пільги!AH20+субсидії!AH20+'держ.бюджет'!AH20+'місц.-районн.бюджет'!AH20+областной!AH20+інші!AH20</f>
        <v>208.1</v>
      </c>
      <c r="AI20" s="18">
        <f>'насел.'!AI20+пільги!AI20+субсидії!AI20+'держ.бюджет'!AI20+'місц.-районн.бюджет'!AI20+областной!AI20+інші!AI20</f>
        <v>224.8</v>
      </c>
      <c r="AJ20" s="179">
        <f>'насел.'!AJ20+пільги!AJ20+субсидії!AJ20+'держ.бюджет'!AJ20+'місц.-районн.бюджет'!AJ20+областной!AJ20+інші!AJ20</f>
        <v>446.00000000000006</v>
      </c>
      <c r="AK20" s="179">
        <f>'насел.'!AK20+пільги!AK20+субсидії!AK20+'держ.бюджет'!AK20+'місц.-районн.бюджет'!AK20+областной!AK20+інші!AK20</f>
        <v>563.5</v>
      </c>
      <c r="AL20" s="179">
        <f t="shared" si="11"/>
        <v>126.34529147982062</v>
      </c>
      <c r="AM20" s="179">
        <f>'насел.'!AM20+пільги!AM20+субсидії!AM20+'держ.бюджет'!AM20+'місц.-районн.бюджет'!AM20+областной!AM20+інші!AM20</f>
        <v>199.4</v>
      </c>
      <c r="AN20" s="179">
        <f>'насел.'!AN20+пільги!AN20+субсидії!AN20+'держ.бюджет'!AN20+'місц.-районн.бюджет'!AN20+областной!AN20+інші!AN20</f>
        <v>209.20000000000002</v>
      </c>
      <c r="AO20" s="179">
        <f>'насел.'!AO20+пільги!AO20+субсидії!AO20+'держ.бюджет'!AO20+'місц.-районн.бюджет'!AO20+областной!AO20+інші!AO20</f>
        <v>240.1</v>
      </c>
      <c r="AP20" s="179">
        <f>'насел.'!AP20+пільги!AP20+субсидії!AP20+'держ.бюджет'!AP20+'місц.-районн.бюджет'!AP20+областной!AP20+інші!AP20</f>
        <v>278.8</v>
      </c>
      <c r="AQ20" s="179">
        <f>'насел.'!AQ20+пільги!AQ20+субсидії!AQ20+'держ.бюджет'!AQ20+'місц.-районн.бюджет'!AQ20+областной!AQ20+інші!AQ20</f>
        <v>256.2</v>
      </c>
      <c r="AR20" s="179">
        <f>'насел.'!AR20+пільги!AR20+субсидії!AR20+'держ.бюджет'!AR20+'місц.-районн.бюджет'!AR20+областной!AR20+інші!AR20</f>
        <v>251</v>
      </c>
      <c r="AS20" s="18">
        <f>'насел.'!AS20+пільги!AS20+субсидії!AS20+'держ.бюджет'!AS20+'місц.-районн.бюджет'!AS20+областной!AS20+інші!AS20</f>
        <v>2750.9999999999995</v>
      </c>
      <c r="AT20" s="18">
        <f>'насел.'!AT20+пільги!AT20+субсидії!AT20+'держ.бюджет'!AT20+'місц.-районн.бюджет'!AT20+областной!AT20+інші!AT20</f>
        <v>2786.7</v>
      </c>
      <c r="AU20" s="180">
        <f t="shared" si="3"/>
        <v>101.29770992366414</v>
      </c>
      <c r="AV20" s="179">
        <f>'насел.'!AV20+пільги!AV20+субсидії!AV20+'держ.бюджет'!AV20+'місц.-районн.бюджет'!AV20+областной!AV20+інші!AV20</f>
        <v>-35.7000000000001</v>
      </c>
      <c r="AW20" s="179">
        <f>'насел.'!AW20+пільги!AW20+субсидії!AW20+'держ.бюджет'!AW20+'місц.-районн.бюджет'!AW20+областной!AW20+інші!AW20</f>
        <v>462.49999999999983</v>
      </c>
      <c r="AX20" s="42">
        <f t="shared" si="12"/>
        <v>2751</v>
      </c>
      <c r="AY20" s="42">
        <f t="shared" si="13"/>
        <v>2786.7000000000003</v>
      </c>
      <c r="AZ20" s="42">
        <f t="shared" si="14"/>
        <v>-35.70000000000027</v>
      </c>
      <c r="BA20" s="42">
        <f t="shared" si="15"/>
        <v>462.49999999999955</v>
      </c>
    </row>
    <row r="21" spans="1:53" s="51" customFormat="1" ht="27" customHeight="1">
      <c r="A21" s="13" t="s">
        <v>25</v>
      </c>
      <c r="B21" s="50" t="s">
        <v>102</v>
      </c>
      <c r="C21" s="18">
        <f>'насел.'!C21+пільги!C21+субсидії!C21+'держ.бюджет'!C21+'місц.-районн.бюджет'!C21+областной!C21+інші!C21</f>
        <v>36.8</v>
      </c>
      <c r="D21" s="18">
        <f>'насел.'!D21+пільги!D21+субсидії!D21+'держ.бюджет'!D21+'місц.-районн.бюджет'!D21+областной!D21+інші!D21</f>
        <v>45.400000000000006</v>
      </c>
      <c r="E21" s="18">
        <f>'насел.'!E21+пільги!E21+субсидії!E21+'держ.бюджет'!E21+'місц.-районн.бюджет'!E21+областной!E21+інші!E21</f>
        <v>12.3</v>
      </c>
      <c r="F21" s="11">
        <f t="shared" si="0"/>
        <v>27.09251101321586</v>
      </c>
      <c r="G21" s="18">
        <f>'насел.'!G21+пільги!G21+субсидії!G21+'держ.бюджет'!G21+'місц.-районн.бюджет'!G21+областной!G21+інші!G21</f>
        <v>37.300000000000004</v>
      </c>
      <c r="H21" s="18">
        <f>'насел.'!H21+пільги!H21+субсидії!H21+'держ.бюджет'!H21+'місц.-районн.бюджет'!H21+областной!H21+інші!H21</f>
        <v>60.300000000000004</v>
      </c>
      <c r="I21" s="11">
        <f t="shared" si="4"/>
        <v>161.6621983914209</v>
      </c>
      <c r="J21" s="18">
        <f>'насел.'!J21+пільги!J21+субсидії!J21+'держ.бюджет'!J21+'місц.-районн.бюджет'!J21+областной!J21+інші!J21</f>
        <v>34.5</v>
      </c>
      <c r="K21" s="18">
        <f>'насел.'!K21+пільги!K21+субсидії!K21+'держ.бюджет'!K21+'місц.-районн.бюджет'!K21+областной!K21+інші!K21</f>
        <v>34.4</v>
      </c>
      <c r="L21" s="11">
        <f t="shared" si="1"/>
        <v>99.71014492753622</v>
      </c>
      <c r="M21" s="11">
        <f>'насел.'!M21+пільги!M21+субсидії!M21+'держ.бюджет'!M21+'місц.-районн.бюджет'!M21+областной!M21+інші!M21</f>
        <v>117.2</v>
      </c>
      <c r="N21" s="11">
        <f>'насел.'!N21+пільги!N21+субсидії!N21+'держ.бюджет'!N21+'місц.-районн.бюджет'!N21+областной!N21+інші!N21</f>
        <v>106.99999999999999</v>
      </c>
      <c r="O21" s="11">
        <f t="shared" si="5"/>
        <v>91.29692832764503</v>
      </c>
      <c r="P21" s="18">
        <f>'насел.'!P21+пільги!P21+субсидії!P21+'держ.бюджет'!P21+'місц.-районн.бюджет'!P21+областной!P21+інші!P21</f>
        <v>28.9</v>
      </c>
      <c r="Q21" s="18">
        <f>'насел.'!Q21+пільги!Q21+субсидії!Q21+'держ.бюджет'!Q21+'місц.-районн.бюджет'!Q21+областной!Q21+інші!Q21</f>
        <v>23</v>
      </c>
      <c r="R21" s="11">
        <f t="shared" si="6"/>
        <v>79.5847750865052</v>
      </c>
      <c r="S21" s="18">
        <f>'насел.'!S21+пільги!S21+субсидії!S21+'держ.бюджет'!S21+'місц.-районн.бюджет'!S21+областной!S21+інші!S21</f>
        <v>13.000000000000002</v>
      </c>
      <c r="T21" s="18">
        <f>'насел.'!T21+пільги!T21+субсидії!T21+'держ.бюджет'!T21+'місц.-районн.бюджет'!T21+областной!T21+інші!T21</f>
        <v>25.200000000000003</v>
      </c>
      <c r="U21" s="11">
        <f t="shared" si="7"/>
        <v>193.84615384615384</v>
      </c>
      <c r="V21" s="18">
        <f>'насел.'!V21+пільги!V21+субсидії!V21+'держ.бюджет'!V21+'місц.-районн.бюджет'!V21+областной!V21+інші!V21</f>
        <v>27.4</v>
      </c>
      <c r="W21" s="18">
        <f>'насел.'!W21+пільги!W21+субсидії!W21+'держ.бюджет'!W21+'місц.-районн.бюджет'!W21+областной!W21+інші!W21</f>
        <v>40.599999999999994</v>
      </c>
      <c r="X21" s="11">
        <f t="shared" si="8"/>
        <v>148.17518248175182</v>
      </c>
      <c r="Y21" s="18">
        <f>'насел.'!Y21+пільги!Y21+субсидії!Y21+'держ.бюджет'!Y21+'місц.-районн.бюджет'!Y21+областной!Y21+інші!Y21</f>
        <v>69.3</v>
      </c>
      <c r="Z21" s="18">
        <f>'насел.'!Z21+пільги!Z21+субсидії!Z21+'держ.бюджет'!Z21+'місц.-районн.бюджет'!Z21+областной!Z21+інші!Z21</f>
        <v>88.8</v>
      </c>
      <c r="AA21" s="11">
        <f t="shared" si="2"/>
        <v>128.13852813852813</v>
      </c>
      <c r="AB21" s="18">
        <f>'насел.'!AB21+пільги!AB21+субсидії!AB21+'держ.бюджет'!AB21+'місц.-районн.бюджет'!AB21+областной!AB21+інші!AB21</f>
        <v>31.6</v>
      </c>
      <c r="AC21" s="18">
        <f>'насел.'!AC21+пільги!AC21+субсидії!AC21+'держ.бюджет'!AC21+'місц.-районн.бюджет'!AC21+областной!AC21+інші!AC21</f>
        <v>24.400000000000002</v>
      </c>
      <c r="AD21" s="11">
        <f t="shared" si="9"/>
        <v>77.21518987341773</v>
      </c>
      <c r="AE21" s="18">
        <f>'насел.'!AE21+пільги!AE21+субсидії!AE21+'держ.бюджет'!AE21+'місц.-районн.бюджет'!AE21+областной!AE21+інші!AE21</f>
        <v>29.499999999999996</v>
      </c>
      <c r="AF21" s="18">
        <f>'насел.'!AF21+пільги!AF21+субсидії!AF21+'держ.бюджет'!AF21+'місц.-районн.бюджет'!AF21+областной!AF21+інші!AF21</f>
        <v>31.2</v>
      </c>
      <c r="AG21" s="11">
        <f t="shared" si="10"/>
        <v>105.7627118644068</v>
      </c>
      <c r="AH21" s="18">
        <f>'насел.'!AH21+пільги!AH21+субсидії!AH21+'держ.бюджет'!AH21+'місц.-районн.бюджет'!AH21+областной!AH21+інші!AH21</f>
        <v>30.8</v>
      </c>
      <c r="AI21" s="18">
        <f>'насел.'!AI21+пільги!AI21+субсидії!AI21+'держ.бюджет'!AI21+'місц.-районн.бюджет'!AI21+областной!AI21+інші!AI21</f>
        <v>22.500000000000004</v>
      </c>
      <c r="AJ21" s="18">
        <f>'насел.'!AJ21+пільги!AJ21+субсидії!AJ21+'держ.бюджет'!AJ21+'місц.-районн.бюджет'!AJ21+областной!AJ21+інші!AJ21</f>
        <v>91.9</v>
      </c>
      <c r="AK21" s="18">
        <f>'насел.'!AK21+пільги!AK21+субсидії!AK21+'держ.бюджет'!AK21+'місц.-районн.бюджет'!AK21+областной!AK21+інші!AK21</f>
        <v>78.1</v>
      </c>
      <c r="AL21" s="18">
        <f t="shared" si="11"/>
        <v>84.98367791077257</v>
      </c>
      <c r="AM21" s="18">
        <f>'насел.'!AM21+пільги!AM21+субсидії!AM21+'держ.бюджет'!AM21+'місц.-районн.бюджет'!AM21+областной!AM21+інші!AM21</f>
        <v>35.5</v>
      </c>
      <c r="AN21" s="18">
        <f>'насел.'!AN21+пільги!AN21+субсидії!AN21+'держ.бюджет'!AN21+'місц.-районн.бюджет'!AN21+областной!AN21+інші!AN21</f>
        <v>27.099999999999994</v>
      </c>
      <c r="AO21" s="18">
        <f>'насел.'!AO21+пільги!AO21+субсидії!AO21+'держ.бюджет'!AO21+'місц.-районн.бюджет'!AO21+областной!AO21+інші!AO21</f>
        <v>52.2</v>
      </c>
      <c r="AP21" s="18">
        <f>'насел.'!AP21+пільги!AP21+субсидії!AP21+'держ.бюджет'!AP21+'місц.-районн.бюджет'!AP21+областной!AP21+інші!AP21</f>
        <v>34.800000000000004</v>
      </c>
      <c r="AQ21" s="18">
        <f>'насел.'!AQ21+пільги!AQ21+субсидії!AQ21+'держ.бюджет'!AQ21+'місц.-районн.бюджет'!AQ21+областной!AQ21+інші!AQ21</f>
        <v>59.6</v>
      </c>
      <c r="AR21" s="18">
        <f>'насел.'!AR21+пільги!AR21+субсидії!AR21+'держ.бюджет'!AR21+'місц.-районн.бюджет'!AR21+областной!AR21+інші!AR21</f>
        <v>61.1</v>
      </c>
      <c r="AS21" s="18">
        <f>'насел.'!AS21+пільги!AS21+субсидії!AS21+'держ.бюджет'!AS21+'місц.-районн.бюджет'!AS21+областной!AS21+інші!AS21</f>
        <v>425.7</v>
      </c>
      <c r="AT21" s="18">
        <f>'насел.'!AT21+пільги!AT21+субсидії!AT21+'держ.бюджет'!AT21+'місц.-районн.бюджет'!AT21+областной!AT21+інші!AT21</f>
        <v>396.8999999999999</v>
      </c>
      <c r="AU21" s="11">
        <f t="shared" si="3"/>
        <v>93.23467230443973</v>
      </c>
      <c r="AV21" s="18">
        <f>'насел.'!AV21+пільги!AV21+субсидії!AV21+'держ.бюджет'!AV21+'місц.-районн.бюджет'!AV21+областной!AV21+інші!AV21</f>
        <v>28.800000000000043</v>
      </c>
      <c r="AW21" s="18">
        <f>'насел.'!AW21+пільги!AW21+субсидії!AW21+'держ.бюджет'!AW21+'місц.-районн.бюджет'!AW21+областной!AW21+інші!AW21</f>
        <v>65.60000000000004</v>
      </c>
      <c r="AX21" s="42">
        <f t="shared" si="12"/>
        <v>425.7</v>
      </c>
      <c r="AY21" s="42">
        <f t="shared" si="13"/>
        <v>396.90000000000003</v>
      </c>
      <c r="AZ21" s="42">
        <f t="shared" si="14"/>
        <v>28.799999999999955</v>
      </c>
      <c r="BA21" s="42">
        <f t="shared" si="15"/>
        <v>65.59999999999997</v>
      </c>
    </row>
    <row r="22" spans="1:53" ht="27" customHeight="1">
      <c r="A22" s="13" t="s">
        <v>26</v>
      </c>
      <c r="B22" s="15" t="s">
        <v>103</v>
      </c>
      <c r="C22" s="18">
        <f>'насел.'!C22+пільги!C22+субсидії!C22+'держ.бюджет'!C22+'місц.-районн.бюджет'!C22+областной!C22+інші!C22</f>
        <v>542.5</v>
      </c>
      <c r="D22" s="18">
        <f>'насел.'!D22+пільги!D22+субсидії!D22+'держ.бюджет'!D22+'місц.-районн.бюджет'!D22+областной!D22+інші!D22</f>
        <v>224.39999999999998</v>
      </c>
      <c r="E22" s="18">
        <f>'насел.'!E22+пільги!E22+субсидії!E22+'держ.бюджет'!E22+'місц.-районн.бюджет'!E22+областной!E22+інші!E22</f>
        <v>111.7</v>
      </c>
      <c r="F22" s="11">
        <f t="shared" si="0"/>
        <v>49.77718360071302</v>
      </c>
      <c r="G22" s="18">
        <f>'насел.'!G22+пільги!G22+субсидії!G22+'держ.бюджет'!G22+'місц.-районн.бюджет'!G22+областной!G22+інші!G22</f>
        <v>197.60000000000002</v>
      </c>
      <c r="H22" s="18">
        <f>'насел.'!H22+пільги!H22+субсидії!H22+'держ.бюджет'!H22+'місц.-районн.бюджет'!H22+областной!H22+інші!H22</f>
        <v>613.5</v>
      </c>
      <c r="I22" s="11">
        <f t="shared" si="4"/>
        <v>310.47570850202425</v>
      </c>
      <c r="J22" s="18">
        <f>'насел.'!J22+пільги!J22+субсидії!J22+'держ.бюджет'!J22+'місц.-районн.бюджет'!J22+областной!J22+інші!J22</f>
        <v>250.7</v>
      </c>
      <c r="K22" s="18">
        <f>'насел.'!K22+пільги!K22+субсидії!K22+'держ.бюджет'!K22+'місц.-районн.бюджет'!K22+областной!K22+інші!K22</f>
        <v>114</v>
      </c>
      <c r="L22" s="11">
        <f t="shared" si="1"/>
        <v>45.47267650578381</v>
      </c>
      <c r="M22" s="11">
        <f>'насел.'!M22+пільги!M22+субсидії!M22+'держ.бюджет'!M22+'місц.-районн.бюджет'!M22+областной!M22+інші!M22</f>
        <v>672.7</v>
      </c>
      <c r="N22" s="11">
        <f>'насел.'!N22+пільги!N22+субсидії!N22+'держ.бюджет'!N22+'місц.-районн.бюджет'!N22+областной!N22+інші!N22</f>
        <v>839.1999999999999</v>
      </c>
      <c r="O22" s="11">
        <f t="shared" si="5"/>
        <v>124.75100341905751</v>
      </c>
      <c r="P22" s="18">
        <f>'насел.'!P22+пільги!P22+субсидії!P22+'держ.бюджет'!P22+'місц.-районн.бюджет'!P22+областной!P22+інші!P22</f>
        <v>159.8</v>
      </c>
      <c r="Q22" s="18">
        <f>'насел.'!Q22+пільги!Q22+субсидії!Q22+'держ.бюджет'!Q22+'місц.-районн.бюджет'!Q22+областной!Q22+інші!Q22</f>
        <v>225.49999999999997</v>
      </c>
      <c r="R22" s="11">
        <f t="shared" si="6"/>
        <v>141.1138923654568</v>
      </c>
      <c r="S22" s="18">
        <f>'насел.'!S22+пільги!S22+субсидії!S22+'держ.бюджет'!S22+'місц.-районн.бюджет'!S22+областной!S22+інші!S22</f>
        <v>-94.59999999999998</v>
      </c>
      <c r="T22" s="18">
        <f>'насел.'!T22+пільги!T22+субсидії!T22+'держ.бюджет'!T22+'місц.-районн.бюджет'!T22+областной!T22+інші!T22</f>
        <v>263.5</v>
      </c>
      <c r="U22" s="11">
        <f t="shared" si="7"/>
        <v>-278.5412262156449</v>
      </c>
      <c r="V22" s="18">
        <f>'насел.'!V22+пільги!V22+субсидії!V22+'держ.бюджет'!V22+'місц.-районн.бюджет'!V22+областной!V22+інші!V22</f>
        <v>136.2</v>
      </c>
      <c r="W22" s="18">
        <f>'насел.'!W22+пільги!W22+субсидії!W22+'держ.бюджет'!W22+'місц.-районн.бюджет'!W22+областной!W22+інші!W22</f>
        <v>132.4</v>
      </c>
      <c r="X22" s="11">
        <f t="shared" si="8"/>
        <v>97.2099853157122</v>
      </c>
      <c r="Y22" s="18">
        <f>'насел.'!Y22+пільги!Y22+субсидії!Y22+'держ.бюджет'!Y22+'місц.-районн.бюджет'!Y22+областной!Y22+інші!Y22</f>
        <v>201.40000000000003</v>
      </c>
      <c r="Z22" s="18">
        <f>'насел.'!Z22+пільги!Z22+субсидії!Z22+'держ.бюджет'!Z22+'місц.-районн.бюджет'!Z22+областной!Z22+інші!Z22</f>
        <v>621.4</v>
      </c>
      <c r="AA22" s="11">
        <f t="shared" si="2"/>
        <v>308.540218470705</v>
      </c>
      <c r="AB22" s="18">
        <f>'насел.'!AB22+пільги!AB22+субсидії!AB22+'держ.бюджет'!AB22+'місц.-районн.бюджет'!AB22+областной!AB22+інші!AB22</f>
        <v>126.2</v>
      </c>
      <c r="AC22" s="18">
        <f>'насел.'!AC22+пільги!AC22+субсидії!AC22+'держ.бюджет'!AC22+'місц.-районн.бюджет'!AC22+областной!AC22+інші!AC22</f>
        <v>208.8</v>
      </c>
      <c r="AD22" s="11">
        <f t="shared" si="9"/>
        <v>165.4516640253566</v>
      </c>
      <c r="AE22" s="18">
        <f>'насел.'!AE22+пільги!AE22+субсидії!AE22+'держ.бюджет'!AE22+'місц.-районн.бюджет'!AE22+областной!AE22+інші!AE22</f>
        <v>162.3</v>
      </c>
      <c r="AF22" s="18">
        <f>'насел.'!AF22+пільги!AF22+субсидії!AF22+'держ.бюджет'!AF22+'місц.-районн.бюджет'!AF22+областной!AF22+інші!AF22</f>
        <v>184</v>
      </c>
      <c r="AG22" s="11">
        <f t="shared" si="10"/>
        <v>113.37030191004311</v>
      </c>
      <c r="AH22" s="18">
        <f>'насел.'!AH22+пільги!AH22+субсидії!AH22+'держ.бюджет'!AH22+'місц.-районн.бюджет'!AH22+областной!AH22+інші!AH22</f>
        <v>236.5</v>
      </c>
      <c r="AI22" s="18">
        <f>'насел.'!AI22+пільги!AI22+субсидії!AI22+'держ.бюджет'!AI22+'місц.-районн.бюджет'!AI22+областной!AI22+інші!AI22</f>
        <v>253.99999999999997</v>
      </c>
      <c r="AJ22" s="18">
        <f>'насел.'!AJ22+пільги!AJ22+субсидії!AJ22+'держ.бюджет'!AJ22+'місц.-районн.бюджет'!AJ22+областной!AJ22+інші!AJ22</f>
        <v>525</v>
      </c>
      <c r="AK22" s="18">
        <f>'насел.'!AK22+пільги!AK22+субсидії!AK22+'держ.бюджет'!AK22+'місц.-районн.бюджет'!AK22+областной!AK22+інші!AK22</f>
        <v>646.8</v>
      </c>
      <c r="AL22" s="18">
        <f t="shared" si="11"/>
        <v>123.2</v>
      </c>
      <c r="AM22" s="18">
        <f>'насел.'!AM22+пільги!AM22+субсидії!AM22+'держ.бюджет'!AM22+'місц.-районн.бюджет'!AM22+областной!AM22+інші!AM22</f>
        <v>200.10000000000002</v>
      </c>
      <c r="AN22" s="18">
        <f>'насел.'!AN22+пільги!AN22+субсидії!AN22+'держ.бюджет'!AN22+'місц.-районн.бюджет'!AN22+областной!AN22+інші!AN22</f>
        <v>233.8</v>
      </c>
      <c r="AO22" s="18">
        <f>'насел.'!AO22+пільги!AO22+субсидії!AO22+'держ.бюджет'!AO22+'місц.-районн.бюджет'!AO22+областной!AO22+інші!AO22</f>
        <v>228.29999999999998</v>
      </c>
      <c r="AP22" s="18">
        <f>'насел.'!AP22+пільги!AP22+субсидії!AP22+'держ.бюджет'!AP22+'місц.-районн.бюджет'!AP22+областной!AP22+інші!AP22</f>
        <v>267.8</v>
      </c>
      <c r="AQ22" s="18">
        <f>'насел.'!AQ22+пільги!AQ22+субсидії!AQ22+'держ.бюджет'!AQ22+'місц.-районн.бюджет'!AQ22+областной!AQ22+інші!AQ22</f>
        <v>256.7</v>
      </c>
      <c r="AR22" s="18">
        <f>'насел.'!AR22+пільги!AR22+субсидії!AR22+'держ.бюджет'!AR22+'місц.-районн.бюджет'!AR22+областной!AR22+інші!AR22</f>
        <v>254.29999999999995</v>
      </c>
      <c r="AS22" s="18">
        <f>'насел.'!AS22+пільги!AS22+субсидії!AS22+'держ.бюджет'!AS22+'місц.-районн.бюджет'!AS22+областной!AS22+інші!AS22</f>
        <v>2084.2000000000003</v>
      </c>
      <c r="AT22" s="18">
        <f>'насел.'!AT22+пільги!AT22+субсидії!AT22+'держ.бюджет'!AT22+'місц.-районн.бюджет'!AT22+областной!AT22+інші!AT22</f>
        <v>2863.3</v>
      </c>
      <c r="AU22" s="11">
        <f t="shared" si="3"/>
        <v>137.3812494002495</v>
      </c>
      <c r="AV22" s="18">
        <f>'насел.'!AV22+пільги!AV22+субсидії!AV22+'держ.бюджет'!AV22+'місц.-районн.бюджет'!AV22+областной!AV22+інші!AV22</f>
        <v>-779.0999999999998</v>
      </c>
      <c r="AW22" s="18">
        <f>'насел.'!AW22+пільги!AW22+субсидії!AW22+'держ.бюджет'!AW22+'місц.-районн.бюджет'!AW22+областной!AW22+інші!AW22</f>
        <v>-236.5999999999999</v>
      </c>
      <c r="AX22" s="42">
        <f t="shared" si="12"/>
        <v>2084.2000000000003</v>
      </c>
      <c r="AY22" s="42">
        <f t="shared" si="13"/>
        <v>2863.3</v>
      </c>
      <c r="AZ22" s="42">
        <f t="shared" si="14"/>
        <v>-779.0999999999999</v>
      </c>
      <c r="BA22" s="42">
        <f t="shared" si="15"/>
        <v>-236.5999999999999</v>
      </c>
    </row>
    <row r="23" spans="1:53" ht="25.5" customHeight="1">
      <c r="A23" s="13" t="s">
        <v>27</v>
      </c>
      <c r="B23" s="15" t="s">
        <v>124</v>
      </c>
      <c r="C23" s="18">
        <f>'насел.'!C23+пільги!C23+субсидії!C23+'держ.бюджет'!C23+'місц.-районн.бюджет'!C23+областной!C23+інші!C23</f>
        <v>0</v>
      </c>
      <c r="D23" s="18">
        <f>'насел.'!D23+пільги!D23+субсидії!D23+'держ.бюджет'!D23+'місц.-районн.бюджет'!D23+областной!D23+інші!D23</f>
        <v>38.3</v>
      </c>
      <c r="E23" s="18">
        <f>'насел.'!E23+пільги!E23+субсидії!E23+'держ.бюджет'!E23+'місц.-районн.бюджет'!E23+областной!E23+інші!E23</f>
        <v>16.2</v>
      </c>
      <c r="F23" s="11">
        <f t="shared" si="0"/>
        <v>42.297650130548305</v>
      </c>
      <c r="G23" s="18">
        <f>'насел.'!G23+пільги!G23+субсидії!G23+'держ.бюджет'!G23+'місц.-районн.бюджет'!G23+областной!G23+інші!G23</f>
        <v>39</v>
      </c>
      <c r="H23" s="18">
        <f>'насел.'!H23+пільги!H23+субсидії!H23+'держ.бюджет'!H23+'місц.-районн.бюджет'!H23+областной!H23+інші!H23</f>
        <v>96.8</v>
      </c>
      <c r="I23" s="11">
        <f t="shared" si="4"/>
        <v>248.2051282051282</v>
      </c>
      <c r="J23" s="18">
        <f>'насел.'!J23+пільги!J23+субсидії!J23+'держ.бюджет'!J23+'місц.-районн.бюджет'!J23+областной!J23+інші!J23</f>
        <v>37.5</v>
      </c>
      <c r="K23" s="18">
        <f>'насел.'!K23+пільги!K23+субсидії!K23+'держ.бюджет'!K23+'місц.-районн.бюджет'!K23+областной!K23+інші!K23</f>
        <v>19.200000000000003</v>
      </c>
      <c r="L23" s="11">
        <f t="shared" si="1"/>
        <v>51.20000000000001</v>
      </c>
      <c r="M23" s="11">
        <f>'насел.'!M23+пільги!M23+субсидії!M23+'держ.бюджет'!M23+'місц.-районн.бюджет'!M23+областной!M23+інші!M23</f>
        <v>114.80000000000001</v>
      </c>
      <c r="N23" s="11">
        <f>'насел.'!N23+пільги!N23+субсидії!N23+'держ.бюджет'!N23+'місц.-районн.бюджет'!N23+областной!N23+інші!N23</f>
        <v>132.2</v>
      </c>
      <c r="O23" s="11">
        <f t="shared" si="5"/>
        <v>115.15679442508709</v>
      </c>
      <c r="P23" s="18">
        <f>'насел.'!P23+пільги!P23+субсидії!P23+'держ.бюджет'!P23+'місц.-районн.бюджет'!P23+областной!P23+інші!P23</f>
        <v>38.400000000000006</v>
      </c>
      <c r="Q23" s="18">
        <f>'насел.'!Q23+пільги!Q23+субсидії!Q23+'держ.бюджет'!Q23+'місц.-районн.бюджет'!Q23+областной!Q23+інші!Q23</f>
        <v>33.699999999999996</v>
      </c>
      <c r="R23" s="11">
        <f t="shared" si="6"/>
        <v>87.76041666666664</v>
      </c>
      <c r="S23" s="18">
        <f>'насел.'!S23+пільги!S23+субсидії!S23+'держ.бюджет'!S23+'місц.-районн.бюджет'!S23+областной!S23+інші!S23</f>
        <v>34.1</v>
      </c>
      <c r="T23" s="18">
        <f>'насел.'!T23+пільги!T23+субсидії!T23+'держ.бюджет'!T23+'місц.-районн.бюджет'!T23+областной!T23+інші!T23</f>
        <v>57.699999999999996</v>
      </c>
      <c r="U23" s="11">
        <f t="shared" si="7"/>
        <v>169.208211143695</v>
      </c>
      <c r="V23" s="18">
        <f>'насел.'!V23+пільги!V23+субсидії!V23+'держ.бюджет'!V23+'місц.-районн.бюджет'!V23+областной!V23+інші!V23</f>
        <v>35.8</v>
      </c>
      <c r="W23" s="18">
        <f>'насел.'!W23+пільги!W23+субсидії!W23+'держ.бюджет'!W23+'місц.-районн.бюджет'!W23+областной!W23+інші!W23</f>
        <v>39.7</v>
      </c>
      <c r="X23" s="11">
        <f t="shared" si="8"/>
        <v>110.89385474860336</v>
      </c>
      <c r="Y23" s="18">
        <f>'насел.'!Y23+пільги!Y23+субсидії!Y23+'держ.бюджет'!Y23+'місц.-районн.бюджет'!Y23+областной!Y23+інші!Y23</f>
        <v>108.3</v>
      </c>
      <c r="Z23" s="18">
        <f>'насел.'!Z23+пільги!Z23+субсидії!Z23+'держ.бюджет'!Z23+'місц.-районн.бюджет'!Z23+областной!Z23+інші!Z23</f>
        <v>131.1</v>
      </c>
      <c r="AA23" s="11">
        <f t="shared" si="2"/>
        <v>121.05263157894737</v>
      </c>
      <c r="AB23" s="18">
        <f>'насел.'!AB23+пільги!AB23+субсидії!AB23+'держ.бюджет'!AB23+'місц.-районн.бюджет'!AB23+областной!AB23+інші!AB23</f>
        <v>33.8</v>
      </c>
      <c r="AC23" s="18">
        <f>'насел.'!AC23+пільги!AC23+субсидії!AC23+'держ.бюджет'!AC23+'місц.-районн.бюджет'!AC23+областной!AC23+інші!AC23</f>
        <v>30.400000000000002</v>
      </c>
      <c r="AD23" s="11">
        <f t="shared" si="9"/>
        <v>89.94082840236688</v>
      </c>
      <c r="AE23" s="18">
        <f>'насел.'!AE23+пільги!AE23+субсидії!AE23+'держ.бюджет'!AE23+'місц.-районн.бюджет'!AE23+областной!AE23+інші!AE23</f>
        <v>37</v>
      </c>
      <c r="AF23" s="18">
        <f>'насел.'!AF23+пільги!AF23+субсидії!AF23+'держ.бюджет'!AF23+'місц.-районн.бюджет'!AF23+областной!AF23+інші!AF23</f>
        <v>34</v>
      </c>
      <c r="AG23" s="11">
        <f t="shared" si="10"/>
        <v>91.8918918918919</v>
      </c>
      <c r="AH23" s="18">
        <f>'насел.'!AH23+пільги!AH23+субсидії!AH23+'держ.бюджет'!AH23+'місц.-районн.бюджет'!AH23+областной!AH23+інші!AH23</f>
        <v>36.5</v>
      </c>
      <c r="AI23" s="18">
        <f>'насел.'!AI23+пільги!AI23+субсидії!AI23+'держ.бюджет'!AI23+'місц.-районн.бюджет'!AI23+областной!AI23+інші!AI23</f>
        <v>27.5</v>
      </c>
      <c r="AJ23" s="18">
        <f>'насел.'!AJ23+пільги!AJ23+субсидії!AJ23+'держ.бюджет'!AJ23+'місц.-районн.бюджет'!AJ23+областной!AJ23+інші!AJ23</f>
        <v>107.3</v>
      </c>
      <c r="AK23" s="18">
        <f>'насел.'!AK23+пільги!AK23+субсидії!AK23+'держ.бюджет'!AK23+'місц.-районн.бюджет'!AK23+областной!AK23+інші!AK23</f>
        <v>91.9</v>
      </c>
      <c r="AL23" s="18">
        <f t="shared" si="11"/>
        <v>85.64771668219944</v>
      </c>
      <c r="AM23" s="18">
        <f>'насел.'!AM23+пільги!AM23+субсидії!AM23+'держ.бюджет'!AM23+'місц.-районн.бюджет'!AM23+областной!AM23+інші!AM23</f>
        <v>35</v>
      </c>
      <c r="AN23" s="18">
        <f>'насел.'!AN23+пільги!AN23+субсидії!AN23+'держ.бюджет'!AN23+'місц.-районн.бюджет'!AN23+областной!AN23+інші!AN23</f>
        <v>35.6</v>
      </c>
      <c r="AO23" s="18">
        <f>'насел.'!AO23+пільги!AO23+субсидії!AO23+'держ.бюджет'!AO23+'місц.-районн.бюджет'!AO23+областной!AO23+інші!AO23</f>
        <v>35</v>
      </c>
      <c r="AP23" s="18">
        <f>'насел.'!AP23+пільги!AP23+субсидії!AP23+'держ.бюджет'!AP23+'місц.-районн.бюджет'!AP23+областной!AP23+інші!AP23</f>
        <v>34.7</v>
      </c>
      <c r="AQ23" s="18">
        <f>'насел.'!AQ23+пільги!AQ23+субсидії!AQ23+'держ.бюджет'!AQ23+'місц.-районн.бюджет'!AQ23+областной!AQ23+інші!AQ23</f>
        <v>35.4</v>
      </c>
      <c r="AR23" s="18">
        <f>'насел.'!AR23+пільги!AR23+субсидії!AR23+'держ.бюджет'!AR23+'місц.-районн.бюджет'!AR23+областной!AR23+інші!AR23</f>
        <v>36.3</v>
      </c>
      <c r="AS23" s="18">
        <f>'насел.'!AS23+пільги!AS23+субсидії!AS23+'держ.бюджет'!AS23+'місц.-районн.бюджет'!AS23+областной!AS23+інші!AS23</f>
        <v>435.80000000000007</v>
      </c>
      <c r="AT23" s="18">
        <f>'насел.'!AT23+пільги!AT23+субсидії!AT23+'держ.бюджет'!AT23+'місц.-районн.бюджет'!AT23+областной!AT23+інші!AT23</f>
        <v>461.80000000000007</v>
      </c>
      <c r="AU23" s="11">
        <f t="shared" si="3"/>
        <v>105.96603946764571</v>
      </c>
      <c r="AV23" s="18">
        <f>'насел.'!AV23+пільги!AV23+субсидії!AV23+'держ.бюджет'!AV23+'місц.-районн.бюджет'!AV23+областной!AV23+інші!AV23</f>
        <v>-25.999999999999993</v>
      </c>
      <c r="AW23" s="18">
        <f>'насел.'!AW23+пільги!AW23+субсидії!AW23+'держ.бюджет'!AW23+'місц.-районн.бюджет'!AW23+областной!AW23+інші!AW23</f>
        <v>-26.000000000000004</v>
      </c>
      <c r="AX23" s="42">
        <f t="shared" si="12"/>
        <v>435.8</v>
      </c>
      <c r="AY23" s="42">
        <f t="shared" si="13"/>
        <v>461.79999999999995</v>
      </c>
      <c r="AZ23" s="42">
        <f t="shared" si="14"/>
        <v>-25.999999999999943</v>
      </c>
      <c r="BA23" s="42">
        <f t="shared" si="15"/>
        <v>-25.999999999999943</v>
      </c>
    </row>
    <row r="24" spans="1:53" ht="27" customHeight="1">
      <c r="A24" s="13" t="s">
        <v>28</v>
      </c>
      <c r="B24" s="15" t="s">
        <v>104</v>
      </c>
      <c r="C24" s="18">
        <f>'насел.'!C24+пільги!C24+субсидії!C24+'держ.бюджет'!C24+'місц.-районн.бюджет'!C24+областной!C24+інші!C24</f>
        <v>474.30000000000024</v>
      </c>
      <c r="D24" s="18">
        <f>'насел.'!D24+пільги!D24+субсидії!D24+'держ.бюджет'!D24+'місц.-районн.бюджет'!D24+областной!D24+інші!D24</f>
        <v>1626.7</v>
      </c>
      <c r="E24" s="18">
        <f>'насел.'!E24+пільги!E24+субсидії!E24+'держ.бюджет'!E24+'місц.-районн.бюджет'!E24+областной!E24+інші!E24</f>
        <v>861.8000000000001</v>
      </c>
      <c r="F24" s="11">
        <f t="shared" si="0"/>
        <v>52.978422573307924</v>
      </c>
      <c r="G24" s="18">
        <f>'насел.'!G24+пільги!G24+субсидії!G24+'держ.бюджет'!G24+'місц.-районн.бюджет'!G24+областной!G24+інші!G24</f>
        <v>1633.3999999999999</v>
      </c>
      <c r="H24" s="18">
        <f>'насел.'!H24+пільги!H24+субсидії!H24+'держ.бюджет'!H24+'місц.-районн.бюджет'!H24+областной!H24+інші!H24</f>
        <v>3851.3</v>
      </c>
      <c r="I24" s="11">
        <f t="shared" si="4"/>
        <v>235.7842537039305</v>
      </c>
      <c r="J24" s="18">
        <f>'насел.'!J24+пільги!J24+субсидії!J24+'держ.бюджет'!J24+'місц.-районн.бюджет'!J24+областной!J24+інші!J24</f>
        <v>1644</v>
      </c>
      <c r="K24" s="18">
        <f>'насел.'!K24+пільги!K24+субсидії!K24+'держ.бюджет'!K24+'місц.-районн.бюджет'!K24+областной!K24+інші!K24</f>
        <v>920.3</v>
      </c>
      <c r="L24" s="11">
        <f t="shared" si="1"/>
        <v>55.97931873479318</v>
      </c>
      <c r="M24" s="11">
        <f>'насел.'!M24+пільги!M24+субсидії!M24+'держ.бюджет'!M24+'місц.-районн.бюджет'!M24+областной!M24+інші!M24</f>
        <v>4904.099999999999</v>
      </c>
      <c r="N24" s="11">
        <f>'насел.'!N24+пільги!N24+субсидії!N24+'держ.бюджет'!N24+'місц.-районн.бюджет'!N24+областной!N24+інші!N24</f>
        <v>5633.4</v>
      </c>
      <c r="O24" s="11">
        <f t="shared" si="5"/>
        <v>114.87123019514284</v>
      </c>
      <c r="P24" s="18">
        <f>'насел.'!P24+пільги!P24+субсидії!P24+'держ.бюджет'!P24+'місц.-районн.бюджет'!P24+областной!P24+інші!P24</f>
        <v>1671.3</v>
      </c>
      <c r="Q24" s="18">
        <f>'насел.'!Q24+пільги!Q24+субсидії!Q24+'держ.бюджет'!Q24+'місц.-районн.бюджет'!Q24+областной!Q24+інші!Q24</f>
        <v>1629.6</v>
      </c>
      <c r="R24" s="11">
        <f t="shared" si="6"/>
        <v>97.50493627714953</v>
      </c>
      <c r="S24" s="18">
        <f>'насел.'!S24+пільги!S24+субсидії!S24+'держ.бюджет'!S24+'місц.-районн.бюджет'!S24+областной!S24+інші!S24</f>
        <v>1688.1999999999998</v>
      </c>
      <c r="T24" s="18">
        <f>'насел.'!T24+пільги!T24+субсидії!T24+'держ.бюджет'!T24+'місц.-районн.бюджет'!T24+областной!T24+інші!T24</f>
        <v>2291</v>
      </c>
      <c r="U24" s="11">
        <f t="shared" si="7"/>
        <v>135.70666982585</v>
      </c>
      <c r="V24" s="18">
        <f>'насел.'!V24+пільги!V24+субсидії!V24+'держ.бюджет'!V24+'місц.-районн.бюджет'!V24+областной!V24+інші!V24</f>
        <v>1678.8</v>
      </c>
      <c r="W24" s="18">
        <f>'насел.'!W24+пільги!W24+субсидії!W24+'держ.бюджет'!W24+'місц.-районн.бюджет'!W24+областной!W24+інші!W24</f>
        <v>1115</v>
      </c>
      <c r="X24" s="11">
        <f t="shared" si="8"/>
        <v>66.4164879675959</v>
      </c>
      <c r="Y24" s="18">
        <f>'насел.'!Y24+пільги!Y24+субсидії!Y24+'держ.бюджет'!Y24+'місц.-районн.бюджет'!Y24+областной!Y24+інші!Y24</f>
        <v>5038.3</v>
      </c>
      <c r="Z24" s="18">
        <f>'насел.'!Z24+пільги!Z24+субсидії!Z24+'держ.бюджет'!Z24+'місц.-районн.бюджет'!Z24+областной!Z24+інші!Z24</f>
        <v>5035.599999999999</v>
      </c>
      <c r="AA24" s="11">
        <f t="shared" si="2"/>
        <v>99.94641049560367</v>
      </c>
      <c r="AB24" s="18">
        <f>'насел.'!AB24+пільги!AB24+субсидії!AB24+'держ.бюджет'!AB24+'місц.-районн.бюджет'!AB24+областной!AB24+інші!AB24</f>
        <v>1645.5</v>
      </c>
      <c r="AC24" s="18">
        <f>'насел.'!AC24+пільги!AC24+субсидії!AC24+'держ.бюджет'!AC24+'місц.-районн.бюджет'!AC24+областной!AC24+інші!AC24</f>
        <v>1235.3000000000002</v>
      </c>
      <c r="AD24" s="11">
        <f t="shared" si="9"/>
        <v>75.07140686721362</v>
      </c>
      <c r="AE24" s="18">
        <f>'насел.'!AE24+пільги!AE24+субсидії!AE24+'держ.бюджет'!AE24+'місц.-районн.бюджет'!AE24+областной!AE24+інші!AE24</f>
        <v>1602.2</v>
      </c>
      <c r="AF24" s="18">
        <f>'насел.'!AF24+пільги!AF24+субсидії!AF24+'держ.бюджет'!AF24+'місц.-районн.бюджет'!AF24+областной!AF24+інші!AF24</f>
        <v>1258.1999999999998</v>
      </c>
      <c r="AG24" s="11">
        <f t="shared" si="10"/>
        <v>78.52952190737734</v>
      </c>
      <c r="AH24" s="18">
        <f>'насел.'!AH24+пільги!AH24+субсидії!AH24+'держ.бюджет'!AH24+'місц.-районн.бюджет'!AH24+областной!AH24+інші!AH24</f>
        <v>1702.9</v>
      </c>
      <c r="AI24" s="18">
        <f>'насел.'!AI24+пільги!AI24+субсидії!AI24+'держ.бюджет'!AI24+'місц.-районн.бюджет'!AI24+областной!AI24+інші!AI24</f>
        <v>1383.2999999999997</v>
      </c>
      <c r="AJ24" s="18">
        <f>'насел.'!AJ24+пільги!AJ24+субсидії!AJ24+'держ.бюджет'!AJ24+'місц.-районн.бюджет'!AJ24+областной!AJ24+інші!AJ24</f>
        <v>4950.600000000001</v>
      </c>
      <c r="AK24" s="18">
        <f>'насел.'!AK24+пільги!AK24+субсидії!AK24+'держ.бюджет'!AK24+'місц.-районн.бюджет'!AK24+областной!AK24+інші!AK24</f>
        <v>3876.8</v>
      </c>
      <c r="AL24" s="18">
        <f t="shared" si="11"/>
        <v>78.3096998343635</v>
      </c>
      <c r="AM24" s="18">
        <f>'насел.'!AM24+пільги!AM24+субсидії!AM24+'держ.бюджет'!AM24+'місц.-районн.бюджет'!AM24+областной!AM24+інші!AM24</f>
        <v>1641.8000000000002</v>
      </c>
      <c r="AN24" s="18">
        <f>'насел.'!AN24+пільги!AN24+субсидії!AN24+'держ.бюджет'!AN24+'місц.-районн.бюджет'!AN24+областной!AN24+інші!AN24</f>
        <v>1595.4</v>
      </c>
      <c r="AO24" s="18">
        <f>'насел.'!AO24+пільги!AO24+субсидії!AO24+'держ.бюджет'!AO24+'місц.-районн.бюджет'!AO24+областной!AO24+інші!AO24</f>
        <v>1627.8</v>
      </c>
      <c r="AP24" s="18">
        <f>'насел.'!AP24+пільги!AP24+субсидії!AP24+'держ.бюджет'!AP24+'місц.-районн.бюджет'!AP24+областной!AP24+інші!AP24</f>
        <v>1605.3</v>
      </c>
      <c r="AQ24" s="18">
        <f>'насел.'!AQ24+пільги!AQ24+субсидії!AQ24+'держ.бюджет'!AQ24+'місц.-районн.бюджет'!AQ24+областной!AQ24+інші!AQ24</f>
        <v>1627.2</v>
      </c>
      <c r="AR24" s="18">
        <f>'насел.'!AR24+пільги!AR24+субсидії!AR24+'держ.бюджет'!AR24+'місц.-районн.бюджет'!AR24+областной!AR24+інші!AR24</f>
        <v>1585.5000000000002</v>
      </c>
      <c r="AS24" s="18">
        <f>'насел.'!AS24+пільги!AS24+субсидії!AS24+'держ.бюджет'!AS24+'місц.-районн.бюджет'!AS24+областной!AS24+інші!AS24</f>
        <v>19789.8</v>
      </c>
      <c r="AT24" s="18">
        <f>'насел.'!AT24+пільги!AT24+субсидії!AT24+'держ.бюджет'!AT24+'місц.-районн.бюджет'!AT24+областной!AT24+інші!AT24</f>
        <v>19332</v>
      </c>
      <c r="AU24" s="11">
        <f t="shared" si="3"/>
        <v>97.68668708122367</v>
      </c>
      <c r="AV24" s="18">
        <f>'насел.'!AV24+пільги!AV24+субсидії!AV24+'держ.бюджет'!AV24+'місц.-районн.бюджет'!AV24+областной!AV24+інші!AV24</f>
        <v>457.7999999999995</v>
      </c>
      <c r="AW24" s="18">
        <f>'насел.'!AW24+пільги!AW24+субсидії!AW24+'держ.бюджет'!AW24+'місц.-районн.бюджет'!AW24+областной!AW24+інші!AW24</f>
        <v>932.0999999999997</v>
      </c>
      <c r="AX24" s="42">
        <f t="shared" si="12"/>
        <v>19789.8</v>
      </c>
      <c r="AY24" s="42">
        <f t="shared" si="13"/>
        <v>19332</v>
      </c>
      <c r="AZ24" s="42">
        <f t="shared" si="14"/>
        <v>457.7999999999993</v>
      </c>
      <c r="BA24" s="42">
        <f t="shared" si="15"/>
        <v>932.0999999999985</v>
      </c>
    </row>
    <row r="25" spans="1:53" ht="27" customHeight="1">
      <c r="A25" s="13" t="s">
        <v>29</v>
      </c>
      <c r="B25" s="41" t="s">
        <v>105</v>
      </c>
      <c r="C25" s="18">
        <f>'насел.'!C25+пільги!C25+субсидії!C25+'держ.бюджет'!C25+'місц.-районн.бюджет'!C25+областной!C25+інші!C25</f>
        <v>-232.80000000000007</v>
      </c>
      <c r="D25" s="18">
        <f>'насел.'!D25+пільги!D25+субсидії!D25+'держ.бюджет'!D25+'місц.-районн.бюджет'!D25+областной!D25+інші!D25</f>
        <v>342.59999999999997</v>
      </c>
      <c r="E25" s="18">
        <f>'насел.'!E25+пільги!E25+субсидії!E25+'держ.бюджет'!E25+'місц.-районн.бюджет'!E25+областной!E25+інші!E25</f>
        <v>117</v>
      </c>
      <c r="F25" s="11">
        <f t="shared" si="0"/>
        <v>34.150612959719794</v>
      </c>
      <c r="G25" s="18">
        <f>'насел.'!G25+пільги!G25+субсидії!G25+'держ.бюджет'!G25+'місц.-районн.бюджет'!G25+областной!G25+інші!G25</f>
        <v>430.59999999999997</v>
      </c>
      <c r="H25" s="18">
        <f>'насел.'!H25+пільги!H25+субсидії!H25+'держ.бюджет'!H25+'місц.-районн.бюджет'!H25+областной!H25+інші!H25</f>
        <v>948.4000000000001</v>
      </c>
      <c r="I25" s="11">
        <f t="shared" si="4"/>
        <v>220.2508128193219</v>
      </c>
      <c r="J25" s="18">
        <f>'насел.'!J25+пільги!J25+субсидії!J25+'держ.бюджет'!J25+'місц.-районн.бюджет'!J25+областной!J25+інші!J25</f>
        <v>331.9</v>
      </c>
      <c r="K25" s="18">
        <f>'насел.'!K25+пільги!K25+субсидії!K25+'держ.бюджет'!K25+'місц.-районн.бюджет'!K25+областной!K25+інші!K25</f>
        <v>175.6</v>
      </c>
      <c r="L25" s="11">
        <f>K25/J25*100</f>
        <v>52.907502259716786</v>
      </c>
      <c r="M25" s="11">
        <f>'насел.'!M25+пільги!M25+субсидії!M25+'держ.бюджет'!M25+'місц.-районн.бюджет'!M25+областной!M25+інші!M25</f>
        <v>1105.1</v>
      </c>
      <c r="N25" s="11">
        <f>'насел.'!N25+пільги!N25+субсидії!N25+'держ.бюджет'!N25+'місц.-районн.бюджет'!N25+областной!N25+інші!N25</f>
        <v>1241</v>
      </c>
      <c r="O25" s="11">
        <f t="shared" si="5"/>
        <v>112.29752963532714</v>
      </c>
      <c r="P25" s="18">
        <f>'насел.'!P25+пільги!P25+субсидії!P25+'держ.бюджет'!P25+'місц.-районн.бюджет'!P25+областной!P25+інші!P25</f>
        <v>340.40000000000003</v>
      </c>
      <c r="Q25" s="18">
        <f>'насел.'!Q25+пільги!Q25+субсидії!Q25+'держ.бюджет'!Q25+'місц.-районн.бюджет'!Q25+областной!Q25+інші!Q25</f>
        <v>248.99999999999997</v>
      </c>
      <c r="R25" s="11">
        <f t="shared" si="6"/>
        <v>73.14923619271444</v>
      </c>
      <c r="S25" s="18">
        <f>'насел.'!S25+пільги!S25+субсидії!S25+'держ.бюджет'!S25+'місц.-районн.бюджет'!S25+областной!S25+інші!S25</f>
        <v>356.3</v>
      </c>
      <c r="T25" s="18">
        <f>'насел.'!T25+пільги!T25+субсидії!T25+'держ.бюджет'!T25+'місц.-районн.бюджет'!T25+областной!T25+інші!T25</f>
        <v>340.9</v>
      </c>
      <c r="U25" s="11">
        <f t="shared" si="7"/>
        <v>95.67779960707267</v>
      </c>
      <c r="V25" s="18">
        <f>'насел.'!V25+пільги!V25+субсидії!V25+'держ.бюджет'!V25+'місц.-районн.бюджет'!V25+областной!V25+інші!V25</f>
        <v>355.29999999999995</v>
      </c>
      <c r="W25" s="18">
        <f>'насел.'!W25+пільги!W25+субсидії!W25+'держ.бюджет'!W25+'місц.-районн.бюджет'!W25+областной!W25+інші!W25</f>
        <v>258.5</v>
      </c>
      <c r="X25" s="11">
        <f t="shared" si="8"/>
        <v>72.75541795665636</v>
      </c>
      <c r="Y25" s="18">
        <f>'насел.'!Y25+пільги!Y25+субсидії!Y25+'держ.бюджет'!Y25+'місц.-районн.бюджет'!Y25+областной!Y25+інші!Y25</f>
        <v>1052</v>
      </c>
      <c r="Z25" s="18">
        <f>'насел.'!Z25+пільги!Z25+субсидії!Z25+'держ.бюджет'!Z25+'місц.-районн.бюджет'!Z25+областной!Z25+інші!Z25</f>
        <v>848.4000000000001</v>
      </c>
      <c r="AA25" s="11">
        <f t="shared" si="2"/>
        <v>80.64638783269963</v>
      </c>
      <c r="AB25" s="18">
        <f>'насел.'!AB25+пільги!AB25+субсидії!AB25+'держ.бюджет'!AB25+'місц.-районн.бюджет'!AB25+областной!AB25+інші!AB25</f>
        <v>350.7</v>
      </c>
      <c r="AC25" s="18">
        <f>'насел.'!AC25+пільги!AC25+субсидії!AC25+'держ.бюджет'!AC25+'місц.-районн.бюджет'!AC25+областной!AC25+інші!AC25</f>
        <v>278.4</v>
      </c>
      <c r="AD25" s="11">
        <f t="shared" si="9"/>
        <v>79.38408896492729</v>
      </c>
      <c r="AE25" s="18">
        <f>'насел.'!AE25+пільги!AE25+субсидії!AE25+'держ.бюджет'!AE25+'місц.-районн.бюджет'!AE25+областной!AE25+інші!AE25</f>
        <v>359.9</v>
      </c>
      <c r="AF25" s="18">
        <f>'насел.'!AF25+пільги!AF25+субсидії!AF25+'держ.бюджет'!AF25+'місц.-районн.бюджет'!AF25+областной!AF25+інші!AF25</f>
        <v>259.90000000000003</v>
      </c>
      <c r="AG25" s="11">
        <f t="shared" si="10"/>
        <v>72.21450402889693</v>
      </c>
      <c r="AH25" s="18">
        <f>'насел.'!AH25+пільги!AH25+субсидії!AH25+'держ.бюджет'!AH25+'місц.-районн.бюджет'!AH25+областной!AH25+інші!AH25</f>
        <v>344.40000000000003</v>
      </c>
      <c r="AI25" s="18">
        <f>'насел.'!AI25+пільги!AI25+субсидії!AI25+'держ.бюджет'!AI25+'місц.-районн.бюджет'!AI25+областной!AI25+інші!AI25</f>
        <v>250.7</v>
      </c>
      <c r="AJ25" s="18">
        <f>'насел.'!AJ25+пільги!AJ25+субсидії!AJ25+'держ.бюджет'!AJ25+'місц.-районн.бюджет'!AJ25+областной!AJ25+інші!AJ25</f>
        <v>1055</v>
      </c>
      <c r="AK25" s="18">
        <f>'насел.'!AK25+пільги!AK25+субсидії!AK25+'держ.бюджет'!AK25+'місц.-районн.бюджет'!AK25+областной!AK25+інші!AK25</f>
        <v>788.9999999999999</v>
      </c>
      <c r="AL25" s="18">
        <f t="shared" si="11"/>
        <v>74.78672985781989</v>
      </c>
      <c r="AM25" s="18">
        <f>'насел.'!AM25+пільги!AM25+субсидії!AM25+'держ.бюджет'!AM25+'місц.-районн.бюджет'!AM25+областной!AM25+інші!AM25</f>
        <v>324.99999999999994</v>
      </c>
      <c r="AN25" s="18">
        <f>'насел.'!AN25+пільги!AN25+субсидії!AN25+'держ.бюджет'!AN25+'місц.-районн.бюджет'!AN25+областной!AN25+інші!AN25</f>
        <v>436.2</v>
      </c>
      <c r="AO25" s="18">
        <f>'насел.'!AO25+пільги!AO25+субсидії!AO25+'держ.бюджет'!AO25+'місц.-районн.бюджет'!AO25+областной!AO25+інші!AO25</f>
        <v>339.6</v>
      </c>
      <c r="AP25" s="18">
        <f>'насел.'!AP25+пільги!AP25+субсидії!AP25+'держ.бюджет'!AP25+'місц.-районн.бюджет'!AP25+областной!AP25+інші!AP25</f>
        <v>255.70000000000002</v>
      </c>
      <c r="AQ25" s="18">
        <f>'насел.'!AQ25+пільги!AQ25+субсидії!AQ25+'держ.бюджет'!AQ25+'місц.-районн.бюджет'!AQ25+областной!AQ25+інші!AQ25</f>
        <v>327.8</v>
      </c>
      <c r="AR25" s="18">
        <f>'насел.'!AR25+пільги!AR25+субсидії!AR25+'держ.бюджет'!AR25+'місц.-районн.бюджет'!AR25+областной!AR25+інші!AR25</f>
        <v>478.90000000000003</v>
      </c>
      <c r="AS25" s="18">
        <f>'насел.'!AS25+пільги!AS25+субсидії!AS25+'держ.бюджет'!AS25+'місц.-районн.бюджет'!AS25+областной!AS25+інші!AS25</f>
        <v>4204.5</v>
      </c>
      <c r="AT25" s="18">
        <f>'насел.'!AT25+пільги!AT25+субсидії!AT25+'держ.бюджет'!AT25+'місц.-районн.бюджет'!AT25+областной!AT25+інші!AT25</f>
        <v>4049.1999999999994</v>
      </c>
      <c r="AU25" s="11">
        <f t="shared" si="3"/>
        <v>96.30633844690212</v>
      </c>
      <c r="AV25" s="18">
        <f>'насел.'!AV25+пільги!AV25+субсидії!AV25+'держ.бюджет'!AV25+'місц.-районн.бюджет'!AV25+областной!AV25+інші!AV25</f>
        <v>155.29999999999984</v>
      </c>
      <c r="AW25" s="18">
        <f>'насел.'!AW25+пільги!AW25+субсидії!AW25+'держ.бюджет'!AW25+'місц.-районн.бюджет'!AW25+областной!AW25+інші!AW25</f>
        <v>-77.50000000000011</v>
      </c>
      <c r="AX25" s="42">
        <f t="shared" si="12"/>
        <v>4204.5</v>
      </c>
      <c r="AY25" s="42">
        <f t="shared" si="13"/>
        <v>4049.2</v>
      </c>
      <c r="AZ25" s="42">
        <f t="shared" si="14"/>
        <v>155.30000000000018</v>
      </c>
      <c r="BA25" s="42">
        <f t="shared" si="15"/>
        <v>-77.5</v>
      </c>
    </row>
    <row r="26" spans="1:53" ht="27" customHeight="1">
      <c r="A26" s="13" t="s">
        <v>30</v>
      </c>
      <c r="B26" s="15" t="s">
        <v>106</v>
      </c>
      <c r="C26" s="18">
        <f>'насел.'!C26+пільги!C26+субсидії!C26+'держ.бюджет'!C26+'місц.-районн.бюджет'!C26+областной!C26+інші!C26</f>
        <v>113.6</v>
      </c>
      <c r="D26" s="18">
        <f>'насел.'!D26+пільги!D26+субсидії!D26+'держ.бюджет'!D26+'місц.-районн.бюджет'!D26+областной!D26+інші!D26</f>
        <v>58.699999999999996</v>
      </c>
      <c r="E26" s="18">
        <f>'насел.'!E26+пільги!E26+субсидії!E26+'держ.бюджет'!E26+'місц.-районн.бюджет'!E26+областной!E26+інші!E26</f>
        <v>13.4</v>
      </c>
      <c r="F26" s="11">
        <f t="shared" si="0"/>
        <v>22.82793867120954</v>
      </c>
      <c r="G26" s="18">
        <f>'насел.'!G26+пільги!G26+субсидії!G26+'держ.бюджет'!G26+'місц.-районн.бюджет'!G26+областной!G26+інші!G26</f>
        <v>57.5</v>
      </c>
      <c r="H26" s="18">
        <f>'насел.'!H26+пільги!H26+субсидії!H26+'держ.бюджет'!H26+'місц.-районн.бюджет'!H26+областной!H26+інші!H26</f>
        <v>75.9</v>
      </c>
      <c r="I26" s="11">
        <f t="shared" si="4"/>
        <v>132</v>
      </c>
      <c r="J26" s="18">
        <f>'насел.'!J26+пільги!J26+субсидії!J26+'держ.бюджет'!J26+'місц.-районн.бюджет'!J26+областной!J26+інші!J26</f>
        <v>59</v>
      </c>
      <c r="K26" s="18">
        <f>'насел.'!K26+пільги!K26+субсидії!K26+'держ.бюджет'!K26+'місц.-районн.бюджет'!K26+областной!K26+інші!K26</f>
        <v>39.5</v>
      </c>
      <c r="L26" s="11">
        <f>K26/J26*100</f>
        <v>66.94915254237289</v>
      </c>
      <c r="M26" s="11">
        <f>'насел.'!M26+пільги!M26+субсидії!M26+'держ.бюджет'!M26+'місц.-районн.бюджет'!M26+областной!M26+інші!M26</f>
        <v>175.20000000000002</v>
      </c>
      <c r="N26" s="11">
        <f>'насел.'!N26+пільги!N26+субсидії!N26+'держ.бюджет'!N26+'місц.-районн.бюджет'!N26+областной!N26+інші!N26</f>
        <v>128.8</v>
      </c>
      <c r="O26" s="11">
        <f t="shared" si="5"/>
        <v>73.51598173515981</v>
      </c>
      <c r="P26" s="18">
        <f>'насел.'!P26+пільги!P26+субсидії!P26+'держ.бюджет'!P26+'місц.-районн.бюджет'!P26+областной!P26+інші!P26</f>
        <v>49.199999999999996</v>
      </c>
      <c r="Q26" s="18">
        <f>'насел.'!Q26+пільги!Q26+субсидії!Q26+'держ.бюджет'!Q26+'місц.-районн.бюджет'!Q26+областной!Q26+інші!Q26</f>
        <v>17.7</v>
      </c>
      <c r="R26" s="11">
        <f t="shared" si="6"/>
        <v>35.97560975609756</v>
      </c>
      <c r="S26" s="18">
        <f>'насел.'!S26+пільги!S26+субсидії!S26+'держ.бюджет'!S26+'місц.-районн.бюджет'!S26+областной!S26+інші!S26</f>
        <v>4.699999999999998</v>
      </c>
      <c r="T26" s="18">
        <f>'насел.'!T26+пільги!T26+субсидії!T26+'держ.бюджет'!T26+'місц.-районн.бюджет'!T26+областной!T26+інші!T26</f>
        <v>33.2</v>
      </c>
      <c r="U26" s="11">
        <f t="shared" si="7"/>
        <v>706.3829787234046</v>
      </c>
      <c r="V26" s="18">
        <f>'насел.'!V26+пільги!V26+субсидії!V26+'держ.бюджет'!V26+'місц.-районн.бюджет'!V26+областной!V26+інші!V26</f>
        <v>36.7</v>
      </c>
      <c r="W26" s="18">
        <f>'насел.'!W26+пільги!W26+субсидії!W26+'держ.бюджет'!W26+'місц.-районн.бюджет'!W26+областной!W26+інші!W26</f>
        <v>37.3</v>
      </c>
      <c r="X26" s="11">
        <f t="shared" si="8"/>
        <v>101.63487738419616</v>
      </c>
      <c r="Y26" s="18">
        <f>'насел.'!Y26+пільги!Y26+субсидії!Y26+'держ.бюджет'!Y26+'місц.-районн.бюджет'!Y26+областной!Y26+інші!Y26</f>
        <v>90.60000000000001</v>
      </c>
      <c r="Z26" s="18">
        <f>'насел.'!Z26+пільги!Z26+субсидії!Z26+'держ.бюджет'!Z26+'місц.-районн.бюджет'!Z26+областной!Z26+інші!Z26</f>
        <v>88.2</v>
      </c>
      <c r="AA26" s="11">
        <f t="shared" si="2"/>
        <v>97.35099337748345</v>
      </c>
      <c r="AB26" s="18">
        <f>'насел.'!AB26+пільги!AB26+субсидії!AB26+'держ.бюджет'!AB26+'місц.-районн.бюджет'!AB26+областной!AB26+інші!AB26</f>
        <v>35.10000000000001</v>
      </c>
      <c r="AC26" s="18">
        <f>'насел.'!AC26+пільги!AC26+субсидії!AC26+'держ.бюджет'!AC26+'місц.-районн.бюджет'!AC26+областной!AC26+інші!AC26</f>
        <v>19.000000000000004</v>
      </c>
      <c r="AD26" s="11">
        <f t="shared" si="9"/>
        <v>54.13105413105412</v>
      </c>
      <c r="AE26" s="18">
        <f>'насел.'!AE26+пільги!AE26+субсидії!AE26+'держ.бюджет'!AE26+'місц.-районн.бюджет'!AE26+областной!AE26+інші!AE26</f>
        <v>38.1</v>
      </c>
      <c r="AF26" s="18">
        <f>'насел.'!AF26+пільги!AF26+субсидії!AF26+'держ.бюджет'!AF26+'місц.-районн.бюджет'!AF26+областной!AF26+інші!AF26</f>
        <v>29.900000000000006</v>
      </c>
      <c r="AG26" s="11">
        <f t="shared" si="10"/>
        <v>78.47769028871392</v>
      </c>
      <c r="AH26" s="18">
        <f>'насел.'!AH26+пільги!AH26+субсидії!AH26+'держ.бюджет'!AH26+'місц.-районн.бюджет'!AH26+областной!AH26+інші!AH26</f>
        <v>37.7</v>
      </c>
      <c r="AI26" s="18">
        <f>'насел.'!AI26+пільги!AI26+субсидії!AI26+'держ.бюджет'!AI26+'місц.-районн.бюджет'!AI26+областной!AI26+інші!AI26</f>
        <v>25.7</v>
      </c>
      <c r="AJ26" s="18">
        <f>'насел.'!AJ26+пільги!AJ26+субсидії!AJ26+'держ.бюджет'!AJ26+'місц.-районн.бюджет'!AJ26+областной!AJ26+інші!AJ26</f>
        <v>110.89999999999999</v>
      </c>
      <c r="AK26" s="18">
        <f>'насел.'!AK26+пільги!AK26+субсидії!AK26+'держ.бюджет'!AK26+'місц.-районн.бюджет'!AK26+областной!AK26+інші!AK26</f>
        <v>74.60000000000001</v>
      </c>
      <c r="AL26" s="18">
        <f t="shared" si="11"/>
        <v>67.26780883678991</v>
      </c>
      <c r="AM26" s="18">
        <f>'насел.'!AM26+пільги!AM26+субсидії!AM26+'держ.бюджет'!AM26+'місц.-районн.бюджет'!AM26+областной!AM26+інші!AM26</f>
        <v>37</v>
      </c>
      <c r="AN26" s="18">
        <f>'насел.'!AN26+пільги!AN26+субсидії!AN26+'держ.бюджет'!AN26+'місц.-районн.бюджет'!AN26+областной!AN26+інші!AN26</f>
        <v>29.5</v>
      </c>
      <c r="AO26" s="18">
        <f>'насел.'!AO26+пільги!AO26+субсидії!AO26+'держ.бюджет'!AO26+'місц.-районн.бюджет'!AO26+областной!AO26+інші!AO26</f>
        <v>50.2</v>
      </c>
      <c r="AP26" s="18">
        <f>'насел.'!AP26+пільги!AP26+субсидії!AP26+'держ.бюджет'!AP26+'місц.-районн.бюджет'!AP26+областной!AP26+інші!AP26</f>
        <v>32.9</v>
      </c>
      <c r="AQ26" s="18">
        <f>'насел.'!AQ26+пільги!AQ26+субсидії!AQ26+'держ.бюджет'!AQ26+'місц.-районн.бюджет'!AQ26+областной!AQ26+інші!AQ26</f>
        <v>53.9</v>
      </c>
      <c r="AR26" s="18">
        <f>'насел.'!AR26+пільги!AR26+субсидії!AR26+'держ.бюджет'!AR26+'місц.-районн.бюджет'!AR26+областной!AR26+інші!AR26</f>
        <v>32.1</v>
      </c>
      <c r="AS26" s="18">
        <f>'насел.'!AS26+пільги!AS26+субсидії!AS26+'держ.бюджет'!AS26+'місц.-районн.бюджет'!AS26+областной!AS26+інші!AS26</f>
        <v>517.8000000000001</v>
      </c>
      <c r="AT26" s="18">
        <f>'насел.'!AT26+пільги!AT26+субсидії!AT26+'держ.бюджет'!AT26+'місц.-районн.бюджет'!AT26+областной!AT26+інші!AT26</f>
        <v>386.1</v>
      </c>
      <c r="AU26" s="11">
        <f t="shared" si="3"/>
        <v>74.56546929316337</v>
      </c>
      <c r="AV26" s="18">
        <f>'насел.'!AV26+пільги!AV26+субсидії!AV26+'держ.бюджет'!AV26+'місц.-районн.бюджет'!AV26+областной!AV26+інші!AV26</f>
        <v>131.70000000000002</v>
      </c>
      <c r="AW26" s="18">
        <f>'насел.'!AW26+пільги!AW26+субсидії!AW26+'держ.бюджет'!AW26+'місц.-районн.бюджет'!AW26+областной!AW26+інші!AW26</f>
        <v>245.3</v>
      </c>
      <c r="AX26" s="42">
        <f t="shared" si="12"/>
        <v>517.8</v>
      </c>
      <c r="AY26" s="42">
        <f t="shared" si="13"/>
        <v>386.1</v>
      </c>
      <c r="AZ26" s="42">
        <f t="shared" si="14"/>
        <v>131.69999999999993</v>
      </c>
      <c r="BA26" s="42">
        <f t="shared" si="15"/>
        <v>245.29999999999995</v>
      </c>
    </row>
    <row r="27" spans="1:53" ht="27" customHeight="1">
      <c r="A27" s="13" t="s">
        <v>31</v>
      </c>
      <c r="B27" s="15" t="s">
        <v>107</v>
      </c>
      <c r="C27" s="18">
        <f>'насел.'!C27+пільги!C27+субсидії!C27+'держ.бюджет'!C27+'місц.-районн.бюджет'!C27+областной!C27+інші!C27</f>
        <v>-963.2000000000003</v>
      </c>
      <c r="D27" s="18">
        <f>'насел.'!D27+пільги!D27+субсидії!D27+'держ.бюджет'!D27+'місц.-районн.бюджет'!D27+областной!D27+інші!D27</f>
        <v>579.8000000000001</v>
      </c>
      <c r="E27" s="18">
        <f>'насел.'!E27+пільги!E27+субсидії!E27+'держ.бюджет'!E27+'місц.-районн.бюджет'!E27+областной!E27+інші!E27</f>
        <v>137.7</v>
      </c>
      <c r="F27" s="11">
        <f t="shared" si="0"/>
        <v>23.749568816833385</v>
      </c>
      <c r="G27" s="18">
        <f>'насел.'!G27+пільги!G27+субсидії!G27+'держ.бюджет'!G27+'місц.-районн.бюджет'!G27+областной!G27+інші!G27</f>
        <v>628.8999999999999</v>
      </c>
      <c r="H27" s="18">
        <f>'насел.'!H27+пільги!H27+субсидії!H27+'держ.бюджет'!H27+'місц.-районн.бюджет'!H27+областной!H27+інші!H27</f>
        <v>2414</v>
      </c>
      <c r="I27" s="11">
        <f t="shared" si="4"/>
        <v>383.84480839561144</v>
      </c>
      <c r="J27" s="18">
        <f>'насел.'!J27+пільги!J27+субсидії!J27+'держ.бюджет'!J27+'місц.-районн.бюджет'!J27+областной!J27+інші!J27</f>
        <v>654.5</v>
      </c>
      <c r="K27" s="18">
        <f>'насел.'!K27+пільги!K27+субсидії!K27+'держ.бюджет'!K27+'місц.-районн.бюджет'!K27+областной!K27+інші!K27</f>
        <v>153.9</v>
      </c>
      <c r="L27" s="11">
        <f>K27/J27*100</f>
        <v>23.51413292589763</v>
      </c>
      <c r="M27" s="11">
        <f>'насел.'!M27+пільги!M27+субсидії!M27+'держ.бюджет'!M27+'місц.-районн.бюджет'!M27+областной!M27+інші!M27</f>
        <v>1863.1999999999998</v>
      </c>
      <c r="N27" s="11">
        <f>'насел.'!N27+пільги!N27+субсидії!N27+'держ.бюджет'!N27+'місц.-районн.бюджет'!N27+областной!N27+інші!N27</f>
        <v>2705.5999999999995</v>
      </c>
      <c r="O27" s="11">
        <f t="shared" si="5"/>
        <v>145.21253756977242</v>
      </c>
      <c r="P27" s="18">
        <f>'насел.'!P27+пільги!P27+субсидії!P27+'держ.бюджет'!P27+'місц.-районн.бюджет'!P27+областной!P27+інші!P27</f>
        <v>679.3</v>
      </c>
      <c r="Q27" s="18">
        <f>'насел.'!Q27+пільги!Q27+субсидії!Q27+'держ.бюджет'!Q27+'місц.-районн.бюджет'!Q27+областной!Q27+інші!Q27</f>
        <v>701.3</v>
      </c>
      <c r="R27" s="11">
        <f t="shared" si="6"/>
        <v>103.23862799941115</v>
      </c>
      <c r="S27" s="18">
        <f>'насел.'!S27+пільги!S27+субсидії!S27+'держ.бюджет'!S27+'місц.-районн.бюджет'!S27+областной!S27+інші!S27</f>
        <v>580.2</v>
      </c>
      <c r="T27" s="18">
        <f>'насел.'!T27+пільги!T27+субсидії!T27+'держ.бюджет'!T27+'місц.-районн.бюджет'!T27+областной!T27+інші!T27</f>
        <v>1213.2</v>
      </c>
      <c r="U27" s="11">
        <f t="shared" si="7"/>
        <v>209.10031023784904</v>
      </c>
      <c r="V27" s="18">
        <f>'насел.'!V27+пільги!V27+субсидії!V27+'держ.бюджет'!V27+'місц.-районн.бюджет'!V27+областной!V27+інші!V27</f>
        <v>647.7</v>
      </c>
      <c r="W27" s="18">
        <f>'насел.'!W27+пільги!W27+субсидії!W27+'держ.бюджет'!W27+'місц.-районн.бюджет'!W27+областной!W27+інші!W27</f>
        <v>227</v>
      </c>
      <c r="X27" s="11">
        <f t="shared" si="8"/>
        <v>35.04708970202254</v>
      </c>
      <c r="Y27" s="18">
        <f>'насел.'!Y27+пільги!Y27+субсидії!Y27+'держ.бюджет'!Y27+'місц.-районн.бюджет'!Y27+областной!Y27+інші!Y27</f>
        <v>1907.2000000000005</v>
      </c>
      <c r="Z27" s="18">
        <f>'насел.'!Z27+пільги!Z27+субсидії!Z27+'держ.бюджет'!Z27+'місц.-районн.бюджет'!Z27+областной!Z27+інші!Z27</f>
        <v>2141.5</v>
      </c>
      <c r="AA27" s="11">
        <f t="shared" si="2"/>
        <v>112.28502516778521</v>
      </c>
      <c r="AB27" s="18">
        <f>'насел.'!AB27+пільги!AB27+субсидії!AB27+'держ.бюджет'!AB27+'місц.-районн.бюджет'!AB27+областной!AB27+інші!AB27</f>
        <v>650.6999999999999</v>
      </c>
      <c r="AC27" s="18">
        <f>'насел.'!AC27+пільги!AC27+субсидії!AC27+'держ.бюджет'!AC27+'місц.-районн.бюджет'!AC27+областной!AC27+інші!AC27</f>
        <v>370</v>
      </c>
      <c r="AD27" s="11">
        <f t="shared" si="9"/>
        <v>56.86184109420624</v>
      </c>
      <c r="AE27" s="18">
        <f>'насел.'!AE27+пільги!AE27+субсидії!AE27+'держ.бюджет'!AE27+'місц.-районн.бюджет'!AE27+областной!AE27+інші!AE27</f>
        <v>698.8</v>
      </c>
      <c r="AF27" s="18">
        <f>'насел.'!AF27+пільги!AF27+субсидії!AF27+'держ.бюджет'!AF27+'місц.-районн.бюджет'!AF27+областной!AF27+інші!AF27</f>
        <v>350.1</v>
      </c>
      <c r="AG27" s="11">
        <f t="shared" si="10"/>
        <v>50.10017172295365</v>
      </c>
      <c r="AH27" s="18">
        <f>'насел.'!AH27+пільги!AH27+субсидії!AH27+'держ.бюджет'!AH27+'місц.-районн.бюджет'!AH27+областной!AH27+інші!AH27</f>
        <v>688.1999999999999</v>
      </c>
      <c r="AI27" s="18">
        <f>'насел.'!AI27+пільги!AI27+субсидії!AI27+'держ.бюджет'!AI27+'місц.-районн.бюджет'!AI27+областной!AI27+інші!AI27</f>
        <v>445.79999999999995</v>
      </c>
      <c r="AJ27" s="18">
        <f>'насел.'!AJ27+пільги!AJ27+субсидії!AJ27+'держ.бюджет'!AJ27+'місц.-районн.бюджет'!AJ27+областной!AJ27+інші!AJ27</f>
        <v>2037.7</v>
      </c>
      <c r="AK27" s="18">
        <f>'насел.'!AK27+пільги!AK27+субсидії!AK27+'держ.бюджет'!AK27+'місц.-районн.бюджет'!AK27+областной!AK27+інші!AK27</f>
        <v>1165.9</v>
      </c>
      <c r="AL27" s="18">
        <f t="shared" si="11"/>
        <v>57.216469549001324</v>
      </c>
      <c r="AM27" s="18">
        <f>'насел.'!AM27+пільги!AM27+субсидії!AM27+'держ.бюджет'!AM27+'місц.-районн.бюджет'!AM27+областной!AM27+інші!AM27</f>
        <v>246.20000000000002</v>
      </c>
      <c r="AN27" s="18">
        <f>'насел.'!AN27+пільги!AN27+субсидії!AN27+'держ.бюджет'!AN27+'місц.-районн.бюджет'!AN27+областной!AN27+інші!AN27</f>
        <v>473.3</v>
      </c>
      <c r="AO27" s="18">
        <f>'насел.'!AO27+пільги!AO27+субсидії!AO27+'держ.бюджет'!AO27+'місц.-районн.бюджет'!AO27+областной!AO27+інші!AO27</f>
        <v>820.8</v>
      </c>
      <c r="AP27" s="18">
        <f>'насел.'!AP27+пільги!AP27+субсидії!AP27+'держ.бюджет'!AP27+'місц.-районн.бюджет'!AP27+областной!AP27+інші!AP27</f>
        <v>401.8</v>
      </c>
      <c r="AQ27" s="18">
        <f>'насел.'!AQ27+пільги!AQ27+субсидії!AQ27+'держ.бюджет'!AQ27+'місц.-районн.бюджет'!AQ27+областной!AQ27+інші!AQ27</f>
        <v>488.7</v>
      </c>
      <c r="AR27" s="18">
        <f>'насел.'!AR27+пільги!AR27+субсидії!AR27+'держ.бюджет'!AR27+'місц.-районн.бюджет'!AR27+областной!AR27+інші!AR27</f>
        <v>244.79999999999998</v>
      </c>
      <c r="AS27" s="18">
        <f>'насел.'!AS27+пільги!AS27+субсидії!AS27+'держ.бюджет'!AS27+'місц.-районн.бюджет'!AS27+областной!AS27+інші!AS27</f>
        <v>7363.800000000001</v>
      </c>
      <c r="AT27" s="18">
        <f>'насел.'!AT27+пільги!AT27+субсидії!AT27+'держ.бюджет'!AT27+'місц.-районн.бюджет'!AT27+областной!AT27+інші!AT27</f>
        <v>7132.900000000001</v>
      </c>
      <c r="AU27" s="11">
        <f t="shared" si="3"/>
        <v>96.8643906678617</v>
      </c>
      <c r="AV27" s="18">
        <f>'насел.'!AV27+пільги!AV27+субсидії!AV27+'держ.бюджет'!AV27+'місц.-районн.бюджет'!AV27+областной!AV27+інші!AV27</f>
        <v>230.90000000000052</v>
      </c>
      <c r="AW27" s="18">
        <f>'насел.'!AW27+пільги!AW27+субсидії!AW27+'держ.бюджет'!AW27+'місц.-районн.бюджет'!AW27+областной!AW27+інші!AW27</f>
        <v>-732.3</v>
      </c>
      <c r="AX27" s="42">
        <f t="shared" si="12"/>
        <v>7363.8</v>
      </c>
      <c r="AY27" s="42">
        <f t="shared" si="13"/>
        <v>7132.900000000001</v>
      </c>
      <c r="AZ27" s="42">
        <f t="shared" si="14"/>
        <v>230.89999999999964</v>
      </c>
      <c r="BA27" s="42">
        <f t="shared" si="15"/>
        <v>-732.3000000000002</v>
      </c>
    </row>
    <row r="28" spans="1:53" ht="27" customHeight="1">
      <c r="A28" s="13" t="s">
        <v>32</v>
      </c>
      <c r="B28" s="41" t="s">
        <v>108</v>
      </c>
      <c r="C28" s="18">
        <f>'насел.'!C28+пільги!C28+субсидії!C28+'держ.бюджет'!C28+'місц.-районн.бюджет'!C28+областной!C28+інші!C28</f>
        <v>-486.70000000000005</v>
      </c>
      <c r="D28" s="18">
        <f>'насел.'!D28+пільги!D28+субсидії!D28+'держ.бюджет'!D28+'місц.-районн.бюджет'!D28+областной!D28+інші!D28</f>
        <v>321.70000000000005</v>
      </c>
      <c r="E28" s="18">
        <f>'насел.'!E28+пільги!E28+субсидії!E28+'держ.бюджет'!E28+'місц.-районн.бюджет'!E28+областной!E28+інші!E28</f>
        <v>213.89999999999998</v>
      </c>
      <c r="F28" s="11">
        <f t="shared" si="0"/>
        <v>66.49051911718992</v>
      </c>
      <c r="G28" s="18">
        <f>'насел.'!G28+пільги!G28+субсидії!G28+'держ.бюджет'!G28+'місц.-районн.бюджет'!G28+областной!G28+інші!G28</f>
        <v>295.5</v>
      </c>
      <c r="H28" s="18">
        <f>'насел.'!H28+пільги!H28+субсидії!H28+'держ.бюджет'!H28+'місц.-районн.бюджет'!H28+областной!H28+інші!H28</f>
        <v>181.2</v>
      </c>
      <c r="I28" s="11">
        <f t="shared" si="4"/>
        <v>61.31979695431472</v>
      </c>
      <c r="J28" s="18">
        <f>'насел.'!J28+пільги!J28+субсидії!J28+'держ.бюджет'!J28+'місц.-районн.бюджет'!J28+областной!J28+інші!J28</f>
        <v>304</v>
      </c>
      <c r="K28" s="18">
        <f>'насел.'!K28+пільги!K28+субсидії!K28+'держ.бюджет'!K28+'місц.-районн.бюджет'!K28+областной!K28+інші!K28</f>
        <v>244.29999999999998</v>
      </c>
      <c r="L28" s="85">
        <f>K28/J28*100</f>
        <v>80.36184210526315</v>
      </c>
      <c r="M28" s="11">
        <f>'насел.'!M28+пільги!M28+субсидії!M28+'держ.бюджет'!M28+'місц.-районн.бюджет'!M28+областной!M28+інші!M28</f>
        <v>921.2</v>
      </c>
      <c r="N28" s="11">
        <f>'насел.'!N28+пільги!N28+субсидії!N28+'держ.бюджет'!N28+'місц.-районн.бюджет'!N28+областной!N28+інші!N28</f>
        <v>639.4</v>
      </c>
      <c r="O28" s="11">
        <f t="shared" si="5"/>
        <v>69.40946591402518</v>
      </c>
      <c r="P28" s="18">
        <f>'насел.'!P28+пільги!P28+субсидії!P28+'держ.бюджет'!P28+'місц.-районн.бюджет'!P28+областной!P28+інші!P28</f>
        <v>309.8</v>
      </c>
      <c r="Q28" s="18">
        <f>'насел.'!Q28+пільги!Q28+субсидії!Q28+'держ.бюджет'!Q28+'місц.-районн.бюджет'!Q28+областной!Q28+інші!Q28</f>
        <v>171</v>
      </c>
      <c r="R28" s="11">
        <f t="shared" si="6"/>
        <v>55.1969012265978</v>
      </c>
      <c r="S28" s="18">
        <f>'насел.'!S28+пільги!S28+субсидії!S28+'держ.бюджет'!S28+'місц.-районн.бюджет'!S28+областной!S28+інші!S28</f>
        <v>352.4</v>
      </c>
      <c r="T28" s="18">
        <f>'насел.'!T28+пільги!T28+субсидії!T28+'держ.бюджет'!T28+'місц.-районн.бюджет'!T28+областной!T28+інші!T28</f>
        <v>311.1</v>
      </c>
      <c r="U28" s="11">
        <f t="shared" si="7"/>
        <v>88.28036322360956</v>
      </c>
      <c r="V28" s="18">
        <f>'насел.'!V28+пільги!V28+субсидії!V28+'держ.бюджет'!V28+'місц.-районн.бюджет'!V28+областной!V28+інші!V28</f>
        <v>404.8</v>
      </c>
      <c r="W28" s="18">
        <f>'насел.'!W28+пільги!W28+субсидії!W28+'держ.бюджет'!W28+'місц.-районн.бюджет'!W28+областной!W28+інші!W28</f>
        <v>276</v>
      </c>
      <c r="X28" s="11">
        <f t="shared" si="8"/>
        <v>68.18181818181817</v>
      </c>
      <c r="Y28" s="18">
        <f>'насел.'!Y28+пільги!Y28+субсидії!Y28+'держ.бюджет'!Y28+'місц.-районн.бюджет'!Y28+областной!Y28+інші!Y28</f>
        <v>1067</v>
      </c>
      <c r="Z28" s="18">
        <f>'насел.'!Z28+пільги!Z28+субсидії!Z28+'держ.бюджет'!Z28+'місц.-районн.бюджет'!Z28+областной!Z28+інші!Z28</f>
        <v>758.0999999999999</v>
      </c>
      <c r="AA28" s="11">
        <f t="shared" si="2"/>
        <v>71.04967197750702</v>
      </c>
      <c r="AB28" s="18">
        <f>'насел.'!AB28+пільги!AB28+субсидії!AB28+'держ.бюджет'!AB28+'місц.-районн.бюджет'!AB28+областной!AB28+інші!AB28</f>
        <v>337.9</v>
      </c>
      <c r="AC28" s="18">
        <f>'насел.'!AC28+пільги!AC28+субсидії!AC28+'держ.бюджет'!AC28+'місц.-районн.бюджет'!AC28+областной!AC28+інші!AC28</f>
        <v>321.5</v>
      </c>
      <c r="AD28" s="11">
        <f t="shared" si="9"/>
        <v>95.14649304527968</v>
      </c>
      <c r="AE28" s="18">
        <f>'насел.'!AE28+пільги!AE28+субсидії!AE28+'держ.бюджет'!AE28+'місц.-районн.бюджет'!AE28+областной!AE28+інші!AE28</f>
        <v>357.9</v>
      </c>
      <c r="AF28" s="18">
        <f>'насел.'!AF28+пільги!AF28+субсидії!AF28+'держ.бюджет'!AF28+'місц.-районн.бюджет'!AF28+областной!AF28+інші!AF28</f>
        <v>370.30000000000007</v>
      </c>
      <c r="AG28" s="11">
        <f t="shared" si="10"/>
        <v>103.46465493154516</v>
      </c>
      <c r="AH28" s="18">
        <f>'насел.'!AH28+пільги!AH28+субсидії!AH28+'держ.бюджет'!AH28+'місц.-районн.бюджет'!AH28+областной!AH28+інші!AH28</f>
        <v>291.2</v>
      </c>
      <c r="AI28" s="18">
        <f>'насел.'!AI28+пільги!AI28+субсидії!AI28+'держ.бюджет'!AI28+'місц.-районн.бюджет'!AI28+областной!AI28+інші!AI28</f>
        <v>242.7</v>
      </c>
      <c r="AJ28" s="18">
        <f>'насел.'!AJ28+пільги!AJ28+субсидії!AJ28+'держ.бюджет'!AJ28+'місц.-районн.бюджет'!AJ28+областной!AJ28+інші!AJ28</f>
        <v>987</v>
      </c>
      <c r="AK28" s="18">
        <f>'насел.'!AK28+пільги!AK28+субсидії!AK28+'держ.бюджет'!AK28+'місц.-районн.бюджет'!AK28+областной!AK28+інші!AK28</f>
        <v>934.5</v>
      </c>
      <c r="AL28" s="18">
        <f t="shared" si="11"/>
        <v>94.68085106382979</v>
      </c>
      <c r="AM28" s="18">
        <f>'насел.'!AM28+пільги!AM28+субсидії!AM28+'держ.бюджет'!AM28+'місц.-районн.бюджет'!AM28+областной!AM28+інші!AM28</f>
        <v>693.1</v>
      </c>
      <c r="AN28" s="18">
        <f>'насел.'!AN28+пільги!AN28+субсидії!AN28+'держ.бюджет'!AN28+'місц.-районн.бюджет'!AN28+областной!AN28+інші!AN28</f>
        <v>608.5</v>
      </c>
      <c r="AO28" s="18">
        <f>'насел.'!AO28+пільги!AO28+субсидії!AO28+'держ.бюджет'!AO28+'місц.-районн.бюджет'!AO28+областной!AO28+інші!AO28</f>
        <v>476.30000000000007</v>
      </c>
      <c r="AP28" s="18">
        <f>'насел.'!AP28+пільги!AP28+субсидії!AP28+'держ.бюджет'!AP28+'місц.-районн.бюджет'!AP28+областной!AP28+інші!AP28</f>
        <v>509.70000000000005</v>
      </c>
      <c r="AQ28" s="18">
        <f>'насел.'!AQ28+пільги!AQ28+субсидії!AQ28+'держ.бюджет'!AQ28+'місц.-районн.бюджет'!AQ28+областной!AQ28+інші!AQ28</f>
        <v>453</v>
      </c>
      <c r="AR28" s="18">
        <f>'насел.'!AR28+пільги!AR28+субсидії!AR28+'держ.бюджет'!AR28+'місц.-районн.бюджет'!AR28+областной!AR28+інші!AR28</f>
        <v>470.4</v>
      </c>
      <c r="AS28" s="18">
        <f>'насел.'!AS28+пільги!AS28+субсидії!AS28+'держ.бюджет'!AS28+'місц.-районн.бюджет'!AS28+областной!AS28+інші!AS28</f>
        <v>4597.6</v>
      </c>
      <c r="AT28" s="18">
        <f>'насел.'!AT28+пільги!AT28+субсидії!AT28+'держ.бюджет'!AT28+'місц.-районн.бюджет'!AT28+областной!AT28+інші!AT28</f>
        <v>3920.6000000000004</v>
      </c>
      <c r="AU28" s="11">
        <f t="shared" si="3"/>
        <v>85.27492604837306</v>
      </c>
      <c r="AV28" s="18">
        <f>'насел.'!AV28+пільги!AV28+субсидії!AV28+'держ.бюджет'!AV28+'місц.-районн.бюджет'!AV28+областной!AV28+інші!AV28</f>
        <v>677.0000000000003</v>
      </c>
      <c r="AW28" s="18">
        <f>'насел.'!AW28+пільги!AW28+субсидії!AW28+'держ.бюджет'!AW28+'місц.-районн.бюджет'!AW28+областной!AW28+інші!AW28</f>
        <v>190.30000000000024</v>
      </c>
      <c r="AX28" s="42">
        <f t="shared" si="12"/>
        <v>4597.599999999999</v>
      </c>
      <c r="AY28" s="42">
        <f t="shared" si="13"/>
        <v>3920.6</v>
      </c>
      <c r="AZ28" s="42">
        <f t="shared" si="14"/>
        <v>676.9999999999995</v>
      </c>
      <c r="BA28" s="42">
        <f t="shared" si="15"/>
        <v>190.29999999999973</v>
      </c>
    </row>
    <row r="29" spans="1:53" ht="27" customHeight="1">
      <c r="A29" s="13" t="s">
        <v>33</v>
      </c>
      <c r="B29" s="58" t="s">
        <v>109</v>
      </c>
      <c r="C29" s="18"/>
      <c r="D29" s="18"/>
      <c r="E29" s="18"/>
      <c r="F29" s="11"/>
      <c r="G29" s="18"/>
      <c r="H29" s="18"/>
      <c r="I29" s="11"/>
      <c r="J29" s="18"/>
      <c r="K29" s="18"/>
      <c r="L29" s="59"/>
      <c r="M29" s="11"/>
      <c r="N29" s="11"/>
      <c r="O29" s="11"/>
      <c r="P29" s="18"/>
      <c r="Q29" s="18"/>
      <c r="R29" s="59"/>
      <c r="S29" s="18"/>
      <c r="T29" s="18"/>
      <c r="U29" s="59"/>
      <c r="V29" s="18"/>
      <c r="W29" s="18"/>
      <c r="X29" s="59"/>
      <c r="Y29" s="18"/>
      <c r="Z29" s="18"/>
      <c r="AA29" s="11"/>
      <c r="AB29" s="18"/>
      <c r="AC29" s="18"/>
      <c r="AD29" s="59"/>
      <c r="AE29" s="18"/>
      <c r="AF29" s="18"/>
      <c r="AG29" s="59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1"/>
      <c r="AV29" s="59"/>
      <c r="AW29" s="59"/>
      <c r="AX29" s="42">
        <f t="shared" si="12"/>
        <v>0</v>
      </c>
      <c r="AY29" s="42">
        <f t="shared" si="13"/>
        <v>0</v>
      </c>
      <c r="AZ29" s="42"/>
      <c r="BA29" s="42"/>
    </row>
    <row r="30" spans="1:53" ht="27" customHeight="1">
      <c r="A30" s="13" t="s">
        <v>34</v>
      </c>
      <c r="B30" s="15" t="s">
        <v>146</v>
      </c>
      <c r="C30" s="18">
        <f>'насел.'!C30+пільги!C30+субсидії!C30+'держ.бюджет'!C30+'місц.-районн.бюджет'!C30+областной!C30+інші!C30</f>
        <v>23.50000000000002</v>
      </c>
      <c r="D30" s="18">
        <f>'насел.'!D30+пільги!D30+субсидії!D30+'держ.бюджет'!D30+'місц.-районн.бюджет'!D30+областной!D30+інші!D30</f>
        <v>153</v>
      </c>
      <c r="E30" s="18">
        <f>'насел.'!E30+пільги!E30+субсидії!E30+'держ.бюджет'!E30+'місц.-районн.бюджет'!E30+областной!E30+інші!E30</f>
        <v>80.7</v>
      </c>
      <c r="F30" s="11">
        <f t="shared" si="0"/>
        <v>52.74509803921569</v>
      </c>
      <c r="G30" s="18">
        <f>'насел.'!G30+пільги!G30+субсидії!G30+'держ.бюджет'!G30+'місц.-районн.бюджет'!G30+областной!G30+інші!G30</f>
        <v>195</v>
      </c>
      <c r="H30" s="18">
        <f>'насел.'!H30+пільги!H30+субсидії!H30+'держ.бюджет'!H30+'місц.-районн.бюджет'!H30+областной!H30+інші!H30</f>
        <v>115.1</v>
      </c>
      <c r="I30" s="11">
        <f t="shared" si="4"/>
        <v>59.025641025641015</v>
      </c>
      <c r="J30" s="18">
        <f>'насел.'!J30+пільги!J30+субсидії!J30+'держ.бюджет'!J30+'місц.-районн.бюджет'!J30+областной!J30+інші!J30</f>
        <v>183.3</v>
      </c>
      <c r="K30" s="18">
        <f>'насел.'!K30+пільги!K30+субсидії!K30+'держ.бюджет'!K30+'місц.-районн.бюджет'!K30+областной!K30+інші!K30</f>
        <v>406.1</v>
      </c>
      <c r="L30" s="68">
        <f aca="true" t="shared" si="16" ref="L30:L45">K30/J30*100</f>
        <v>221.54937261320237</v>
      </c>
      <c r="M30" s="11">
        <f>'насел.'!M30+пільги!M30+субсидії!M30+'держ.бюджет'!M30+'місц.-районн.бюджет'!M30+областной!M30+інші!M30</f>
        <v>531.3</v>
      </c>
      <c r="N30" s="11">
        <f>'насел.'!N30+пільги!N30+субсидії!N30+'держ.бюджет'!N30+'місц.-районн.бюджет'!N30+областной!N30+інші!N30</f>
        <v>601.9</v>
      </c>
      <c r="O30" s="11">
        <f t="shared" si="5"/>
        <v>113.28816111424808</v>
      </c>
      <c r="P30" s="18">
        <f>'насел.'!P30+пільги!P30+субсидії!P30+'держ.бюджет'!P30+'місц.-районн.бюджет'!P30+областной!P30+інші!P30</f>
        <v>191.7</v>
      </c>
      <c r="Q30" s="18">
        <f>'насел.'!Q30+пільги!Q30+субсидії!Q30+'держ.бюджет'!Q30+'місц.-районн.бюджет'!Q30+областной!Q30+інші!Q30</f>
        <v>238.5</v>
      </c>
      <c r="R30" s="11">
        <f aca="true" t="shared" si="17" ref="R30:R41">Q30/P30*100</f>
        <v>124.4131455399061</v>
      </c>
      <c r="S30" s="18">
        <f>'насел.'!S30+пільги!S30+субсидії!S30+'держ.бюджет'!S30+'місц.-районн.бюджет'!S30+областной!S30+інші!S30</f>
        <v>221.60000000000002</v>
      </c>
      <c r="T30" s="18">
        <f>'насел.'!T30+пільги!T30+субсидії!T30+'держ.бюджет'!T30+'місц.-районн.бюджет'!T30+областной!T30+інші!T30</f>
        <v>239.7</v>
      </c>
      <c r="U30" s="11">
        <f aca="true" t="shared" si="18" ref="U30:U41">T30/S30*100</f>
        <v>108.16787003610106</v>
      </c>
      <c r="V30" s="18">
        <f>'насел.'!V30+пільги!V30+субсидії!V30+'держ.бюджет'!V30+'місц.-районн.бюджет'!V30+областной!V30+інші!V30</f>
        <v>178.7</v>
      </c>
      <c r="W30" s="18">
        <f>'насел.'!W30+пільги!W30+субсидії!W30+'держ.бюджет'!W30+'місц.-районн.бюджет'!W30+областной!W30+інші!W30</f>
        <v>153.70000000000002</v>
      </c>
      <c r="X30" s="11">
        <f aca="true" t="shared" si="19" ref="X30:X41">W30/V30*100</f>
        <v>86.01007274762172</v>
      </c>
      <c r="Y30" s="18">
        <f>'насел.'!Y30+пільги!Y30+субсидії!Y30+'держ.бюджет'!Y30+'місц.-районн.бюджет'!Y30+областной!Y30+інші!Y30</f>
        <v>592</v>
      </c>
      <c r="Z30" s="18">
        <f>'насел.'!Z30+пільги!Z30+субсидії!Z30+'держ.бюджет'!Z30+'місц.-районн.бюджет'!Z30+областной!Z30+інші!Z30</f>
        <v>631.9000000000001</v>
      </c>
      <c r="AA30" s="11">
        <f aca="true" t="shared" si="20" ref="AA30:AA45">Z30/Y30*100</f>
        <v>106.73986486486488</v>
      </c>
      <c r="AB30" s="18">
        <f>'насел.'!AB30+пільги!AB30+субсидії!AB30+'держ.бюджет'!AB30+'місц.-районн.бюджет'!AB30+областной!AB30+інші!AB30</f>
        <v>163.89999999999998</v>
      </c>
      <c r="AC30" s="18">
        <f>'насел.'!AC30+пільги!AC30+субсидії!AC30+'держ.бюджет'!AC30+'місц.-районн.бюджет'!AC30+областной!AC30+інші!AC30</f>
        <v>175</v>
      </c>
      <c r="AD30" s="11">
        <f aca="true" t="shared" si="21" ref="AD30:AD41">AC30/AB30*100</f>
        <v>106.77242220866383</v>
      </c>
      <c r="AE30" s="18">
        <f>'насел.'!AE30+пільги!AE30+субсидії!AE30+'держ.бюджет'!AE30+'місц.-районн.бюджет'!AE30+областной!AE30+інші!AE30</f>
        <v>174.10000000000002</v>
      </c>
      <c r="AF30" s="18">
        <f>'насел.'!AF30+пільги!AF30+субсидії!AF30+'держ.бюджет'!AF30+'місц.-районн.бюджет'!AF30+областной!AF30+інші!AF30</f>
        <v>169.3</v>
      </c>
      <c r="AG30" s="11">
        <f aca="true" t="shared" si="22" ref="AG30:AG41">AF30/AE30*100</f>
        <v>97.24296381390005</v>
      </c>
      <c r="AH30" s="18">
        <f>'насел.'!AH30+пільги!AH30+субсидії!AH30+'держ.бюджет'!AH30+'місц.-районн.бюджет'!AH30+областной!AH30+інші!AH30</f>
        <v>192.89999999999998</v>
      </c>
      <c r="AI30" s="18">
        <f>'насел.'!AI30+пільги!AI30+субсидії!AI30+'держ.бюджет'!AI30+'місц.-районн.бюджет'!AI30+областной!AI30+інші!AI30</f>
        <v>179.1</v>
      </c>
      <c r="AJ30" s="18">
        <f>'насел.'!AJ30+пільги!AJ30+субсидії!AJ30+'держ.бюджет'!AJ30+'місц.-районн.бюджет'!AJ30+областной!AJ30+інші!AJ30</f>
        <v>530.9000000000001</v>
      </c>
      <c r="AK30" s="18">
        <f>'насел.'!AK30+пільги!AK30+субсидії!AK30+'держ.бюджет'!AK30+'місц.-районн.бюджет'!AK30+областной!AK30+інші!AK30</f>
        <v>523.4</v>
      </c>
      <c r="AL30" s="18">
        <f t="shared" si="11"/>
        <v>98.58730457713315</v>
      </c>
      <c r="AM30" s="18">
        <f>'насел.'!AM30+пільги!AM30+субсидії!AM30+'держ.бюджет'!AM30+'місц.-районн.бюджет'!AM30+областной!AM30+інші!AM30</f>
        <v>187.60000000000002</v>
      </c>
      <c r="AN30" s="18">
        <f>'насел.'!AN30+пільги!AN30+субсидії!AN30+'держ.бюджет'!AN30+'місц.-районн.бюджет'!AN30+областной!AN30+інші!AN30</f>
        <v>183.79999999999998</v>
      </c>
      <c r="AO30" s="18">
        <f>'насел.'!AO30+пільги!AO30+субсидії!AO30+'держ.бюджет'!AO30+'місц.-районн.бюджет'!AO30+областной!AO30+інші!AO30</f>
        <v>191</v>
      </c>
      <c r="AP30" s="18">
        <f>'насел.'!AP30+пільги!AP30+субсидії!AP30+'держ.бюджет'!AP30+'місц.-районн.бюджет'!AP30+областной!AP30+інші!AP30</f>
        <v>187.29999999999998</v>
      </c>
      <c r="AQ30" s="18">
        <f>'насел.'!AQ30+пільги!AQ30+субсидії!AQ30+'держ.бюджет'!AQ30+'місц.-районн.бюджет'!AQ30+областной!AQ30+інші!AQ30</f>
        <v>222</v>
      </c>
      <c r="AR30" s="18">
        <f>'насел.'!AR30+пільги!AR30+субсидії!AR30+'держ.бюджет'!AR30+'місц.-районн.бюджет'!AR30+областной!AR30+інші!AR30</f>
        <v>247.10000000000002</v>
      </c>
      <c r="AS30" s="18">
        <f>'насел.'!AS30+пільги!AS30+субсидії!AS30+'держ.бюджет'!AS30+'місц.-районн.бюджет'!AS30+областной!AS30+інші!AS30</f>
        <v>2254.8</v>
      </c>
      <c r="AT30" s="18">
        <f>'насел.'!AT30+пільги!AT30+субсидії!AT30+'держ.бюджет'!AT30+'місц.-районн.бюджет'!AT30+областной!AT30+інші!AT30</f>
        <v>2375.4</v>
      </c>
      <c r="AU30" s="11">
        <f t="shared" si="3"/>
        <v>105.34858967535922</v>
      </c>
      <c r="AV30" s="18">
        <f>'насел.'!AV30+пільги!AV30+субсидії!AV30+'держ.бюджет'!AV30+'місц.-районн.бюджет'!AV30+областной!AV30+інші!AV30</f>
        <v>-120.59999999999997</v>
      </c>
      <c r="AW30" s="18">
        <f>'насел.'!AW30+пільги!AW30+субсидії!AW30+'держ.бюджет'!AW30+'місц.-районн.бюджет'!AW30+областной!AW30+інші!AW30</f>
        <v>-97.09999999999995</v>
      </c>
      <c r="AX30" s="42">
        <f t="shared" si="12"/>
        <v>2254.8</v>
      </c>
      <c r="AY30" s="42">
        <f t="shared" si="13"/>
        <v>2375.4</v>
      </c>
      <c r="AZ30" s="42">
        <f t="shared" si="14"/>
        <v>-120.59999999999991</v>
      </c>
      <c r="BA30" s="42">
        <f t="shared" si="15"/>
        <v>-97.09999999999991</v>
      </c>
    </row>
    <row r="31" spans="1:53" ht="28.5" customHeight="1">
      <c r="A31" s="13" t="s">
        <v>35</v>
      </c>
      <c r="B31" s="15" t="s">
        <v>111</v>
      </c>
      <c r="C31" s="18">
        <f>'насел.'!C31+пільги!C31+субсидії!C31+'держ.бюджет'!C31+'місц.-районн.бюджет'!C31+областной!C31+інші!C31</f>
        <v>-960.8999999999999</v>
      </c>
      <c r="D31" s="18">
        <f>'насел.'!D31+пільги!D31+субсидії!D31+'держ.бюджет'!D31+'місц.-районн.бюджет'!D31+областной!D31+інші!D31</f>
        <v>220.7</v>
      </c>
      <c r="E31" s="18">
        <f>'насел.'!E31+пільги!E31+субсидії!E31+'держ.бюджет'!E31+'місц.-районн.бюджет'!E31+областной!E31+інші!E31</f>
        <v>71.8</v>
      </c>
      <c r="F31" s="11">
        <f t="shared" si="0"/>
        <v>32.53285002265519</v>
      </c>
      <c r="G31" s="18">
        <f>'насел.'!G31+пільги!G31+субсидії!G31+'держ.бюджет'!G31+'місц.-районн.бюджет'!G31+областной!G31+інші!G31</f>
        <v>229.2</v>
      </c>
      <c r="H31" s="18">
        <f>'насел.'!H31+пільги!H31+субсидії!H31+'держ.бюджет'!H31+'місц.-районн.бюджет'!H31+областной!H31+інші!H31</f>
        <v>740.5999999999999</v>
      </c>
      <c r="I31" s="11">
        <f t="shared" si="4"/>
        <v>323.12390924956367</v>
      </c>
      <c r="J31" s="18">
        <f>'насел.'!J31+пільги!J31+субсидії!J31+'держ.бюджет'!J31+'місц.-районн.бюджет'!J31+областной!J31+інші!J31</f>
        <v>223</v>
      </c>
      <c r="K31" s="18">
        <f>'насел.'!K31+пільги!K31+субсидії!K31+'держ.бюджет'!K31+'місц.-районн.бюджет'!K31+областной!K31+інші!K31</f>
        <v>96.50000000000001</v>
      </c>
      <c r="L31" s="68">
        <f t="shared" si="16"/>
        <v>43.27354260089687</v>
      </c>
      <c r="M31" s="11">
        <f>'насел.'!M31+пільги!M31+субсидії!M31+'держ.бюджет'!M31+'місц.-районн.бюджет'!M31+областной!M31+інші!M31</f>
        <v>672.9000000000001</v>
      </c>
      <c r="N31" s="11">
        <f>'насел.'!N31+пільги!N31+субсидії!N31+'держ.бюджет'!N31+'місц.-районн.бюджет'!N31+областной!N31+інші!N31</f>
        <v>908.9</v>
      </c>
      <c r="O31" s="11">
        <f t="shared" si="5"/>
        <v>135.07207608857183</v>
      </c>
      <c r="P31" s="18">
        <f>'насел.'!P31+пільги!P31+субсидії!P31+'держ.бюджет'!P31+'місц.-районн.бюджет'!P31+областной!P31+інші!P31</f>
        <v>220.1</v>
      </c>
      <c r="Q31" s="18">
        <f>'насел.'!Q31+пільги!Q31+субсидії!Q31+'держ.бюджет'!Q31+'місц.-районн.бюджет'!Q31+областной!Q31+інші!Q31</f>
        <v>257.8</v>
      </c>
      <c r="R31" s="11">
        <f t="shared" si="17"/>
        <v>117.12857791912768</v>
      </c>
      <c r="S31" s="18">
        <f>'насел.'!S31+пільги!S31+субсидії!S31+'держ.бюджет'!S31+'місц.-районн.бюджет'!S31+областной!S31+інші!S31</f>
        <v>225.5</v>
      </c>
      <c r="T31" s="18">
        <f>'насел.'!T31+пільги!T31+субсидії!T31+'держ.бюджет'!T31+'місц.-районн.бюджет'!T31+областной!T31+інші!T31</f>
        <v>400.7</v>
      </c>
      <c r="U31" s="11">
        <f t="shared" si="18"/>
        <v>177.6940133037694</v>
      </c>
      <c r="V31" s="18">
        <f>'насел.'!V31+пільги!V31+субсидії!V31+'держ.бюджет'!V31+'місц.-районн.бюджет'!V31+областной!V31+інші!V31</f>
        <v>236.6</v>
      </c>
      <c r="W31" s="18">
        <f>'насел.'!W31+пільги!W31+субсидії!W31+'держ.бюджет'!W31+'місц.-районн.бюджет'!W31+областной!W31+інші!W31</f>
        <v>107.4</v>
      </c>
      <c r="X31" s="11">
        <f t="shared" si="19"/>
        <v>45.39306846999155</v>
      </c>
      <c r="Y31" s="18">
        <f>'насел.'!Y31+пільги!Y31+субсидії!Y31+'держ.бюджет'!Y31+'місц.-районн.бюджет'!Y31+областной!Y31+інші!Y31</f>
        <v>682.2</v>
      </c>
      <c r="Z31" s="18">
        <f>'насел.'!Z31+пільги!Z31+субсидії!Z31+'держ.бюджет'!Z31+'місц.-районн.бюджет'!Z31+областной!Z31+інші!Z31</f>
        <v>765.9</v>
      </c>
      <c r="AA31" s="11">
        <f t="shared" si="20"/>
        <v>112.26912928759893</v>
      </c>
      <c r="AB31" s="18">
        <f>'насел.'!AB31+пільги!AB31+субсидії!AB31+'держ.бюджет'!AB31+'місц.-районн.бюджет'!AB31+областной!AB31+інші!AB31</f>
        <v>242.60000000000002</v>
      </c>
      <c r="AC31" s="18">
        <f>'насел.'!AC31+пільги!AC31+субсидії!AC31+'держ.бюджет'!AC31+'місц.-районн.бюджет'!AC31+областной!AC31+інші!AC31</f>
        <v>190.29999999999998</v>
      </c>
      <c r="AD31" s="11">
        <f t="shared" si="21"/>
        <v>78.44187963726297</v>
      </c>
      <c r="AE31" s="18">
        <f>'насел.'!AE31+пільги!AE31+субсидії!AE31+'держ.бюджет'!AE31+'місц.-районн.бюджет'!AE31+областной!AE31+інші!AE31</f>
        <v>261.1</v>
      </c>
      <c r="AF31" s="18">
        <f>'насел.'!AF31+пільги!AF31+субсидії!AF31+'держ.бюджет'!AF31+'місц.-районн.бюджет'!AF31+областной!AF31+інші!AF31</f>
        <v>210.69999999999996</v>
      </c>
      <c r="AG31" s="11">
        <f t="shared" si="22"/>
        <v>80.69705093833778</v>
      </c>
      <c r="AH31" s="18">
        <f>'насел.'!AH31+пільги!AH31+субсидії!AH31+'держ.бюджет'!AH31+'місц.-районн.бюджет'!AH31+областной!AH31+інші!AH31</f>
        <v>246.20000000000002</v>
      </c>
      <c r="AI31" s="18">
        <f>'насел.'!AI31+пільги!AI31+субсидії!AI31+'держ.бюджет'!AI31+'місц.-районн.бюджет'!AI31+областной!AI31+інші!AI31</f>
        <v>207.79000000000002</v>
      </c>
      <c r="AJ31" s="18">
        <f>'насел.'!AJ31+пільги!AJ31+субсидії!AJ31+'держ.бюджет'!AJ31+'місц.-районн.бюджет'!AJ31+областной!AJ31+інші!AJ31</f>
        <v>749.9</v>
      </c>
      <c r="AK31" s="18">
        <f>'насел.'!AK31+пільги!AK31+субсидії!AK31+'держ.бюджет'!AK31+'місц.-районн.бюджет'!AK31+областной!AK31+інші!AK31</f>
        <v>608.79</v>
      </c>
      <c r="AL31" s="18">
        <f t="shared" si="11"/>
        <v>81.18282437658354</v>
      </c>
      <c r="AM31" s="18">
        <f>'насел.'!AM31+пільги!AM31+субсидії!AM31+'держ.бюджет'!AM31+'місц.-районн.бюджет'!AM31+областной!AM31+інші!AM31</f>
        <v>242.6</v>
      </c>
      <c r="AN31" s="18">
        <f>'насел.'!AN31+пільги!AN31+субсидії!AN31+'держ.бюджет'!AN31+'місц.-районн.бюджет'!AN31+областной!AN31+інші!AN31</f>
        <v>196.1</v>
      </c>
      <c r="AO31" s="18">
        <f>'насел.'!AO31+пільги!AO31+субсидії!AO31+'держ.бюджет'!AO31+'місц.-районн.бюджет'!AO31+областной!AO31+інші!AO31</f>
        <v>222.9</v>
      </c>
      <c r="AP31" s="18">
        <f>'насел.'!AP31+пільги!AP31+субсидії!AP31+'держ.бюджет'!AP31+'місц.-районн.бюджет'!AP31+областной!AP31+інші!AP31</f>
        <v>171.10000000000002</v>
      </c>
      <c r="AQ31" s="18">
        <f>'насел.'!AQ31+пільги!AQ31+субсидії!AQ31+'держ.бюджет'!AQ31+'місц.-районн.бюджет'!AQ31+областной!AQ31+інші!AQ31</f>
        <v>239.79999999999995</v>
      </c>
      <c r="AR31" s="18">
        <f>'насел.'!AR31+пільги!AR31+субсидії!AR31+'держ.бюджет'!AR31+'місц.-районн.бюджет'!AR31+областной!AR31+інші!AR31</f>
        <v>206.69999999999996</v>
      </c>
      <c r="AS31" s="18">
        <f>'насел.'!AS31+пільги!AS31+субсидії!AS31+'держ.бюджет'!AS31+'місц.-районн.бюджет'!AS31+областной!AS31+інші!AS31</f>
        <v>2810.2999999999997</v>
      </c>
      <c r="AT31" s="18">
        <f>'насел.'!AT31+пільги!AT31+субсидії!AT31+'держ.бюджет'!AT31+'місц.-районн.бюджет'!AT31+областной!AT31+інші!AT31</f>
        <v>2857.4900000000002</v>
      </c>
      <c r="AU31" s="11">
        <f t="shared" si="3"/>
        <v>101.67918015870194</v>
      </c>
      <c r="AV31" s="18">
        <f>'насел.'!AV31+пільги!AV31+субсидії!AV31+'держ.бюджет'!AV31+'місц.-районн.бюджет'!AV31+областной!AV31+інші!AV31</f>
        <v>-47.19000000000014</v>
      </c>
      <c r="AW31" s="18">
        <f>'насел.'!AW31+пільги!AW31+субсидії!AW31+'держ.бюджет'!AW31+'місц.-районн.бюджет'!AW31+областной!AW31+інші!AW31</f>
        <v>-1008.09</v>
      </c>
      <c r="AX31" s="42">
        <f t="shared" si="12"/>
        <v>2810.3</v>
      </c>
      <c r="AY31" s="42">
        <f t="shared" si="13"/>
        <v>2857.49</v>
      </c>
      <c r="AZ31" s="42">
        <f t="shared" si="14"/>
        <v>-47.1899999999996</v>
      </c>
      <c r="BA31" s="42">
        <f t="shared" si="15"/>
        <v>-1008.0899999999995</v>
      </c>
    </row>
    <row r="32" spans="1:53" ht="28.5" customHeight="1">
      <c r="A32" s="13"/>
      <c r="B32" s="15" t="s">
        <v>112</v>
      </c>
      <c r="C32" s="18"/>
      <c r="D32" s="18"/>
      <c r="E32" s="18"/>
      <c r="F32" s="11"/>
      <c r="G32" s="18"/>
      <c r="H32" s="18"/>
      <c r="I32" s="11"/>
      <c r="J32" s="18"/>
      <c r="K32" s="18"/>
      <c r="L32" s="68"/>
      <c r="M32" s="11"/>
      <c r="N32" s="11"/>
      <c r="O32" s="11"/>
      <c r="P32" s="18"/>
      <c r="Q32" s="18"/>
      <c r="R32" s="11"/>
      <c r="S32" s="18"/>
      <c r="T32" s="18"/>
      <c r="U32" s="11"/>
      <c r="V32" s="18"/>
      <c r="W32" s="18"/>
      <c r="X32" s="11"/>
      <c r="Y32" s="18"/>
      <c r="Z32" s="18"/>
      <c r="AA32" s="11"/>
      <c r="AB32" s="18"/>
      <c r="AC32" s="18"/>
      <c r="AD32" s="11"/>
      <c r="AE32" s="18"/>
      <c r="AF32" s="18"/>
      <c r="AG32" s="11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1"/>
      <c r="AV32" s="18"/>
      <c r="AW32" s="18"/>
      <c r="AX32" s="42">
        <f t="shared" si="12"/>
        <v>0</v>
      </c>
      <c r="AY32" s="42">
        <f t="shared" si="13"/>
        <v>0</v>
      </c>
      <c r="AZ32" s="42"/>
      <c r="BA32" s="42"/>
    </row>
    <row r="33" spans="1:53" ht="44.25" customHeight="1">
      <c r="A33" s="13" t="s">
        <v>36</v>
      </c>
      <c r="B33" s="137" t="s">
        <v>158</v>
      </c>
      <c r="C33" s="18">
        <f>'насел.'!C33+пільги!C33+субсидії!C33+'держ.бюджет'!C33+'місц.-районн.бюджет'!C33+областной!C33+інші!C33</f>
        <v>3654.2999999999997</v>
      </c>
      <c r="D33" s="18">
        <f>'насел.'!D33+пільги!D33+субсидії!D33+'держ.бюджет'!D33+'місц.-районн.бюджет'!D33+областной!D33+інші!D33</f>
        <v>1369.8999999999999</v>
      </c>
      <c r="E33" s="18">
        <f>'насел.'!E33+пільги!E33+субсидії!E33+'держ.бюджет'!E33+'місц.-районн.бюджет'!E33+областной!E33+інші!E33</f>
        <v>1056.2</v>
      </c>
      <c r="F33" s="11">
        <f t="shared" si="0"/>
        <v>77.10051828600629</v>
      </c>
      <c r="G33" s="18">
        <f>'насел.'!G33+пільги!G33+субсидії!G33+'держ.бюджет'!G33+'місц.-районн.бюджет'!G33+областной!G33+інші!G33</f>
        <v>1362.6999999999998</v>
      </c>
      <c r="H33" s="18">
        <f>'насел.'!H33+пільги!H33+субсидії!H33+'держ.бюджет'!H33+'місц.-районн.бюджет'!H33+областной!H33+інші!H33</f>
        <v>1708.6000000000001</v>
      </c>
      <c r="I33" s="11">
        <f t="shared" si="4"/>
        <v>125.38342995523595</v>
      </c>
      <c r="J33" s="18">
        <f>'насел.'!J33+пільги!J33+субсидії!J33+'держ.бюджет'!J33+'місц.-районн.бюджет'!J33+областной!J33+інші!J33</f>
        <v>1454.5999999999997</v>
      </c>
      <c r="K33" s="18">
        <f>'насел.'!K33+пільги!K33+субсидії!K33+'держ.бюджет'!K33+'місц.-районн.бюджет'!K33+областной!K33+інші!K33</f>
        <v>931.1999999999999</v>
      </c>
      <c r="L33" s="11">
        <f t="shared" si="16"/>
        <v>64.01759934002476</v>
      </c>
      <c r="M33" s="11">
        <f>'насел.'!M33+пільги!M33+субсидії!M33+'держ.бюджет'!M33+'місц.-районн.бюджет'!M33+областной!M33+інші!M33</f>
        <v>4187.2</v>
      </c>
      <c r="N33" s="11">
        <f>'насел.'!N33+пільги!N33+субсидії!N33+'держ.бюджет'!N33+'місц.-районн.бюджет'!N33+областной!N33+інші!N33</f>
        <v>3695.9999999999995</v>
      </c>
      <c r="O33" s="11">
        <f t="shared" si="5"/>
        <v>88.26901031715705</v>
      </c>
      <c r="P33" s="18">
        <f>'насел.'!P33+пільги!P33+субсидії!P33+'держ.бюджет'!P33+'місц.-районн.бюджет'!P33+областной!P33+інші!P33</f>
        <v>1582</v>
      </c>
      <c r="Q33" s="18">
        <f>'насел.'!Q33+пільги!Q33+субсидії!Q33+'держ.бюджет'!Q33+'місц.-районн.бюджет'!Q33+областной!Q33+інші!Q33</f>
        <v>1847.0000000000002</v>
      </c>
      <c r="R33" s="11">
        <f t="shared" si="17"/>
        <v>116.7509481668774</v>
      </c>
      <c r="S33" s="18">
        <f>'насел.'!S33+пільги!S33+субсидії!S33+'держ.бюджет'!S33+'місц.-районн.бюджет'!S33+областной!S33+інші!S33</f>
        <v>1972.1000000000004</v>
      </c>
      <c r="T33" s="18">
        <f>'насел.'!T33+пільги!T33+субсидії!T33+'держ.бюджет'!T33+'місц.-районн.бюджет'!T33+областной!T33+інші!T33</f>
        <v>765.7</v>
      </c>
      <c r="U33" s="11">
        <f t="shared" si="18"/>
        <v>38.82663150955833</v>
      </c>
      <c r="V33" s="18">
        <f>'насел.'!V33+пільги!V33+субсидії!V33+'держ.бюджет'!V33+'місц.-районн.бюджет'!V33+областной!V33+інші!V33</f>
        <v>3281.0999999999995</v>
      </c>
      <c r="W33" s="18">
        <f>'насел.'!W33+пільги!W33+субсидії!W33+'держ.бюджет'!W33+'місц.-районн.бюджет'!W33+областной!W33+інші!W33</f>
        <v>1604.7</v>
      </c>
      <c r="X33" s="11">
        <f t="shared" si="19"/>
        <v>48.90737862302277</v>
      </c>
      <c r="Y33" s="18">
        <f>'насел.'!Y33+пільги!Y33+субсидії!Y33+'держ.бюджет'!Y33+'місц.-районн.бюджет'!Y33+областной!Y33+інші!Y33</f>
        <v>6835.2</v>
      </c>
      <c r="Z33" s="18">
        <f>'насел.'!Z33+пільги!Z33+субсидії!Z33+'держ.бюджет'!Z33+'місц.-районн.бюджет'!Z33+областной!Z33+інші!Z33</f>
        <v>4217.400000000001</v>
      </c>
      <c r="AA33" s="11">
        <f t="shared" si="20"/>
        <v>61.70119382022473</v>
      </c>
      <c r="AB33" s="18">
        <f>'насел.'!AB33+пільги!AB33+субсидії!AB33+'держ.бюджет'!AB33+'місц.-районн.бюджет'!AB33+областной!AB33+інші!AB33</f>
        <v>1904.3999999999999</v>
      </c>
      <c r="AC33" s="18">
        <f>'насел.'!AC33+пільги!AC33+субсидії!AC33+'держ.бюджет'!AC33+'місц.-районн.бюджет'!AC33+областной!AC33+інші!AC33</f>
        <v>1910.4</v>
      </c>
      <c r="AD33" s="11">
        <f t="shared" si="21"/>
        <v>100.31505986137368</v>
      </c>
      <c r="AE33" s="18">
        <f>'насел.'!AE33+пільги!AE33+субсидії!AE33+'держ.бюджет'!AE33+'місц.-районн.бюджет'!AE33+областной!AE33+інші!AE33</f>
        <v>1862.7</v>
      </c>
      <c r="AF33" s="18">
        <f>'насел.'!AF33+пільги!AF33+субсидії!AF33+'держ.бюджет'!AF33+'місц.-районн.бюджет'!AF33+областной!AF33+інші!AF33</f>
        <v>1897.9</v>
      </c>
      <c r="AG33" s="11">
        <f t="shared" si="22"/>
        <v>101.88972996188328</v>
      </c>
      <c r="AH33" s="18">
        <f>'насел.'!AH33+пільги!AH33+субсидії!AH33+'держ.бюджет'!AH33+'місц.-районн.бюджет'!AH33+областной!AH33+інші!AH33</f>
        <v>1862.7</v>
      </c>
      <c r="AI33" s="18">
        <f>'насел.'!AI33+пільги!AI33+субсидії!AI33+'держ.бюджет'!AI33+'місц.-районн.бюджет'!AI33+областной!AI33+інші!AI33</f>
        <v>2254.4</v>
      </c>
      <c r="AJ33" s="18">
        <f>'насел.'!AJ33+пільги!AJ33+субсидії!AJ33+'держ.бюджет'!AJ33+'місц.-районн.бюджет'!AJ33+областной!AJ33+інші!AJ33</f>
        <v>5629.800000000001</v>
      </c>
      <c r="AK33" s="18">
        <f>'насел.'!AK33+пільги!AK33+субсидії!AK33+'держ.бюджет'!AK33+'місц.-районн.бюджет'!AK33+областной!AK33+інші!AK33</f>
        <v>6062.700000000001</v>
      </c>
      <c r="AL33" s="18">
        <f t="shared" si="11"/>
        <v>107.68943834594478</v>
      </c>
      <c r="AM33" s="18">
        <f>'насел.'!AM33+пільги!AM33+субсидії!AM33+'держ.бюджет'!AM33+'місц.-районн.бюджет'!AM33+областной!AM33+інші!AM33</f>
        <v>1730.3000000000004</v>
      </c>
      <c r="AN33" s="18">
        <f>'насел.'!AN33+пільги!AN33+субсидії!AN33+'держ.бюджет'!AN33+'місц.-районн.бюджет'!AN33+областной!AN33+інші!AN33</f>
        <v>2061.6</v>
      </c>
      <c r="AO33" s="18">
        <f>'насел.'!AO33+пільги!AO33+субсидії!AO33+'держ.бюджет'!AO33+'місц.-районн.бюджет'!AO33+областной!AO33+інші!AO33</f>
        <v>2031.5000000000005</v>
      </c>
      <c r="AP33" s="18">
        <f>'насел.'!AP33+пільги!AP33+субсидії!AP33+'держ.бюджет'!AP33+'місц.-районн.бюджет'!AP33+областной!AP33+інші!AP33</f>
        <v>1775.4</v>
      </c>
      <c r="AQ33" s="18">
        <f>'насел.'!AQ33+пільги!AQ33+субсидії!AQ33+'держ.бюджет'!AQ33+'місц.-районн.бюджет'!AQ33+областной!AQ33+інші!AQ33</f>
        <v>1949.4</v>
      </c>
      <c r="AR33" s="18">
        <f>'насел.'!AR33+пільги!AR33+субсидії!AR33+'держ.бюджет'!AR33+'місц.-районн.бюджет'!AR33+областной!AR33+інші!AR33</f>
        <v>1759.1</v>
      </c>
      <c r="AS33" s="18">
        <f>'насел.'!AS33+пільги!AS33+субсидії!AS33+'держ.бюджет'!AS33+'місц.-районн.бюджет'!AS33+областной!AS33+інші!AS33</f>
        <v>22363.400000000005</v>
      </c>
      <c r="AT33" s="18">
        <f>'насел.'!AT33+пільги!AT33+субсидії!AT33+'держ.бюджет'!AT33+'місц.-районн.бюджет'!AT33+областной!AT33+інші!AT33</f>
        <v>19572.199999999997</v>
      </c>
      <c r="AU33" s="11">
        <f t="shared" si="3"/>
        <v>87.51889247609931</v>
      </c>
      <c r="AV33" s="18">
        <f>'насел.'!AV33+пільги!AV33+субсидії!AV33+'держ.бюджет'!AV33+'місц.-районн.бюджет'!AV33+областной!AV33+інші!AV33</f>
        <v>2791.2000000000035</v>
      </c>
      <c r="AW33" s="18">
        <f>'насел.'!AW33+пільги!AW33+субсидії!AW33+'держ.бюджет'!AW33+'місц.-районн.бюджет'!AW33+областной!AW33+інші!AW33</f>
        <v>6445.500000000003</v>
      </c>
      <c r="AX33" s="42">
        <f t="shared" si="12"/>
        <v>22363.4</v>
      </c>
      <c r="AY33" s="42">
        <f t="shared" si="13"/>
        <v>19572.2</v>
      </c>
      <c r="AZ33" s="42">
        <f t="shared" si="14"/>
        <v>2791.2000000000007</v>
      </c>
      <c r="BA33" s="42">
        <f t="shared" si="15"/>
        <v>6445.5</v>
      </c>
    </row>
    <row r="34" spans="1:53" ht="30" customHeight="1">
      <c r="A34" s="13" t="s">
        <v>37</v>
      </c>
      <c r="B34" s="137" t="s">
        <v>157</v>
      </c>
      <c r="C34" s="18">
        <f>'насел.'!C34+пільги!C34+субсидії!C34+'держ.бюджет'!C34+'місц.-районн.бюджет'!C34+областной!C34+інші!C34</f>
        <v>1060.7</v>
      </c>
      <c r="D34" s="18">
        <f>'насел.'!D34+пільги!D34+субсидії!D34+'держ.бюджет'!D34+'місц.-районн.бюджет'!D34+областной!D34+інші!D34</f>
        <v>824.73718</v>
      </c>
      <c r="E34" s="18">
        <f>'насел.'!E34+пільги!E34+субсидії!E34+'держ.бюджет'!E34+'місц.-районн.бюджет'!E34+областной!E34+інші!E34</f>
        <v>489.37613000000005</v>
      </c>
      <c r="F34" s="11">
        <f t="shared" si="0"/>
        <v>59.33722182865577</v>
      </c>
      <c r="G34" s="18">
        <f>'насел.'!G34+пільги!G34+субсидії!G34+'держ.бюджет'!G34+'місц.-районн.бюджет'!G34+областной!G34+інші!G34</f>
        <v>733.4999999999999</v>
      </c>
      <c r="H34" s="18">
        <f>'насел.'!H34+пільги!H34+субсидії!H34+'держ.бюджет'!H34+'місц.-районн.бюджет'!H34+областной!H34+інші!H34</f>
        <v>1081.6999999999998</v>
      </c>
      <c r="I34" s="11">
        <f t="shared" si="4"/>
        <v>147.47102931152008</v>
      </c>
      <c r="J34" s="18">
        <f>'насел.'!J34+пільги!J34+субсидії!J34+'держ.бюджет'!J34+'місц.-районн.бюджет'!J34+областной!J34+інші!J34</f>
        <v>803.1089999999999</v>
      </c>
      <c r="K34" s="18">
        <f>'насел.'!K34+пільги!K34+субсидії!K34+'держ.бюджет'!K34+'місц.-районн.бюджет'!K34+областной!K34+інші!K34</f>
        <v>776.124</v>
      </c>
      <c r="L34" s="11">
        <f t="shared" si="16"/>
        <v>96.63993306014503</v>
      </c>
      <c r="M34" s="11">
        <f>'насел.'!M34+пільги!M34+субсидії!M34+'держ.бюджет'!M34+'місц.-районн.бюджет'!M34+областной!M34+інші!M34</f>
        <v>2361.34618</v>
      </c>
      <c r="N34" s="11">
        <f>'насел.'!N34+пільги!N34+субсидії!N34+'держ.бюджет'!N34+'місц.-районн.бюджет'!N34+областной!N34+інші!N34</f>
        <v>2347.20013</v>
      </c>
      <c r="O34" s="18">
        <f>'насел.'!O34+пільги!O34+субсидії!O34+'держ.бюджет'!O34+'місц.-районн.бюджет'!O34+областной!O34+інші!O34</f>
        <v>617.747213953775</v>
      </c>
      <c r="P34" s="18">
        <f>'насел.'!P34+пільги!P34+субсидії!P34+'держ.бюджет'!P34+'місц.-районн.бюджет'!P34+областной!P34+інші!P34</f>
        <v>743.7679899999999</v>
      </c>
      <c r="Q34" s="18">
        <f>'насел.'!Q34+пільги!Q34+субсидії!Q34+'держ.бюджет'!Q34+'місц.-районн.бюджет'!Q34+областной!Q34+інші!Q34</f>
        <v>303.40134</v>
      </c>
      <c r="R34" s="18">
        <f>'насел.'!R34+пільги!R34+субсидії!R34+'держ.бюджет'!R34+'місц.-районн.бюджет'!R34+областной!R34+інші!R34</f>
        <v>204.18444023000066</v>
      </c>
      <c r="S34" s="18">
        <f>'насел.'!S34+пільги!S34+субсидії!S34+'держ.бюджет'!S34+'місц.-районн.бюджет'!S34+областной!S34+інші!S34</f>
        <v>839.5499000000001</v>
      </c>
      <c r="T34" s="18">
        <f>'насел.'!T34+пільги!T34+субсидії!T34+'держ.бюджет'!T34+'місц.-районн.бюджет'!T34+областной!T34+інші!T34</f>
        <v>946.30644</v>
      </c>
      <c r="U34" s="18">
        <f>'насел.'!U34+пільги!U34+субсидії!U34+'держ.бюджет'!U34+'місц.-районн.бюджет'!U34+областной!U34+інші!U34</f>
        <v>418.72104615292466</v>
      </c>
      <c r="V34" s="18">
        <f>'насел.'!V34+пільги!V34+субсидії!V34+'держ.бюджет'!V34+'місц.-районн.бюджет'!V34+областной!V34+інші!V34</f>
        <v>820.2559799999999</v>
      </c>
      <c r="W34" s="18">
        <f>'насел.'!W34+пільги!W34+субсидії!W34+'держ.бюджет'!W34+'місц.-районн.бюджет'!W34+областной!W34+інші!W34</f>
        <v>599.52858</v>
      </c>
      <c r="X34" s="18">
        <f>'насел.'!X34+пільги!X34+субсидії!X34+'держ.бюджет'!X34+'місц.-районн.бюджет'!X34+областной!X34+інші!X34</f>
        <v>789.2405412931533</v>
      </c>
      <c r="Y34" s="18">
        <f>'насел.'!Y34+пільги!Y34+субсидії!Y34+'держ.бюджет'!Y34+'місц.-районн.бюджет'!Y34+областной!Y34+інші!Y34</f>
        <v>2403.5738699999997</v>
      </c>
      <c r="Z34" s="18">
        <f>'насел.'!Z34+пільги!Z34+субсидії!Z34+'держ.бюджет'!Z34+'місц.-районн.бюджет'!Z34+областной!Z34+інші!Z34</f>
        <v>1849.23636</v>
      </c>
      <c r="AA34" s="18">
        <f>'насел.'!AA34+пільги!AA34+субсидії!AA34+'держ.бюджет'!AA34+'місц.-районн.бюджет'!AA34+областной!AA34+інші!AA34</f>
        <v>106.43018197635132</v>
      </c>
      <c r="AB34" s="18">
        <f>'насел.'!AB34+пільги!AB34+субсидії!AB34+'держ.бюджет'!AB34+'місц.-районн.бюджет'!AB34+областной!AB34+інші!AB34</f>
        <v>760.2040099999999</v>
      </c>
      <c r="AC34" s="18">
        <f>'насел.'!AC34+пільги!AC34+субсидії!AC34+'держ.бюджет'!AC34+'місц.-районн.бюджет'!AC34+областной!AC34+інші!AC34</f>
        <v>551.42169</v>
      </c>
      <c r="AD34" s="18">
        <f>'насел.'!AD34+пільги!AD34+субсидії!AD34+'держ.бюджет'!AD34+'місц.-районн.бюджет'!AD34+областной!AD34+інші!AD34</f>
        <v>433.10828394413244</v>
      </c>
      <c r="AE34" s="18">
        <f>'насел.'!AE34+пільги!AE34+субсидії!AE34+'держ.бюджет'!AE34+'місц.-районн.бюджет'!AE34+областной!AE34+інші!AE34</f>
        <v>767.7694200000001</v>
      </c>
      <c r="AF34" s="18">
        <f>'насел.'!AF34+пільги!AF34+субсидії!AF34+'держ.бюджет'!AF34+'місц.-районн.бюджет'!AF34+областной!AF34+інші!AF34</f>
        <v>730.6036700000001</v>
      </c>
      <c r="AG34" s="18">
        <f>'насел.'!AG34+пільги!AG34+субсидії!AG34+'держ.бюджет'!AG34+'місц.-районн.бюджет'!AG34+областной!AG34+інші!AG34</f>
        <v>369.3473677604846</v>
      </c>
      <c r="AH34" s="18">
        <f>'насел.'!AH34+пільги!AH34+субсидії!AH34+'держ.бюджет'!AH34+'місц.-районн.бюджет'!AH34+областной!AH34+інші!AH34</f>
        <v>794.8887699999999</v>
      </c>
      <c r="AI34" s="18">
        <f>'насел.'!AI34+пільги!AI34+субсидії!AI34+'держ.бюджет'!AI34+'місц.-районн.бюджет'!AI34+областной!AI34+інші!AI34</f>
        <v>1359.86284</v>
      </c>
      <c r="AJ34" s="18">
        <f>'насел.'!AJ34+пільги!AJ34+субсидії!AJ34+'держ.бюджет'!AJ34+'місц.-районн.бюджет'!AJ34+областной!AJ34+інші!AJ34</f>
        <v>2322.8622</v>
      </c>
      <c r="AK34" s="18">
        <f>'насел.'!AK34+пільги!AK34+субсидії!AK34+'держ.бюджет'!AK34+'місц.-районн.бюджет'!AK34+областной!AK34+інші!AK34</f>
        <v>2641.8882</v>
      </c>
      <c r="AL34" s="18">
        <f>'насел.'!AL34+пільги!AL34+субсидії!AL34+'держ.бюджет'!AL34+'місц.-районн.бюджет'!AL34+областной!AL34+інші!AL34</f>
        <v>487.2236225140588</v>
      </c>
      <c r="AM34" s="18">
        <f>'насел.'!AM34+пільги!AM34+субсидії!AM34+'держ.бюджет'!AM34+'місц.-районн.бюджет'!AM34+областной!AM34+інші!AM34</f>
        <v>775.9</v>
      </c>
      <c r="AN34" s="18">
        <f>'насел.'!AN34+пільги!AN34+субсидії!AN34+'держ.бюджет'!AN34+'місц.-районн.бюджет'!AN34+областной!AN34+інші!AN34</f>
        <v>887.8</v>
      </c>
      <c r="AO34" s="18">
        <f>'насел.'!AO34+пільги!AO34+субсидії!AO34+'держ.бюджет'!AO34+'місц.-районн.бюджет'!AO34+областной!AO34+інші!AO34</f>
        <v>737.3</v>
      </c>
      <c r="AP34" s="18">
        <f>'насел.'!AP34+пільги!AP34+субсидії!AP34+'держ.бюджет'!AP34+'місц.-районн.бюджет'!AP34+областной!AP34+інші!AP34</f>
        <v>794.5</v>
      </c>
      <c r="AQ34" s="18">
        <f>'насел.'!AQ34+пільги!AQ34+субсидії!AQ34+'держ.бюджет'!AQ34+'місц.-районн.бюджет'!AQ34+областной!AQ34+інші!AQ34</f>
        <v>629.5</v>
      </c>
      <c r="AR34" s="18">
        <f>'насел.'!AR34+пільги!AR34+субсидії!AR34+'держ.бюджет'!AR34+'місц.-районн.бюджет'!AR34+областной!AR34+інші!AR34</f>
        <v>647.0000000000001</v>
      </c>
      <c r="AS34" s="18">
        <f>'насел.'!AS34+пільги!AS34+субсидії!AS34+'держ.бюджет'!AS34+'місц.-районн.бюджет'!AS34+областной!AS34+інші!AS34</f>
        <v>9230.482250000001</v>
      </c>
      <c r="AT34" s="18">
        <f>'насел.'!AT34+пільги!AT34+субсидії!AT34+'держ.бюджет'!AT34+'місц.-районн.бюджет'!AT34+областной!AT34+інші!AT34</f>
        <v>9167.62469</v>
      </c>
      <c r="AU34" s="11">
        <f t="shared" si="3"/>
        <v>99.3190219286755</v>
      </c>
      <c r="AV34" s="18">
        <f>'насел.'!AV34+пільги!AV34+субсидії!AV34+'держ.бюджет'!AV34+'місц.-районн.бюджет'!AV34+областной!AV34+інші!AV34</f>
        <v>62.85756000000035</v>
      </c>
      <c r="AW34" s="18">
        <f>'насел.'!AW34+пільги!AW34+субсидії!AW34+'держ.бюджет'!AW34+'місц.-районн.бюджет'!AW34+областной!AW34+інші!AW34</f>
        <v>1123.5575600000006</v>
      </c>
      <c r="AX34" s="42">
        <f t="shared" si="12"/>
        <v>9230.48225</v>
      </c>
      <c r="AY34" s="42">
        <f t="shared" si="13"/>
        <v>9167.62469</v>
      </c>
      <c r="AZ34" s="42">
        <f t="shared" si="14"/>
        <v>62.85755999999856</v>
      </c>
      <c r="BA34" s="42">
        <f t="shared" si="15"/>
        <v>1123.5575599999993</v>
      </c>
    </row>
    <row r="35" spans="1:53" ht="27" customHeight="1">
      <c r="A35" s="13" t="s">
        <v>37</v>
      </c>
      <c r="B35" s="15" t="s">
        <v>113</v>
      </c>
      <c r="C35" s="18">
        <f>'насел.'!C35+пільги!C35+субсидії!C35+'держ.бюджет'!C35+'місц.-районн.бюджет'!C35+областной!C35+інші!C35</f>
        <v>1658.1</v>
      </c>
      <c r="D35" s="18">
        <f>'насел.'!D35+пільги!D35+субсидії!D35+'держ.бюджет'!D35+'місц.-районн.бюджет'!D35+областной!D35+інші!D35</f>
        <v>1110.4</v>
      </c>
      <c r="E35" s="18">
        <f>'насел.'!E35+пільги!E35+субсидії!E35+'держ.бюджет'!E35+'місц.-районн.бюджет'!E35+областной!E35+інші!E35</f>
        <v>543.1000000000001</v>
      </c>
      <c r="F35" s="11">
        <f t="shared" si="0"/>
        <v>48.91030259365995</v>
      </c>
      <c r="G35" s="18">
        <f>'насел.'!G35+пільги!G35+субсидії!G35+'держ.бюджет'!G35+'місц.-районн.бюджет'!G35+областной!G35+інші!G35</f>
        <v>1053.7</v>
      </c>
      <c r="H35" s="18">
        <f>'насел.'!H35+пільги!H35+субсидії!H35+'держ.бюджет'!H35+'місц.-районн.бюджет'!H35+областной!H35+інші!H35</f>
        <v>961.9</v>
      </c>
      <c r="I35" s="11">
        <f t="shared" si="4"/>
        <v>91.28784283951788</v>
      </c>
      <c r="J35" s="18">
        <f>'насел.'!J35+пільги!J35+субсидії!J35+'держ.бюджет'!J35+'місц.-районн.бюджет'!J35+областной!J35+інші!J35</f>
        <v>1115.1999999999998</v>
      </c>
      <c r="K35" s="18">
        <f>'насел.'!K35+пільги!K35+субсидії!K35+'держ.бюджет'!K35+'місц.-районн.бюджет'!K35+областной!K35+інші!K35</f>
        <v>703.4</v>
      </c>
      <c r="L35" s="11">
        <f t="shared" si="16"/>
        <v>63.073888091822106</v>
      </c>
      <c r="M35" s="11">
        <f>'насел.'!M35+пільги!M35+субсидії!M35+'держ.бюджет'!M35+'місц.-районн.бюджет'!M35+областной!M35+інші!M35</f>
        <v>3279.2999999999997</v>
      </c>
      <c r="N35" s="11">
        <f>'насел.'!N35+пільги!N35+субсидії!N35+'держ.бюджет'!N35+'місц.-районн.бюджет'!N35+областной!N35+інші!N35</f>
        <v>2208.4000000000005</v>
      </c>
      <c r="O35" s="11">
        <f t="shared" si="5"/>
        <v>67.34364041106335</v>
      </c>
      <c r="P35" s="18">
        <f>'насел.'!P35+пільги!P35+субсидії!P35+'держ.бюджет'!P35+'місц.-районн.бюджет'!P35+областной!P35+інші!P35</f>
        <v>1164.8999999999999</v>
      </c>
      <c r="Q35" s="18">
        <f>'насел.'!Q35+пільги!Q35+субсидії!Q35+'держ.бюджет'!Q35+'місц.-районн.бюджет'!Q35+областной!Q35+інші!Q35</f>
        <v>1013.1999999999999</v>
      </c>
      <c r="R35" s="11">
        <f t="shared" si="17"/>
        <v>86.97742295476006</v>
      </c>
      <c r="S35" s="18">
        <f>'насел.'!S35+пільги!S35+субсидії!S35+'держ.бюджет'!S35+'місц.-районн.бюджет'!S35+областной!S35+інші!S35</f>
        <v>1175.2</v>
      </c>
      <c r="T35" s="18">
        <f>'насел.'!T35+пільги!T35+субсидії!T35+'держ.бюджет'!T35+'місц.-районн.бюджет'!T35+областной!T35+інші!T35</f>
        <v>1323</v>
      </c>
      <c r="U35" s="11">
        <f t="shared" si="18"/>
        <v>112.57658270932606</v>
      </c>
      <c r="V35" s="18">
        <f>'насел.'!V35+пільги!V35+субсидії!V35+'держ.бюджет'!V35+'місц.-районн.бюджет'!V35+областной!V35+інші!V35</f>
        <v>1111.2</v>
      </c>
      <c r="W35" s="18">
        <f>'насел.'!W35+пільги!W35+субсидії!W35+'держ.бюджет'!W35+'місц.-районн.бюджет'!W35+областной!W35+інші!W35</f>
        <v>915.1999999999998</v>
      </c>
      <c r="X35" s="11">
        <f t="shared" si="19"/>
        <v>82.36141108711301</v>
      </c>
      <c r="Y35" s="18">
        <f>'насел.'!Y35+пільги!Y35+субсидії!Y35+'держ.бюджет'!Y35+'місц.-районн.бюджет'!Y35+областной!Y35+інші!Y35</f>
        <v>3451.2999999999997</v>
      </c>
      <c r="Z35" s="18">
        <f>'насел.'!Z35+пільги!Z35+субсидії!Z35+'держ.бюджет'!Z35+'місц.-районн.бюджет'!Z35+областной!Z35+інші!Z35</f>
        <v>3251.4</v>
      </c>
      <c r="AA35" s="11">
        <f t="shared" si="20"/>
        <v>94.20797960188916</v>
      </c>
      <c r="AB35" s="18">
        <f>'насел.'!AB35+пільги!AB35+субсидії!AB35+'держ.бюджет'!AB35+'місц.-районн.бюджет'!AB35+областной!AB35+інші!AB35</f>
        <v>1046.4</v>
      </c>
      <c r="AC35" s="18">
        <f>'насел.'!AC35+пільги!AC35+субсидії!AC35+'держ.бюджет'!AC35+'місц.-районн.бюджет'!AC35+областной!AC35+інші!AC35</f>
        <v>750.1000000000001</v>
      </c>
      <c r="AD35" s="11">
        <f t="shared" si="21"/>
        <v>71.68386850152906</v>
      </c>
      <c r="AE35" s="18">
        <f>'насел.'!AE35+пільги!AE35+субсидії!AE35+'держ.бюджет'!AE35+'місц.-районн.бюджет'!AE35+областной!AE35+інші!AE35</f>
        <v>1103.9</v>
      </c>
      <c r="AF35" s="18">
        <f>'насел.'!AF35+пільги!AF35+субсидії!AF35+'держ.бюджет'!AF35+'місц.-районн.бюджет'!AF35+областной!AF35+інші!AF35</f>
        <v>1076.3</v>
      </c>
      <c r="AG35" s="11">
        <f t="shared" si="22"/>
        <v>97.49977353021106</v>
      </c>
      <c r="AH35" s="18">
        <f>'насел.'!AH35+пільги!AH35+субсидії!AH35+'держ.бюджет'!AH35+'місц.-районн.бюджет'!AH35+областной!AH35+інші!AH35</f>
        <v>1125.3000000000002</v>
      </c>
      <c r="AI35" s="18">
        <f>'насел.'!AI35+пільги!AI35+субсидії!AI35+'держ.бюджет'!AI35+'місц.-районн.бюджет'!AI35+областной!AI35+інші!AI35</f>
        <v>1068.9999999999998</v>
      </c>
      <c r="AJ35" s="18">
        <f>'насел.'!AJ35+пільги!AJ35+субсидії!AJ35+'держ.бюджет'!AJ35+'місц.-районн.бюджет'!AJ35+областной!AJ35+інші!AJ35</f>
        <v>3275.6</v>
      </c>
      <c r="AK35" s="18">
        <f>'насел.'!AK35+пільги!AK35+субсидії!AK35+'держ.бюджет'!AK35+'місц.-районн.бюджет'!AK35+областной!AK35+інші!AK35</f>
        <v>2895.4</v>
      </c>
      <c r="AL35" s="18">
        <f t="shared" si="11"/>
        <v>88.39296617413605</v>
      </c>
      <c r="AM35" s="18">
        <f>'насел.'!AM35+пільги!AM35+субсидії!AM35+'держ.бюджет'!AM35+'місц.-районн.бюджет'!AM35+областной!AM35+інші!AM35</f>
        <v>1078.5</v>
      </c>
      <c r="AN35" s="18">
        <f>'насел.'!AN35+пільги!AN35+субсидії!AN35+'держ.бюджет'!AN35+'місц.-районн.бюджет'!AN35+областной!AN35+інші!AN35</f>
        <v>1067.7</v>
      </c>
      <c r="AO35" s="18">
        <f>'насел.'!AO35+пільги!AO35+субсидії!AO35+'держ.бюджет'!AO35+'місц.-районн.бюджет'!AO35+областной!AO35+інші!AO35</f>
        <v>1142.5</v>
      </c>
      <c r="AP35" s="18">
        <f>'насел.'!AP35+пільги!AP35+субсидії!AP35+'держ.бюджет'!AP35+'місц.-районн.бюджет'!AP35+областной!AP35+інші!AP35</f>
        <v>1047.3999999999999</v>
      </c>
      <c r="AQ35" s="18">
        <f>'насел.'!AQ35+пільги!AQ35+субсидії!AQ35+'держ.бюджет'!AQ35+'місц.-районн.бюджет'!AQ35+областной!AQ35+інші!AQ35</f>
        <v>1186.8</v>
      </c>
      <c r="AR35" s="18">
        <f>'насел.'!AR35+пільги!AR35+субсидії!AR35+'держ.бюджет'!AR35+'місц.-районн.бюджет'!AR35+областной!AR35+інші!AR35</f>
        <v>938.9</v>
      </c>
      <c r="AS35" s="18">
        <f>'насел.'!AS35+пільги!AS35+субсидії!AS35+'держ.бюджет'!AS35+'місц.-районн.бюджет'!AS35+областной!AS35+інші!AS35</f>
        <v>13414</v>
      </c>
      <c r="AT35" s="18">
        <f>'насел.'!AT35+пільги!AT35+субсидії!AT35+'держ.бюджет'!AT35+'місц.-районн.бюджет'!AT35+областной!AT35+інші!AT35</f>
        <v>11409.199999999997</v>
      </c>
      <c r="AU35" s="11">
        <f t="shared" si="3"/>
        <v>85.05442075443564</v>
      </c>
      <c r="AV35" s="18">
        <f>'насел.'!AV35+пільги!AV35+субсидії!AV35+'держ.бюджет'!AV35+'місц.-районн.бюджет'!AV35+областной!AV35+інші!AV35</f>
        <v>2004.8000000000015</v>
      </c>
      <c r="AW35" s="18">
        <f>'насел.'!AW35+пільги!AW35+субсидії!AW35+'держ.бюджет'!AW35+'місц.-районн.бюджет'!AW35+областной!AW35+інші!AW35</f>
        <v>3662.9000000000015</v>
      </c>
      <c r="AX35" s="42">
        <f t="shared" si="12"/>
        <v>13413.999999999998</v>
      </c>
      <c r="AY35" s="42">
        <f t="shared" si="13"/>
        <v>11409.2</v>
      </c>
      <c r="AZ35" s="42">
        <f t="shared" si="14"/>
        <v>2004.7999999999975</v>
      </c>
      <c r="BA35" s="42">
        <f t="shared" si="15"/>
        <v>3662.899999999998</v>
      </c>
    </row>
    <row r="36" spans="1:53" ht="27" customHeight="1">
      <c r="A36" s="13" t="s">
        <v>38</v>
      </c>
      <c r="B36" s="41" t="s">
        <v>114</v>
      </c>
      <c r="C36" s="18">
        <f>'насел.'!C36+пільги!C36+субсидії!C36+'держ.бюджет'!C36+'місц.-районн.бюджет'!C36+областной!C36+інші!C36</f>
        <v>-437.3</v>
      </c>
      <c r="D36" s="18">
        <f>'насел.'!D36+пільги!D36+субсидії!D36+'держ.бюджет'!D36+'місц.-районн.бюджет'!D36+областной!D36+інші!D36</f>
        <v>340.1</v>
      </c>
      <c r="E36" s="18">
        <f>'насел.'!E36+пільги!E36+субсидії!E36+'держ.бюджет'!E36+'місц.-районн.бюджет'!E36+областной!E36+інші!E36</f>
        <v>136.4</v>
      </c>
      <c r="F36" s="11">
        <f t="shared" si="0"/>
        <v>40.10585122022935</v>
      </c>
      <c r="G36" s="18">
        <f>'насел.'!G36+пільги!G36+субсидії!G36+'держ.бюджет'!G36+'місц.-районн.бюджет'!G36+областной!G36+інші!G36</f>
        <v>337.40000000000003</v>
      </c>
      <c r="H36" s="18">
        <f>'насел.'!H36+пільги!H36+субсидії!H36+'держ.бюджет'!H36+'місц.-районн.бюджет'!H36+областной!H36+інші!H36</f>
        <v>1383.5</v>
      </c>
      <c r="I36" s="11">
        <f t="shared" si="4"/>
        <v>410.0474214582098</v>
      </c>
      <c r="J36" s="18">
        <f>'насел.'!J36+пільги!J36+субсидії!J36+'держ.бюджет'!J36+'місц.-районн.бюджет'!J36+областной!J36+інші!J36</f>
        <v>340.8</v>
      </c>
      <c r="K36" s="18">
        <f>'насел.'!K36+пільги!K36+субсидії!K36+'держ.бюджет'!K36+'місц.-районн.бюджет'!K36+областной!K36+інші!K36</f>
        <v>164.3</v>
      </c>
      <c r="L36" s="11">
        <f t="shared" si="16"/>
        <v>48.210093896713616</v>
      </c>
      <c r="M36" s="11">
        <f>'насел.'!M36+пільги!M36+субсидії!M36+'держ.бюджет'!M36+'місц.-районн.бюджет'!M36+областной!M36+інші!M36</f>
        <v>1018.3000000000001</v>
      </c>
      <c r="N36" s="11">
        <f>'насел.'!N36+пільги!N36+субсидії!N36+'держ.бюджет'!N36+'місц.-районн.бюджет'!N36+областной!N36+інші!N36</f>
        <v>1684.2</v>
      </c>
      <c r="O36" s="11">
        <f t="shared" si="5"/>
        <v>165.39330256309535</v>
      </c>
      <c r="P36" s="18">
        <f>'насел.'!P36+пільги!P36+субсидії!P36+'держ.бюджет'!P36+'місц.-районн.бюджет'!P36+областной!P36+інші!P36</f>
        <v>428.69999999999993</v>
      </c>
      <c r="Q36" s="18">
        <f>'насел.'!Q36+пільги!Q36+субсидії!Q36+'держ.бюджет'!Q36+'місц.-районн.бюджет'!Q36+областной!Q36+інші!Q36</f>
        <v>447.2</v>
      </c>
      <c r="R36" s="11">
        <f t="shared" si="17"/>
        <v>104.31537205505018</v>
      </c>
      <c r="S36" s="18">
        <f>'насел.'!S36+пільги!S36+субсидії!S36+'держ.бюджет'!S36+'місц.-районн.бюджет'!S36+областной!S36+інші!S36</f>
        <v>441.3</v>
      </c>
      <c r="T36" s="18">
        <f>'насел.'!T36+пільги!T36+субсидії!T36+'держ.бюджет'!T36+'місц.-районн.бюджет'!T36+областной!T36+інші!T36</f>
        <v>586.2</v>
      </c>
      <c r="U36" s="11">
        <f t="shared" si="18"/>
        <v>132.8348062542488</v>
      </c>
      <c r="V36" s="18">
        <f>'насел.'!V36+пільги!V36+субсидії!V36+'держ.бюджет'!V36+'місц.-районн.бюджет'!V36+областной!V36+інші!V36</f>
        <v>678.4000000000002</v>
      </c>
      <c r="W36" s="18">
        <f>'насел.'!W36+пільги!W36+субсидії!W36+'держ.бюджет'!W36+'місц.-районн.бюджет'!W36+областной!W36+інші!W36</f>
        <v>607.6999999999998</v>
      </c>
      <c r="X36" s="11">
        <f t="shared" si="19"/>
        <v>89.5784198113207</v>
      </c>
      <c r="Y36" s="18">
        <f>'насел.'!Y36+пільги!Y36+субсидії!Y36+'держ.бюджет'!Y36+'місц.-районн.бюджет'!Y36+областной!Y36+інші!Y36</f>
        <v>1548.4000000000003</v>
      </c>
      <c r="Z36" s="18">
        <f>'насел.'!Z36+пільги!Z36+субсидії!Z36+'держ.бюджет'!Z36+'місц.-районн.бюджет'!Z36+областной!Z36+інші!Z36</f>
        <v>1641.1000000000001</v>
      </c>
      <c r="AA36" s="11">
        <f t="shared" si="20"/>
        <v>105.98682510979074</v>
      </c>
      <c r="AB36" s="18">
        <f>'насел.'!AB36+пільги!AB36+субсидії!AB36+'держ.бюджет'!AB36+'місц.-районн.бюджет'!AB36+областной!AB36+інші!AB36</f>
        <v>460.8</v>
      </c>
      <c r="AC36" s="18">
        <f>'насел.'!AC36+пільги!AC36+субсидії!AC36+'держ.бюджет'!AC36+'місц.-районн.бюджет'!AC36+областной!AC36+інші!AC36</f>
        <v>396.50000000000006</v>
      </c>
      <c r="AD36" s="11">
        <f t="shared" si="21"/>
        <v>86.04600694444446</v>
      </c>
      <c r="AE36" s="18">
        <f>'насел.'!AE36+пільги!AE36+субсидії!AE36+'держ.бюджет'!AE36+'місц.-районн.бюджет'!AE36+областной!AE36+інші!AE36</f>
        <v>505.1</v>
      </c>
      <c r="AF36" s="18">
        <f>'насел.'!AF36+пільги!AF36+субсидії!AF36+'держ.бюджет'!AF36+'місц.-районн.бюджет'!AF36+областной!AF36+інші!AF36</f>
        <v>400.7</v>
      </c>
      <c r="AG36" s="11">
        <f t="shared" si="22"/>
        <v>79.33082557909324</v>
      </c>
      <c r="AH36" s="18">
        <f>'насел.'!AH36+пільги!AH36+субсидії!AH36+'держ.бюджет'!AH36+'місц.-районн.бюджет'!AH36+областной!AH36+інші!AH36</f>
        <v>365.4</v>
      </c>
      <c r="AI36" s="18">
        <f>'насел.'!AI36+пільги!AI36+субсидії!AI36+'держ.бюджет'!AI36+'місц.-районн.бюджет'!AI36+областной!AI36+інші!AI36</f>
        <v>412.7</v>
      </c>
      <c r="AJ36" s="18">
        <f>'насел.'!AJ36+пільги!AJ36+субсидії!AJ36+'держ.бюджет'!AJ36+'місц.-районн.бюджет'!AJ36+областной!AJ36+інші!AJ36</f>
        <v>1331.3000000000002</v>
      </c>
      <c r="AK36" s="18">
        <f>'насел.'!AK36+пільги!AK36+субсидії!AK36+'держ.бюджет'!AK36+'місц.-районн.бюджет'!AK36+областной!AK36+інші!AK36</f>
        <v>1209.9</v>
      </c>
      <c r="AL36" s="18">
        <f t="shared" si="11"/>
        <v>90.88109366784346</v>
      </c>
      <c r="AM36" s="18">
        <f>'насел.'!AM36+пільги!AM36+субсидії!AM36+'держ.бюджет'!AM36+'місц.-районн.бюджет'!AM36+областной!AM36+інші!AM36</f>
        <v>378.2</v>
      </c>
      <c r="AN36" s="18">
        <f>'насел.'!AN36+пільги!AN36+субсидії!AN36+'держ.бюджет'!AN36+'місц.-районн.бюджет'!AN36+областной!AN36+інші!AN36</f>
        <v>475.19999999999993</v>
      </c>
      <c r="AO36" s="18">
        <f>'насел.'!AO36+пільги!AO36+субсидії!AO36+'держ.бюджет'!AO36+'місц.-районн.бюджет'!AO36+областной!AO36+інші!AO36</f>
        <v>434.09999999999997</v>
      </c>
      <c r="AP36" s="18">
        <f>'насел.'!AP36+пільги!AP36+субсидії!AP36+'держ.бюджет'!AP36+'місц.-районн.бюджет'!AP36+областной!AP36+інші!AP36</f>
        <v>383.19999999999993</v>
      </c>
      <c r="AQ36" s="18">
        <f>'насел.'!AQ36+пільги!AQ36+субсидії!AQ36+'держ.бюджет'!AQ36+'місц.-районн.бюджет'!AQ36+областной!AQ36+інші!AQ36</f>
        <v>481.7</v>
      </c>
      <c r="AR36" s="18">
        <f>'насел.'!AR36+пільги!AR36+субсидії!AR36+'держ.бюджет'!AR36+'місц.-районн.бюджет'!AR36+областной!AR36+інші!AR36</f>
        <v>359.5</v>
      </c>
      <c r="AS36" s="18">
        <f>'насел.'!AS36+пільги!AS36+субсидії!AS36+'держ.бюджет'!AS36+'місц.-районн.бюджет'!AS36+областной!AS36+інші!AS36</f>
        <v>5192</v>
      </c>
      <c r="AT36" s="18">
        <f>'насел.'!AT36+пільги!AT36+субсидії!AT36+'держ.бюджет'!AT36+'місц.-районн.бюджет'!AT36+областной!AT36+інші!AT36</f>
        <v>5753.1</v>
      </c>
      <c r="AU36" s="11">
        <f t="shared" si="3"/>
        <v>110.80701078582436</v>
      </c>
      <c r="AV36" s="18">
        <f>'насел.'!AV36+пільги!AV36+субсидії!AV36+'держ.бюджет'!AV36+'місц.-районн.бюджет'!AV36+областной!AV36+інші!AV36</f>
        <v>-561.0999999999999</v>
      </c>
      <c r="AW36" s="18">
        <f>'насел.'!AW36+пільги!AW36+субсидії!AW36+'держ.бюджет'!AW36+'місц.-районн.бюджет'!AW36+областной!AW36+інші!AW36</f>
        <v>-998.3999999999999</v>
      </c>
      <c r="AX36" s="42">
        <f t="shared" si="12"/>
        <v>5192.000000000001</v>
      </c>
      <c r="AY36" s="42">
        <f t="shared" si="13"/>
        <v>5753.1</v>
      </c>
      <c r="AZ36" s="42">
        <f t="shared" si="14"/>
        <v>-561.0999999999995</v>
      </c>
      <c r="BA36" s="42">
        <f t="shared" si="15"/>
        <v>-998.3999999999996</v>
      </c>
    </row>
    <row r="37" spans="1:53" ht="28.5" customHeight="1">
      <c r="A37" s="13" t="s">
        <v>39</v>
      </c>
      <c r="B37" s="15" t="s">
        <v>115</v>
      </c>
      <c r="C37" s="18">
        <f>'насел.'!C37+пільги!C37+субсидії!C37+'держ.бюджет'!C37+'місц.-районн.бюджет'!C37+областной!C37+інші!C37</f>
        <v>-40.19999999999972</v>
      </c>
      <c r="D37" s="18">
        <f>'насел.'!D37+пільги!D37+субсидії!D37+'держ.бюджет'!D37+'місц.-районн.бюджет'!D37+областной!D37+інші!D37</f>
        <v>1812.3999999999999</v>
      </c>
      <c r="E37" s="18">
        <f>'насел.'!E37+пільги!E37+субсидії!E37+'держ.бюджет'!E37+'місц.-районн.бюджет'!E37+областной!E37+інші!E37</f>
        <v>863.1</v>
      </c>
      <c r="F37" s="11">
        <f t="shared" si="0"/>
        <v>47.621937762083434</v>
      </c>
      <c r="G37" s="18">
        <f>'насел.'!G37+пільги!G37+субсидії!G37+'держ.бюджет'!G37+'місц.-районн.бюджет'!G37+областной!G37+інші!G37</f>
        <v>1679.5000000000002</v>
      </c>
      <c r="H37" s="18">
        <f>'насел.'!H37+пільги!H37+субсидії!H37+'держ.бюджет'!H37+'місц.-районн.бюджет'!H37+областной!H37+інші!H37</f>
        <v>4435.799999999999</v>
      </c>
      <c r="I37" s="11">
        <f t="shared" si="4"/>
        <v>264.1143197380172</v>
      </c>
      <c r="J37" s="18">
        <f>'насел.'!J37+пільги!J37+субсидії!J37+'держ.бюджет'!J37+'місц.-районн.бюджет'!J37+областной!J37+інші!J37</f>
        <v>1690.3000000000002</v>
      </c>
      <c r="K37" s="18">
        <f>'насел.'!K37+пільги!K37+субсидії!K37+'держ.бюджет'!K37+'місц.-районн.бюджет'!K37+областной!K37+інші!K37</f>
        <v>1074</v>
      </c>
      <c r="L37" s="11">
        <f t="shared" si="16"/>
        <v>63.53901674259007</v>
      </c>
      <c r="M37" s="11">
        <f>'насел.'!M37+пільги!M37+субсидії!M37+'держ.бюджет'!M37+'місц.-районн.бюджет'!M37+областной!M37+інші!M37</f>
        <v>5182.200000000001</v>
      </c>
      <c r="N37" s="11">
        <f>'насел.'!N37+пільги!N37+субсидії!N37+'держ.бюджет'!N37+'місц.-районн.бюджет'!N37+областной!N37+інші!N37</f>
        <v>6372.9</v>
      </c>
      <c r="O37" s="11">
        <f t="shared" si="5"/>
        <v>122.97672803056614</v>
      </c>
      <c r="P37" s="18">
        <f>'насел.'!P37+пільги!P37+субсидії!P37+'держ.бюджет'!P37+'місц.-районн.бюджет'!P37+областной!P37+інші!P37</f>
        <v>1928.8000000000002</v>
      </c>
      <c r="Q37" s="18">
        <f>'насел.'!Q37+пільги!Q37+субсидії!Q37+'держ.бюджет'!Q37+'місц.-районн.бюджет'!Q37+областной!Q37+інші!Q37</f>
        <v>1845.8999999999999</v>
      </c>
      <c r="R37" s="11">
        <f t="shared" si="17"/>
        <v>95.70199087515552</v>
      </c>
      <c r="S37" s="18">
        <f>'насел.'!S37+пільги!S37+субсидії!S37+'держ.бюджет'!S37+'місц.-районн.бюджет'!S37+областной!S37+інші!S37</f>
        <v>4254.8</v>
      </c>
      <c r="T37" s="18">
        <f>'насел.'!T37+пільги!T37+субсидії!T37+'держ.бюджет'!T37+'місц.-районн.бюджет'!T37+областной!T37+інші!T37</f>
        <v>2511.8</v>
      </c>
      <c r="U37" s="11">
        <f t="shared" si="18"/>
        <v>59.03450220926953</v>
      </c>
      <c r="V37" s="18">
        <f>'насел.'!V37+пільги!V37+субсидії!V37+'держ.бюджет'!V37+'місц.-районн.бюджет'!V37+областной!V37+інші!V37</f>
        <v>2691.4000000000005</v>
      </c>
      <c r="W37" s="18">
        <f>'насел.'!W37+пільги!W37+субсидії!W37+'держ.бюджет'!W37+'місц.-районн.бюджет'!W37+областной!W37+інші!W37</f>
        <v>1566.6999999999998</v>
      </c>
      <c r="X37" s="11">
        <f t="shared" si="19"/>
        <v>58.21133982314035</v>
      </c>
      <c r="Y37" s="18">
        <f>'насел.'!Y37+пільги!Y37+субсидії!Y37+'держ.бюджет'!Y37+'місц.-районн.бюджет'!Y37+областной!Y37+інші!Y37</f>
        <v>8875.000000000002</v>
      </c>
      <c r="Z37" s="18">
        <f>'насел.'!Z37+пільги!Z37+субсидії!Z37+'держ.бюджет'!Z37+'місц.-районн.бюджет'!Z37+областной!Z37+інші!Z37</f>
        <v>5924.4</v>
      </c>
      <c r="AA37" s="11">
        <f t="shared" si="20"/>
        <v>66.75380281690138</v>
      </c>
      <c r="AB37" s="18">
        <f>'насел.'!AB37+пільги!AB37+субсидії!AB37+'держ.бюджет'!AB37+'місц.-районн.бюджет'!AB37+областной!AB37+інші!AB37</f>
        <v>2897.4999999999995</v>
      </c>
      <c r="AC37" s="18">
        <f>'насел.'!AC37+пільги!AC37+субсидії!AC37+'держ.бюджет'!AC37+'місц.-районн.бюджет'!AC37+областной!AC37+інші!AC37</f>
        <v>2328.6</v>
      </c>
      <c r="AD37" s="11">
        <f t="shared" si="21"/>
        <v>80.3658326143227</v>
      </c>
      <c r="AE37" s="18">
        <f>'насел.'!AE37+пільги!AE37+субсидії!AE37+'держ.бюджет'!AE37+'місц.-районн.бюджет'!AE37+областной!AE37+інші!AE37</f>
        <v>2833.4999999999995</v>
      </c>
      <c r="AF37" s="18">
        <f>'насел.'!AF37+пільги!AF37+субсидії!AF37+'держ.бюджет'!AF37+'місц.-районн.бюджет'!AF37+областной!AF37+інші!AF37</f>
        <v>2748.5000000000005</v>
      </c>
      <c r="AG37" s="11">
        <f t="shared" si="22"/>
        <v>97.00017646020825</v>
      </c>
      <c r="AH37" s="18">
        <f>'насел.'!AH37+пільги!AH37+субсидії!AH37+'держ.бюджет'!AH37+'місц.-районн.бюджет'!AH37+областной!AH37+інші!AH37</f>
        <v>2892.8</v>
      </c>
      <c r="AI37" s="18">
        <f>'насел.'!AI37+пільги!AI37+субсидії!AI37+'держ.бюджет'!AI37+'місц.-районн.бюджет'!AI37+областной!AI37+інші!AI37</f>
        <v>2498.9</v>
      </c>
      <c r="AJ37" s="18">
        <f>'насел.'!AJ37+пільги!AJ37+субсидії!AJ37+'держ.бюджет'!AJ37+'місц.-районн.бюджет'!AJ37+областной!AJ37+інші!AJ37</f>
        <v>8623.800000000001</v>
      </c>
      <c r="AK37" s="18">
        <f>'насел.'!AK37+пільги!AK37+субсидії!AK37+'держ.бюджет'!AK37+'місц.-районн.бюджет'!AK37+областной!AK37+інші!AK37</f>
        <v>7576</v>
      </c>
      <c r="AL37" s="18">
        <f t="shared" si="11"/>
        <v>87.84990375472529</v>
      </c>
      <c r="AM37" s="18">
        <f>'насел.'!AM37+пільги!AM37+субсидії!AM37+'держ.бюджет'!AM37+'місц.-районн.бюджет'!AM37+областной!AM37+інші!AM37</f>
        <v>3470.7</v>
      </c>
      <c r="AN37" s="18">
        <f>'насел.'!AN37+пільги!AN37+субсидії!AN37+'держ.бюджет'!AN37+'місц.-районн.бюджет'!AN37+областной!AN37+інші!AN37</f>
        <v>2738.5000000000005</v>
      </c>
      <c r="AO37" s="18">
        <f>'насел.'!AO37+пільги!AO37+субсидії!AO37+'держ.бюджет'!AO37+'місц.-районн.бюджет'!AO37+областной!AO37+інші!AO37</f>
        <v>2761.1</v>
      </c>
      <c r="AP37" s="18">
        <f>'насел.'!AP37+пільги!AP37+субсидії!AP37+'держ.бюджет'!AP37+'місц.-районн.бюджет'!AP37+областной!AP37+інші!AP37</f>
        <v>2522.3</v>
      </c>
      <c r="AQ37" s="18">
        <f>'насел.'!AQ37+пільги!AQ37+субсидії!AQ37+'держ.бюджет'!AQ37+'місц.-районн.бюджет'!AQ37+областной!AQ37+інші!AQ37</f>
        <v>2687.1</v>
      </c>
      <c r="AR37" s="18">
        <f>'насел.'!AR37+пільги!AR37+субсидії!AR37+'держ.бюджет'!AR37+'місц.-районн.бюджет'!AR37+областной!AR37+інші!AR37</f>
        <v>2883.9999999999995</v>
      </c>
      <c r="AS37" s="18">
        <f>'насел.'!AS37+пільги!AS37+субсидії!AS37+'держ.бюджет'!AS37+'місц.-районн.бюджет'!AS37+областной!AS37+інші!AS37</f>
        <v>31599.899999999994</v>
      </c>
      <c r="AT37" s="18">
        <f>'насел.'!AT37+пільги!AT37+субсидії!AT37+'держ.бюджет'!AT37+'місц.-районн.бюджет'!AT37+областной!AT37+інші!AT37</f>
        <v>28018.1</v>
      </c>
      <c r="AU37" s="11">
        <f t="shared" si="3"/>
        <v>88.66515400365192</v>
      </c>
      <c r="AV37" s="18">
        <f>'насел.'!AV37+пільги!AV37+субсидії!AV37+'держ.бюджет'!AV37+'місц.-районн.бюджет'!AV37+областной!AV37+інші!AV37</f>
        <v>3581.799999999998</v>
      </c>
      <c r="AW37" s="18">
        <f>'насел.'!AW37+пільги!AW37+субсидії!AW37+'держ.бюджет'!AW37+'місц.-районн.бюджет'!AW37+областной!AW37+інші!AW37</f>
        <v>3541.599999999997</v>
      </c>
      <c r="AX37" s="42">
        <f t="shared" si="12"/>
        <v>31599.9</v>
      </c>
      <c r="AY37" s="42">
        <f t="shared" si="13"/>
        <v>28018.1</v>
      </c>
      <c r="AZ37" s="42">
        <f t="shared" si="14"/>
        <v>3581.800000000003</v>
      </c>
      <c r="BA37" s="42">
        <f t="shared" si="15"/>
        <v>3541.600000000002</v>
      </c>
    </row>
    <row r="38" spans="1:53" ht="27" customHeight="1">
      <c r="A38" s="13" t="s">
        <v>40</v>
      </c>
      <c r="B38" s="15" t="s">
        <v>138</v>
      </c>
      <c r="C38" s="18">
        <f>'насел.'!C38+пільги!C38+субсидії!C38+'держ.бюджет'!C38+'місц.-районн.бюджет'!C38+областной!C38+інші!C38</f>
        <v>-3061.4999999999995</v>
      </c>
      <c r="D38" s="18">
        <f>'насел.'!D38+пільги!D38+субсидії!D38+'держ.бюджет'!D38+'місц.-районн.бюджет'!D38+областной!D38+інші!D38</f>
        <v>2385.1</v>
      </c>
      <c r="E38" s="18">
        <f>'насел.'!E38+пільги!E38+субсидії!E38+'держ.бюджет'!E38+'місц.-районн.бюджет'!E38+областной!E38+інші!E38</f>
        <v>1161.4</v>
      </c>
      <c r="F38" s="11">
        <f t="shared" si="0"/>
        <v>48.69397509538385</v>
      </c>
      <c r="G38" s="18">
        <f>'насел.'!G38+пільги!G38+субсидії!G38+'держ.бюджет'!G38+'місц.-районн.бюджет'!G38+областной!G38+інші!G38</f>
        <v>2708.3999999999996</v>
      </c>
      <c r="H38" s="18">
        <f>'насел.'!H38+пільги!H38+субсидії!H38+'держ.бюджет'!H38+'місц.-районн.бюджет'!H38+областной!H38+інші!H38</f>
        <v>4209.5</v>
      </c>
      <c r="I38" s="11">
        <f t="shared" si="4"/>
        <v>155.4238664894403</v>
      </c>
      <c r="J38" s="18">
        <f>'насел.'!J38+пільги!J38+субсидії!J38+'держ.бюджет'!J38+'місц.-районн.бюджет'!J38+областной!J38+інші!J38</f>
        <v>2719.1</v>
      </c>
      <c r="K38" s="18">
        <f>'насел.'!K38+пільги!K38+субсидії!K38+'держ.бюджет'!K38+'місц.-районн.бюджет'!K38+областной!K38+інші!K38</f>
        <v>1682.1999999999998</v>
      </c>
      <c r="L38" s="11">
        <f t="shared" si="16"/>
        <v>61.86605862233827</v>
      </c>
      <c r="M38" s="11">
        <f>'насел.'!M38+пільги!M38+субсидії!M38+'держ.бюджет'!M38+'місц.-районн.бюджет'!M38+областной!M38+інші!M38</f>
        <v>7812.6</v>
      </c>
      <c r="N38" s="11">
        <f>'насел.'!N38+пільги!N38+субсидії!N38+'держ.бюджет'!N38+'місц.-районн.бюджет'!N38+областной!N38+інші!N38</f>
        <v>7053.1</v>
      </c>
      <c r="O38" s="11">
        <f t="shared" si="5"/>
        <v>90.27852443488723</v>
      </c>
      <c r="P38" s="18">
        <f>'насел.'!P38+пільги!P38+субсидії!P38+'держ.бюджет'!P38+'місц.-районн.бюджет'!P38+областной!P38+інші!P38</f>
        <v>3210.7000000000003</v>
      </c>
      <c r="Q38" s="18">
        <f>'насел.'!Q38+пільги!Q38+субсидії!Q38+'держ.бюджет'!Q38+'місц.-районн.бюджет'!Q38+областной!Q38+інші!Q38</f>
        <v>3321.9999999999995</v>
      </c>
      <c r="R38" s="11">
        <f t="shared" si="17"/>
        <v>103.46653377768085</v>
      </c>
      <c r="S38" s="18">
        <f>'насел.'!S38+пільги!S38+субсидії!S38+'держ.бюджет'!S38+'місц.-районн.бюджет'!S38+областной!S38+інші!S38</f>
        <v>2516.3</v>
      </c>
      <c r="T38" s="18">
        <f>'насел.'!T38+пільги!T38+субсидії!T38+'держ.бюджет'!T38+'місц.-районн.бюджет'!T38+областной!T38+інші!T38</f>
        <v>3930.8000000000006</v>
      </c>
      <c r="U38" s="11">
        <f t="shared" si="18"/>
        <v>156.21348805786275</v>
      </c>
      <c r="V38" s="18">
        <f>'насел.'!V38+пільги!V38+субсидії!V38+'держ.бюджет'!V38+'місц.-районн.бюджет'!V38+областной!V38+інші!V38</f>
        <v>2549.5</v>
      </c>
      <c r="W38" s="18">
        <f>'насел.'!W38+пільги!W38+субсидії!W38+'держ.бюджет'!W38+'місц.-районн.бюджет'!W38+областной!W38+інші!W38</f>
        <v>2878.2999999999997</v>
      </c>
      <c r="X38" s="11">
        <f t="shared" si="19"/>
        <v>112.89664640125514</v>
      </c>
      <c r="Y38" s="18">
        <f>'насел.'!Y38+пільги!Y38+субсидії!Y38+'держ.бюджет'!Y38+'місц.-районн.бюджет'!Y38+областной!Y38+інші!Y38</f>
        <v>8276.5</v>
      </c>
      <c r="Z38" s="18">
        <f>'насел.'!Z38+пільги!Z38+субсидії!Z38+'держ.бюджет'!Z38+'місц.-районн.бюджет'!Z38+областной!Z38+інші!Z38</f>
        <v>10131.1</v>
      </c>
      <c r="AA38" s="11">
        <f t="shared" si="20"/>
        <v>122.40802271491573</v>
      </c>
      <c r="AB38" s="18">
        <f>'насел.'!AB38+пільги!AB38+субсидії!AB38+'держ.бюджет'!AB38+'місц.-районн.бюджет'!AB38+областной!AB38+інші!AB38</f>
        <v>2620</v>
      </c>
      <c r="AC38" s="18">
        <f>'насел.'!AC38+пільги!AC38+субсидії!AC38+'держ.бюджет'!AC38+'місц.-районн.бюджет'!AC38+областной!AC38+інші!AC38</f>
        <v>1939.4</v>
      </c>
      <c r="AD38" s="11">
        <f t="shared" si="21"/>
        <v>74.02290076335878</v>
      </c>
      <c r="AE38" s="18">
        <f>'насел.'!AE38+пільги!AE38+субсидії!AE38+'держ.бюджет'!AE38+'місц.-районн.бюджет'!AE38+областной!AE38+інші!AE38</f>
        <v>2487.3</v>
      </c>
      <c r="AF38" s="18">
        <f>'насел.'!AF38+пільги!AF38+субсидії!AF38+'держ.бюджет'!AF38+'місц.-районн.бюджет'!AF38+областной!AF38+інші!AF38</f>
        <v>2079.9</v>
      </c>
      <c r="AG38" s="11">
        <f t="shared" si="22"/>
        <v>83.62079363164877</v>
      </c>
      <c r="AH38" s="18">
        <f>'насел.'!AH38+пільги!AH38+субсидії!AH38+'держ.бюджет'!AH38+'місц.-районн.бюджет'!AH38+областной!AH38+інші!AH38</f>
        <v>2474.8</v>
      </c>
      <c r="AI38" s="18">
        <f>'насел.'!AI38+пільги!AI38+субсидії!AI38+'держ.бюджет'!AI38+'місц.-районн.бюджет'!AI38+областной!AI38+інші!AI38</f>
        <v>1946.5</v>
      </c>
      <c r="AJ38" s="18">
        <f>'насел.'!AJ38+пільги!AJ38+субсидії!AJ38+'держ.бюджет'!AJ38+'місц.-районн.бюджет'!AJ38+областной!AJ38+інші!AJ38</f>
        <v>7582.1</v>
      </c>
      <c r="AK38" s="18">
        <f>'насел.'!AK38+пільги!AK38+субсидії!AK38+'держ.бюджет'!AK38+'місц.-районн.бюджет'!AK38+областной!AK38+інші!AK38</f>
        <v>5965.8</v>
      </c>
      <c r="AL38" s="18">
        <f t="shared" si="11"/>
        <v>78.68268685456535</v>
      </c>
      <c r="AM38" s="18">
        <f>'насел.'!AM38+пільги!AM38+субсидії!AM38+'держ.бюджет'!AM38+'місц.-районн.бюджет'!AM38+областной!AM38+інші!AM38</f>
        <v>2619.5</v>
      </c>
      <c r="AN38" s="18">
        <f>'насел.'!AN38+пільги!AN38+субсидії!AN38+'держ.бюджет'!AN38+'місц.-районн.бюджет'!AN38+областной!AN38+інші!AN38</f>
        <v>2001.4999999999998</v>
      </c>
      <c r="AO38" s="18">
        <f>'насел.'!AO38+пільги!AO38+субсидії!AO38+'держ.бюджет'!AO38+'місц.-районн.бюджет'!AO38+областной!AO38+інші!AO38</f>
        <v>2667.1000000000004</v>
      </c>
      <c r="AP38" s="18">
        <f>'насел.'!AP38+пільги!AP38+субсидії!AP38+'держ.бюджет'!AP38+'місц.-районн.бюджет'!AP38+областной!AP38+інші!AP38</f>
        <v>2101.9</v>
      </c>
      <c r="AQ38" s="18">
        <f>'насел.'!AQ38+пільги!AQ38+субсидії!AQ38+'держ.бюджет'!AQ38+'місц.-районн.бюджет'!AQ38+областной!AQ38+інші!AQ38</f>
        <v>3471.1000000000004</v>
      </c>
      <c r="AR38" s="18">
        <f>'насел.'!AR38+пільги!AR38+субсидії!AR38+'держ.бюджет'!AR38+'місц.-районн.бюджет'!AR38+областной!AR38+інші!AR38</f>
        <v>2236.5</v>
      </c>
      <c r="AS38" s="18">
        <f>'насел.'!AS38+пільги!AS38+субсидії!AS38+'держ.бюджет'!AS38+'місц.-районн.бюджет'!AS38+областной!AS38+інші!AS38</f>
        <v>32428.9</v>
      </c>
      <c r="AT38" s="18">
        <f>'насел.'!AT38+пільги!AT38+субсидії!AT38+'держ.бюджет'!AT38+'місц.-районн.бюджет'!AT38+областной!AT38+інші!AT38</f>
        <v>29489.899999999998</v>
      </c>
      <c r="AU38" s="11">
        <f t="shared" si="3"/>
        <v>90.93709623206459</v>
      </c>
      <c r="AV38" s="18">
        <f>'насел.'!AV38+пільги!AV38+субсидії!AV38+'держ.бюджет'!AV38+'місц.-районн.бюджет'!AV38+областной!AV38+інші!AV38</f>
        <v>2939.0000000000005</v>
      </c>
      <c r="AW38" s="18">
        <f>'насел.'!AW38+пільги!AW38+субсидії!AW38+'держ.бюджет'!AW38+'місц.-районн.бюджет'!AW38+областной!AW38+інші!AW38</f>
        <v>-122.4999999999992</v>
      </c>
      <c r="AX38" s="42">
        <f t="shared" si="12"/>
        <v>32428.9</v>
      </c>
      <c r="AY38" s="42">
        <f t="shared" si="13"/>
        <v>29489.9</v>
      </c>
      <c r="AZ38" s="42">
        <f t="shared" si="14"/>
        <v>2939</v>
      </c>
      <c r="BA38" s="42">
        <f t="shared" si="15"/>
        <v>-122.5</v>
      </c>
    </row>
    <row r="39" spans="1:53" ht="27" customHeight="1">
      <c r="A39" s="13" t="s">
        <v>41</v>
      </c>
      <c r="B39" s="15" t="s">
        <v>117</v>
      </c>
      <c r="C39" s="18">
        <f>'насел.'!C39+пільги!C39+субсидії!C39+'держ.бюджет'!C39+'місц.-районн.бюджет'!C39+областной!C39+інші!C39</f>
        <v>13505.200000000003</v>
      </c>
      <c r="D39" s="18">
        <f>'насел.'!D39+пільги!D39+субсидії!D39+'держ.бюджет'!D39+'місц.-районн.бюджет'!D39+областной!D39+інші!D39</f>
        <v>4526.800000000001</v>
      </c>
      <c r="E39" s="18">
        <f>'насел.'!E39+пільги!E39+субсидії!E39+'держ.бюджет'!E39+'місц.-районн.бюджет'!E39+областной!E39+інші!E39</f>
        <v>1755.3</v>
      </c>
      <c r="F39" s="11">
        <f t="shared" si="0"/>
        <v>38.775735618980285</v>
      </c>
      <c r="G39" s="18">
        <f>'насел.'!G39+пільги!G39+субсидії!G39+'держ.бюджет'!G39+'місц.-районн.бюджет'!G39+областной!G39+інші!G39</f>
        <v>4671.9</v>
      </c>
      <c r="H39" s="18">
        <f>'насел.'!H39+пільги!H39+субсидії!H39+'держ.бюджет'!H39+'місц.-районн.бюджет'!H39+областной!H39+інші!H39</f>
        <v>4474.200000000001</v>
      </c>
      <c r="I39" s="11">
        <f t="shared" si="4"/>
        <v>95.76831695883904</v>
      </c>
      <c r="J39" s="18">
        <f>'насел.'!J39+пільги!J39+субсидії!J39+'держ.бюджет'!J39+'місц.-районн.бюджет'!J39+областной!J39+інші!J39</f>
        <v>4451.3</v>
      </c>
      <c r="K39" s="18">
        <f>'насел.'!K39+пільги!K39+субсидії!K39+'держ.бюджет'!K39+'місц.-районн.бюджет'!K39+областной!K39+інші!K39</f>
        <v>8698.7</v>
      </c>
      <c r="L39" s="11">
        <f t="shared" si="16"/>
        <v>195.41931570552424</v>
      </c>
      <c r="M39" s="11">
        <f>'насел.'!M39+пільги!M39+субсидії!M39+'держ.бюджет'!M39+'місц.-районн.бюджет'!M39+областной!M39+інші!M39</f>
        <v>13650.000000000002</v>
      </c>
      <c r="N39" s="11">
        <f>'насел.'!N39+пільги!N39+субсидії!N39+'держ.бюджет'!N39+'місц.-районн.бюджет'!N39+областной!N39+інші!N39</f>
        <v>14928.200000000003</v>
      </c>
      <c r="O39" s="11">
        <f t="shared" si="5"/>
        <v>109.36410256410257</v>
      </c>
      <c r="P39" s="18">
        <f>'насел.'!P39+пільги!P39+субсидії!P39+'держ.бюджет'!P39+'місц.-районн.бюджет'!P39+областной!P39+інші!P39</f>
        <v>4445.8</v>
      </c>
      <c r="Q39" s="18">
        <f>'насел.'!Q39+пільги!Q39+субсидії!Q39+'держ.бюджет'!Q39+'місц.-районн.бюджет'!Q39+областной!Q39+інші!Q39</f>
        <v>3466.3</v>
      </c>
      <c r="R39" s="11">
        <f t="shared" si="17"/>
        <v>77.96796976922039</v>
      </c>
      <c r="S39" s="18">
        <f>'насел.'!S39+пільги!S39+субсидії!S39+'держ.бюджет'!S39+'місц.-районн.бюджет'!S39+областной!S39+інші!S39</f>
        <v>4157.000000000001</v>
      </c>
      <c r="T39" s="18">
        <f>'насел.'!T39+пільги!T39+субсидії!T39+'держ.бюджет'!T39+'місц.-районн.бюджет'!T39+областной!T39+інші!T39</f>
        <v>4789.700000000001</v>
      </c>
      <c r="U39" s="11">
        <f t="shared" si="18"/>
        <v>115.22011065672359</v>
      </c>
      <c r="V39" s="18">
        <f>'насел.'!V39+пільги!V39+субсидії!V39+'держ.бюджет'!V39+'місц.-районн.бюджет'!V39+областной!V39+інші!V39</f>
        <v>4246.8</v>
      </c>
      <c r="W39" s="18">
        <f>'насел.'!W39+пільги!W39+субсидії!W39+'держ.бюджет'!W39+'місц.-районн.бюджет'!W39+областной!W39+інші!W39</f>
        <v>2607.9</v>
      </c>
      <c r="X39" s="11">
        <f t="shared" si="19"/>
        <v>61.408589997174346</v>
      </c>
      <c r="Y39" s="18">
        <f>'насел.'!Y39+пільги!Y39+субсидії!Y39+'держ.бюджет'!Y39+'місц.-районн.бюджет'!Y39+областной!Y39+інші!Y39</f>
        <v>12849.600000000006</v>
      </c>
      <c r="Z39" s="18">
        <f>'насел.'!Z39+пільги!Z39+субсидії!Z39+'держ.бюджет'!Z39+'місц.-районн.бюджет'!Z39+областной!Z39+інші!Z39</f>
        <v>10863.9</v>
      </c>
      <c r="AA39" s="11">
        <f t="shared" si="20"/>
        <v>84.54660067239443</v>
      </c>
      <c r="AB39" s="18">
        <f>'насел.'!AB39+пільги!AB39+субсидії!AB39+'держ.бюджет'!AB39+'місц.-районн.бюджет'!AB39+областной!AB39+інші!AB39</f>
        <v>4165.400000000001</v>
      </c>
      <c r="AC39" s="18">
        <f>'насел.'!AC39+пільги!AC39+субсидії!AC39+'держ.бюджет'!AC39+'місц.-районн.бюджет'!AC39+областной!AC39+інші!AC39</f>
        <v>3484.8999999999996</v>
      </c>
      <c r="AD39" s="11">
        <f t="shared" si="21"/>
        <v>83.6630335622029</v>
      </c>
      <c r="AE39" s="18">
        <f>'насел.'!AE39+пільги!AE39+субсидії!AE39+'держ.бюджет'!AE39+'місц.-районн.бюджет'!AE39+областной!AE39+інші!AE39</f>
        <v>4634.2</v>
      </c>
      <c r="AF39" s="18">
        <f>'насел.'!AF39+пільги!AF39+субсидії!AF39+'держ.бюджет'!AF39+'місц.-районн.бюджет'!AF39+областной!AF39+інші!AF39</f>
        <v>4485</v>
      </c>
      <c r="AG39" s="11">
        <f t="shared" si="22"/>
        <v>96.78045833153512</v>
      </c>
      <c r="AH39" s="18">
        <f>'насел.'!AH39+пільги!AH39+субсидії!AH39+'держ.бюджет'!AH39+'місц.-районн.бюджет'!AH39+областной!AH39+інші!AH39</f>
        <v>4821</v>
      </c>
      <c r="AI39" s="18">
        <f>'насел.'!AI39+пільги!AI39+субсидії!AI39+'держ.бюджет'!AI39+'місц.-районн.бюджет'!AI39+областной!AI39+інші!AI39</f>
        <v>4574</v>
      </c>
      <c r="AJ39" s="18">
        <f>'насел.'!AJ39+пільги!AJ39+субсидії!AJ39+'держ.бюджет'!AJ39+'місц.-районн.бюджет'!AJ39+областной!AJ39+інші!AJ39</f>
        <v>13620.599999999999</v>
      </c>
      <c r="AK39" s="18">
        <f>'насел.'!AK39+пільги!AK39+субсидії!AK39+'держ.бюджет'!AK39+'місц.-районн.бюджет'!AK39+областной!AK39+інші!AK39</f>
        <v>12543.9</v>
      </c>
      <c r="AL39" s="18">
        <f t="shared" si="11"/>
        <v>92.09506189154664</v>
      </c>
      <c r="AM39" s="18">
        <f>'насел.'!AM39+пільги!AM39+субсидії!AM39+'держ.бюджет'!AM39+'місц.-районн.бюджет'!AM39+областной!AM39+інші!AM39</f>
        <v>4610.500000000001</v>
      </c>
      <c r="AN39" s="18">
        <f>'насел.'!AN39+пільги!AN39+субсидії!AN39+'держ.бюджет'!AN39+'місц.-районн.бюджет'!AN39+областной!AN39+інші!AN39</f>
        <v>4859.7</v>
      </c>
      <c r="AO39" s="18">
        <f>'насел.'!AO39+пільги!AO39+субсидії!AO39+'держ.бюджет'!AO39+'місц.-районн.бюджет'!AO39+областной!AO39+інші!AO39</f>
        <v>4596.3</v>
      </c>
      <c r="AP39" s="18">
        <f>'насел.'!AP39+пільги!AP39+субсидії!AP39+'держ.бюджет'!AP39+'місц.-районн.бюджет'!AP39+областной!AP39+інші!AP39</f>
        <v>3732.3</v>
      </c>
      <c r="AQ39" s="18">
        <f>'насел.'!AQ39+пільги!AQ39+субсидії!AQ39+'держ.бюджет'!AQ39+'місц.-районн.бюджет'!AQ39+областной!AQ39+інші!AQ39</f>
        <v>6823.3</v>
      </c>
      <c r="AR39" s="18">
        <f>'насел.'!AR39+пільги!AR39+субсидії!AR39+'держ.бюджет'!AR39+'місц.-районн.бюджет'!AR39+областной!AR39+інші!AR39</f>
        <v>5302.2</v>
      </c>
      <c r="AS39" s="18">
        <f>'насел.'!AS39+пільги!AS39+субсидії!AS39+'держ.бюджет'!AS39+'місц.-районн.бюджет'!AS39+областной!AS39+інші!AS39</f>
        <v>56150.3</v>
      </c>
      <c r="AT39" s="18">
        <f>'насел.'!AT39+пільги!AT39+субсидії!AT39+'держ.бюджет'!AT39+'місц.-районн.бюджет'!AT39+областной!AT39+інші!AT39</f>
        <v>52230.2</v>
      </c>
      <c r="AU39" s="11">
        <f t="shared" si="3"/>
        <v>93.01855911722643</v>
      </c>
      <c r="AV39" s="18">
        <f>'насел.'!AV39+пільги!AV39+субсидії!AV39+'держ.бюджет'!AV39+'місц.-районн.бюджет'!AV39+областной!AV39+інші!AV39</f>
        <v>3920.1000000000117</v>
      </c>
      <c r="AW39" s="18">
        <f>'насел.'!AW39+пільги!AW39+субсидії!AW39+'держ.бюджет'!AW39+'місц.-районн.бюджет'!AW39+областной!AW39+інші!AW39</f>
        <v>17425.30000000001</v>
      </c>
      <c r="AX39" s="42">
        <f t="shared" si="12"/>
        <v>56150.30000000001</v>
      </c>
      <c r="AY39" s="42">
        <f t="shared" si="13"/>
        <v>52230.2</v>
      </c>
      <c r="AZ39" s="42">
        <f t="shared" si="14"/>
        <v>3920.100000000013</v>
      </c>
      <c r="BA39" s="42">
        <f t="shared" si="15"/>
        <v>17425.300000000017</v>
      </c>
    </row>
    <row r="40" spans="1:53" ht="27" customHeight="1">
      <c r="A40" s="13" t="s">
        <v>42</v>
      </c>
      <c r="B40" s="15" t="s">
        <v>125</v>
      </c>
      <c r="C40" s="18">
        <f>'насел.'!C40+пільги!C40+субсидії!C40+'держ.бюджет'!C40+'місц.-районн.бюджет'!C40+областной!C40+інші!C40</f>
        <v>1700.1999999999998</v>
      </c>
      <c r="D40" s="18">
        <f>'насел.'!D40+пільги!D40+субсидії!D40+'держ.бюджет'!D40+'місц.-районн.бюджет'!D40+областной!D40+інші!D40</f>
        <v>769.5</v>
      </c>
      <c r="E40" s="18">
        <f>'насел.'!E40+пільги!E40+субсидії!E40+'держ.бюджет'!E40+'місц.-районн.бюджет'!E40+областной!E40+інші!E40</f>
        <v>540.2</v>
      </c>
      <c r="F40" s="11">
        <f t="shared" si="0"/>
        <v>70.20142949967511</v>
      </c>
      <c r="G40" s="18">
        <f>'насел.'!G40+пільги!G40+субсидії!G40+'держ.бюджет'!G40+'місц.-районн.бюджет'!G40+областной!G40+інші!G40</f>
        <v>755.6000000000001</v>
      </c>
      <c r="H40" s="18">
        <f>'насел.'!H40+пільги!H40+субсидії!H40+'держ.бюджет'!H40+'місц.-районн.бюджет'!H40+областной!H40+інші!H40</f>
        <v>1116.7</v>
      </c>
      <c r="I40" s="11">
        <f t="shared" si="4"/>
        <v>147.78983589200635</v>
      </c>
      <c r="J40" s="18">
        <f>'насел.'!J40+пільги!J40+субсидії!J40+'держ.бюджет'!J40+'місц.-районн.бюджет'!J40+областной!J40+інші!J40</f>
        <v>700.1</v>
      </c>
      <c r="K40" s="18">
        <f>'насел.'!K40+пільги!K40+субсидії!K40+'держ.бюджет'!K40+'місц.-районн.бюджет'!K40+областной!K40+інші!K40</f>
        <v>572.4</v>
      </c>
      <c r="L40" s="11">
        <f t="shared" si="16"/>
        <v>81.75974860734179</v>
      </c>
      <c r="M40" s="11">
        <f>'насел.'!M40+пільги!M40+субсидії!M40+'держ.бюджет'!M40+'місц.-районн.бюджет'!M40+областной!M40+інші!M40</f>
        <v>2225.2</v>
      </c>
      <c r="N40" s="11">
        <f>'насел.'!N40+пільги!N40+субсидії!N40+'держ.бюджет'!N40+'місц.-районн.бюджет'!N40+областной!N40+інші!N40</f>
        <v>2229.2999999999997</v>
      </c>
      <c r="O40" s="11">
        <f t="shared" si="5"/>
        <v>100.18425310084487</v>
      </c>
      <c r="P40" s="18">
        <f>'насел.'!P40+пільги!P40+субсидії!P40+'держ.бюджет'!P40+'місц.-районн.бюджет'!P40+областной!P40+інші!P40</f>
        <v>751</v>
      </c>
      <c r="Q40" s="18">
        <f>'насел.'!Q40+пільги!Q40+субсидії!Q40+'держ.бюджет'!Q40+'місц.-районн.бюджет'!Q40+областной!Q40+інші!Q40</f>
        <v>804.1</v>
      </c>
      <c r="R40" s="11">
        <f t="shared" si="17"/>
        <v>107.0705725699068</v>
      </c>
      <c r="S40" s="18">
        <f>'насел.'!S40+пільги!S40+субсидії!S40+'держ.бюджет'!S40+'місц.-районн.бюджет'!S40+областной!S40+інші!S40</f>
        <v>827.8</v>
      </c>
      <c r="T40" s="18">
        <f>'насел.'!T40+пільги!T40+субсидії!T40+'держ.бюджет'!T40+'місц.-районн.бюджет'!T40+областной!T40+інші!T40</f>
        <v>1032.3999999999999</v>
      </c>
      <c r="U40" s="11">
        <f t="shared" si="18"/>
        <v>124.71611500362405</v>
      </c>
      <c r="V40" s="18">
        <f>'насел.'!V40+пільги!V40+субсидії!V40+'держ.бюджет'!V40+'місц.-районн.бюджет'!V40+областной!V40+інші!V40</f>
        <v>888.8000000000001</v>
      </c>
      <c r="W40" s="18">
        <f>'насел.'!W40+пільги!W40+субсидії!W40+'держ.бюджет'!W40+'місц.-районн.бюджет'!W40+областной!W40+інші!W40</f>
        <v>605.4</v>
      </c>
      <c r="X40" s="11">
        <f t="shared" si="19"/>
        <v>68.11431143114311</v>
      </c>
      <c r="Y40" s="18">
        <f>'насел.'!Y40+пільги!Y40+субсидії!Y40+'держ.бюджет'!Y40+'місц.-районн.бюджет'!Y40+областной!Y40+інші!Y40</f>
        <v>2467.5999999999995</v>
      </c>
      <c r="Z40" s="18">
        <f>'насел.'!Z40+пільги!Z40+субсидії!Z40+'держ.бюджет'!Z40+'місц.-районн.бюджет'!Z40+областной!Z40+інші!Z40</f>
        <v>2441.9</v>
      </c>
      <c r="AA40" s="11">
        <f t="shared" si="20"/>
        <v>98.95850218836118</v>
      </c>
      <c r="AB40" s="18">
        <f>'насел.'!AB40+пільги!AB40+субсидії!AB40+'держ.бюджет'!AB40+'місц.-районн.бюджет'!AB40+областной!AB40+інші!AB40</f>
        <v>886.2</v>
      </c>
      <c r="AC40" s="18">
        <f>'насел.'!AC40+пільги!AC40+субсидії!AC40+'держ.бюджет'!AC40+'місц.-районн.бюджет'!AC40+областной!AC40+інші!AC40</f>
        <v>900.8</v>
      </c>
      <c r="AD40" s="11">
        <f t="shared" si="21"/>
        <v>101.64748363800496</v>
      </c>
      <c r="AE40" s="18">
        <f>'насел.'!AE40+пільги!AE40+субсидії!AE40+'держ.бюджет'!AE40+'місц.-районн.бюджет'!AE40+областной!AE40+інші!AE40</f>
        <v>883.3000000000001</v>
      </c>
      <c r="AF40" s="18">
        <f>'насел.'!AF40+пільги!AF40+субсидії!AF40+'держ.бюджет'!AF40+'місц.-районн.бюджет'!AF40+областной!AF40+інші!AF40</f>
        <v>737</v>
      </c>
      <c r="AG40" s="11">
        <f t="shared" si="22"/>
        <v>83.4371108343711</v>
      </c>
      <c r="AH40" s="18">
        <f>'насел.'!AH40+пільги!AH40+субсидії!AH40+'держ.бюджет'!AH40+'місц.-районн.бюджет'!AH40+областной!AH40+інші!AH40</f>
        <v>891.1000000000001</v>
      </c>
      <c r="AI40" s="18">
        <f>'насел.'!AI40+пільги!AI40+субсидії!AI40+'держ.бюджет'!AI40+'місц.-районн.бюджет'!AI40+областной!AI40+інші!AI40</f>
        <v>769.3</v>
      </c>
      <c r="AJ40" s="18">
        <f>'насел.'!AJ40+пільги!AJ40+субсидії!AJ40+'держ.бюджет'!AJ40+'місц.-районн.бюджет'!AJ40+областной!AJ40+інші!AJ40</f>
        <v>2660.6</v>
      </c>
      <c r="AK40" s="18">
        <f>'насел.'!AK40+пільги!AK40+субсидії!AK40+'держ.бюджет'!AK40+'місц.-районн.бюджет'!AK40+областной!AK40+інші!AK40</f>
        <v>2407.0999999999995</v>
      </c>
      <c r="AL40" s="18">
        <f t="shared" si="11"/>
        <v>90.47207396827781</v>
      </c>
      <c r="AM40" s="18">
        <f>'насел.'!AM40+пільги!AM40+субсидії!AM40+'держ.бюджет'!AM40+'місц.-районн.бюджет'!AM40+областной!AM40+інші!AM40</f>
        <v>932.1</v>
      </c>
      <c r="AN40" s="18">
        <f>'насел.'!AN40+пільги!AN40+субсидії!AN40+'держ.бюджет'!AN40+'місц.-районн.бюджет'!AN40+областной!AN40+інші!AN40</f>
        <v>825.9000000000001</v>
      </c>
      <c r="AO40" s="18">
        <f>'насел.'!AO40+пільги!AO40+субсидії!AO40+'держ.бюджет'!AO40+'місц.-районн.бюджет'!AO40+областной!AO40+інші!AO40</f>
        <v>878</v>
      </c>
      <c r="AP40" s="18">
        <f>'насел.'!AP40+пільги!AP40+субсидії!AP40+'держ.бюджет'!AP40+'місц.-районн.бюджет'!AP40+областной!AP40+інші!AP40</f>
        <v>758.9</v>
      </c>
      <c r="AQ40" s="18">
        <f>'насел.'!AQ40+пільги!AQ40+субсидії!AQ40+'держ.бюджет'!AQ40+'місц.-районн.бюджет'!AQ40+областной!AQ40+інші!AQ40</f>
        <v>826.7</v>
      </c>
      <c r="AR40" s="18">
        <f>'насел.'!AR40+пільги!AR40+субсидії!AR40+'держ.бюджет'!AR40+'місц.-районн.бюджет'!AR40+областной!AR40+інші!AR40</f>
        <v>928.3</v>
      </c>
      <c r="AS40" s="18">
        <f>'насел.'!AS40+пільги!AS40+субсидії!AS40+'держ.бюджет'!AS40+'місц.-районн.бюджет'!AS40+областной!AS40+інші!AS40</f>
        <v>9990.2</v>
      </c>
      <c r="AT40" s="18">
        <f>'насел.'!AT40+пільги!AT40+субсидії!AT40+'держ.бюджет'!AT40+'місц.-районн.бюджет'!AT40+областной!AT40+інші!AT40</f>
        <v>9591.4</v>
      </c>
      <c r="AU40" s="11">
        <f t="shared" si="3"/>
        <v>96.00808792616763</v>
      </c>
      <c r="AV40" s="18">
        <f>'насел.'!AV40+пільги!AV40+субсидії!AV40+'держ.бюджет'!AV40+'місц.-районн.бюджет'!AV40+областной!AV40+інші!AV40</f>
        <v>398.80000000000064</v>
      </c>
      <c r="AW40" s="18">
        <f>'насел.'!AW40+пільги!AW40+субсидії!AW40+'держ.бюджет'!AW40+'місц.-районн.бюджет'!AW40+областной!AW40+інші!AW40</f>
        <v>2099.000000000001</v>
      </c>
      <c r="AX40" s="42">
        <f t="shared" si="12"/>
        <v>9990.2</v>
      </c>
      <c r="AY40" s="42">
        <f t="shared" si="13"/>
        <v>9591.399999999998</v>
      </c>
      <c r="AZ40" s="42">
        <f t="shared" si="14"/>
        <v>398.8000000000029</v>
      </c>
      <c r="BA40" s="42">
        <f t="shared" si="15"/>
        <v>2099.0000000000036</v>
      </c>
    </row>
    <row r="41" spans="1:53" ht="22.5" customHeight="1">
      <c r="A41" s="13" t="s">
        <v>43</v>
      </c>
      <c r="B41" s="41" t="s">
        <v>126</v>
      </c>
      <c r="C41" s="18">
        <f>'насел.'!C41+пільги!C41+субсидії!C41+'держ.бюджет'!C41+'місц.-районн.бюджет'!C41+областной!C41+інші!C41</f>
        <v>-1693.9</v>
      </c>
      <c r="D41" s="18">
        <f>'насел.'!D41+пільги!D41+субсидії!D41+'держ.бюджет'!D41+'місц.-районн.бюджет'!D41+областной!D41+інші!D41</f>
        <v>2414.1</v>
      </c>
      <c r="E41" s="18">
        <f>'насел.'!E41+пільги!E41+субсидії!E41+'держ.бюджет'!E41+'місц.-районн.бюджет'!E41+областной!E41+інші!E41</f>
        <v>945.3</v>
      </c>
      <c r="F41" s="11">
        <f t="shared" si="0"/>
        <v>39.15744998135951</v>
      </c>
      <c r="G41" s="18">
        <f>'насел.'!G41+пільги!G41+субсидії!G41+'держ.бюджет'!G41+'місц.-районн.бюджет'!G41+областной!G41+інші!G41</f>
        <v>2246.6</v>
      </c>
      <c r="H41" s="18">
        <f>'насел.'!H41+пільги!H41+субсидії!H41+'держ.бюджет'!H41+'місц.-районн.бюджет'!H41+областной!H41+інші!H41</f>
        <v>4724.5</v>
      </c>
      <c r="I41" s="11">
        <f t="shared" si="4"/>
        <v>210.29555773168346</v>
      </c>
      <c r="J41" s="18">
        <f>'насел.'!J41+пільги!J41+субсидії!J41+'держ.бюджет'!J41+'місц.-районн.бюджет'!J41+областной!J41+інші!J41</f>
        <v>2348.3</v>
      </c>
      <c r="K41" s="18">
        <f>'насел.'!K41+пільги!K41+субсидії!K41+'держ.бюджет'!K41+'місц.-районн.бюджет'!K41+областной!K41+інші!K41</f>
        <v>940.5</v>
      </c>
      <c r="L41" s="11">
        <f t="shared" si="16"/>
        <v>40.050249116382055</v>
      </c>
      <c r="M41" s="11">
        <f>'насел.'!M41+пільги!M41+субсидії!M41+'держ.бюджет'!M41+'місц.-районн.бюджет'!M41+областной!M41+інші!M41</f>
        <v>7009</v>
      </c>
      <c r="N41" s="11">
        <f>'насел.'!N41+пільги!N41+субсидії!N41+'держ.бюджет'!N41+'місц.-районн.бюджет'!N41+областной!N41+інші!N41</f>
        <v>6610.3</v>
      </c>
      <c r="O41" s="11">
        <f t="shared" si="5"/>
        <v>94.3115993722357</v>
      </c>
      <c r="P41" s="18">
        <f>'насел.'!P41+пільги!P41+субсидії!P41+'держ.бюджет'!P41+'місц.-районн.бюджет'!P41+областной!P41+інші!P41</f>
        <v>2147.2</v>
      </c>
      <c r="Q41" s="18">
        <f>'насел.'!Q41+пільги!Q41+субсидії!Q41+'держ.бюджет'!Q41+'місц.-районн.бюджет'!Q41+областной!Q41+інші!Q41</f>
        <v>2400.2</v>
      </c>
      <c r="R41" s="11">
        <f t="shared" si="17"/>
        <v>111.7827868852459</v>
      </c>
      <c r="S41" s="18">
        <f>'насел.'!S41+пільги!S41+субсидії!S41+'держ.бюджет'!S41+'місц.-районн.бюджет'!S41+областной!S41+інші!S41</f>
        <v>2253.5</v>
      </c>
      <c r="T41" s="18">
        <f>'насел.'!T41+пільги!T41+субсидії!T41+'держ.бюджет'!T41+'місц.-районн.бюджет'!T41+областной!T41+інші!T41</f>
        <v>3447.7</v>
      </c>
      <c r="U41" s="11">
        <f t="shared" si="18"/>
        <v>152.99312181051695</v>
      </c>
      <c r="V41" s="18">
        <f>'насел.'!V41+пільги!V41+субсидії!V41+'держ.бюджет'!V41+'місц.-районн.бюджет'!V41+областной!V41+інші!V41</f>
        <v>2138.1</v>
      </c>
      <c r="W41" s="18">
        <f>'насел.'!W41+пільги!W41+субсидії!W41+'держ.бюджет'!W41+'місц.-районн.бюджет'!W41+областной!W41+інші!W41</f>
        <v>958.3000000000001</v>
      </c>
      <c r="X41" s="11">
        <f t="shared" si="19"/>
        <v>44.820167438379876</v>
      </c>
      <c r="Y41" s="18">
        <f>'насел.'!Y41+пільги!Y41+субсидії!Y41+'держ.бюджет'!Y41+'місц.-районн.бюджет'!Y41+областной!Y41+інші!Y41</f>
        <v>6538.799999999999</v>
      </c>
      <c r="Z41" s="18">
        <f>'насел.'!Z41+пільги!Z41+субсидії!Z41+'держ.бюджет'!Z41+'місц.-районн.бюджет'!Z41+областной!Z41+інші!Z41</f>
        <v>6806.199999999999</v>
      </c>
      <c r="AA41" s="11">
        <f t="shared" si="20"/>
        <v>104.08943537040436</v>
      </c>
      <c r="AB41" s="18">
        <f>'насел.'!AB41+пільги!AB41+субсидії!AB41+'держ.бюджет'!AB41+'місц.-районн.бюджет'!AB41+областной!AB41+інші!AB41</f>
        <v>2089</v>
      </c>
      <c r="AC41" s="18">
        <f>'насел.'!AC41+пільги!AC41+субсидії!AC41+'держ.бюджет'!AC41+'місц.-районн.бюджет'!AC41+областной!AC41+інші!AC41</f>
        <v>1353.6999999999998</v>
      </c>
      <c r="AD41" s="11">
        <f t="shared" si="21"/>
        <v>64.80134035423647</v>
      </c>
      <c r="AE41" s="18">
        <f>'насел.'!AE41+пільги!AE41+субсидії!AE41+'держ.бюджет'!AE41+'місц.-районн.бюджет'!AE41+областной!AE41+інші!AE41</f>
        <v>2201.1</v>
      </c>
      <c r="AF41" s="18">
        <f>'насел.'!AF41+пільги!AF41+субсидії!AF41+'держ.бюджет'!AF41+'місц.-районн.бюджет'!AF41+областной!AF41+інші!AF41</f>
        <v>1286.3999999999999</v>
      </c>
      <c r="AG41" s="11">
        <f t="shared" si="22"/>
        <v>58.44350551996729</v>
      </c>
      <c r="AH41" s="18">
        <f>'насел.'!AH41+пільги!AH41+субсидії!AH41+'держ.бюджет'!AH41+'місц.-районн.бюджет'!AH41+областной!AH41+інші!AH41</f>
        <v>2179.1</v>
      </c>
      <c r="AI41" s="18">
        <f>'насел.'!AI41+пільги!AI41+субсидії!AI41+'держ.бюджет'!AI41+'місц.-районн.бюджет'!AI41+областной!AI41+інші!AI41</f>
        <v>1413.2</v>
      </c>
      <c r="AJ41" s="18">
        <f>'насел.'!AJ41+пільги!AJ41+субсидії!AJ41+'держ.бюджет'!AJ41+'місц.-районн.бюджет'!AJ41+областной!AJ41+інші!AJ41</f>
        <v>6469.199999999999</v>
      </c>
      <c r="AK41" s="18">
        <f>'насел.'!AK41+пільги!AK41+субсидії!AK41+'держ.бюджет'!AK41+'місц.-районн.бюджет'!AK41+областной!AK41+інші!AK41</f>
        <v>4053.3</v>
      </c>
      <c r="AL41" s="18">
        <f t="shared" si="11"/>
        <v>62.6553515117789</v>
      </c>
      <c r="AM41" s="18">
        <f>'насел.'!AM41+пільги!AM41+субсидії!AM41+'держ.бюджет'!AM41+'місц.-районн.бюджет'!AM41+областной!AM41+інші!AM41</f>
        <v>2115.3999999999996</v>
      </c>
      <c r="AN41" s="18">
        <f>'насел.'!AN41+пільги!AN41+субсидії!AN41+'держ.бюджет'!AN41+'місц.-районн.бюджет'!AN41+областной!AN41+інші!AN41</f>
        <v>1525.0999999999997</v>
      </c>
      <c r="AO41" s="18">
        <f>'насел.'!AO41+пільги!AO41+субсидії!AO41+'держ.бюджет'!AO41+'місц.-районн.бюджет'!AO41+областной!AO41+інші!AO41</f>
        <v>2225.2999999999997</v>
      </c>
      <c r="AP41" s="18">
        <f>'насел.'!AP41+пільги!AP41+субсидії!AP41+'держ.бюджет'!AP41+'місц.-районн.бюджет'!AP41+областной!AP41+інші!AP41</f>
        <v>1402.4</v>
      </c>
      <c r="AQ41" s="18">
        <f>'насел.'!AQ41+пільги!AQ41+субсидії!AQ41+'держ.бюджет'!AQ41+'місц.-районн.бюджет'!AQ41+областной!AQ41+інші!AQ41</f>
        <v>2122.2</v>
      </c>
      <c r="AR41" s="18">
        <f>'насел.'!AR41+пільги!AR41+субсидії!AR41+'держ.бюджет'!AR41+'місц.-районн.бюджет'!AR41+областной!AR41+інші!AR41</f>
        <v>2421.5</v>
      </c>
      <c r="AS41" s="18">
        <f>'насел.'!AS41+пільги!AS41+субсидії!AS41+'держ.бюджет'!AS41+'місц.-районн.бюджет'!AS41+областной!AS41+інші!AS41</f>
        <v>26479.899999999994</v>
      </c>
      <c r="AT41" s="18">
        <f>'насел.'!AT41+пільги!AT41+субсидії!AT41+'держ.бюджет'!AT41+'місц.-районн.бюджет'!AT41+областной!AT41+інші!AT41</f>
        <v>22818.8</v>
      </c>
      <c r="AU41" s="11">
        <f t="shared" si="3"/>
        <v>86.17404144275471</v>
      </c>
      <c r="AV41" s="18">
        <f>'насел.'!AV41+пільги!AV41+субсидії!AV41+'держ.бюджет'!AV41+'місц.-районн.бюджет'!AV41+областной!AV41+інші!AV41</f>
        <v>3661.0999999999976</v>
      </c>
      <c r="AW41" s="18">
        <f>'насел.'!AW41+пільги!AW41+субсидії!AW41+'держ.бюджет'!AW41+'місц.-районн.бюджет'!AW41+областной!AW41+інші!AW41</f>
        <v>1967.1999999999966</v>
      </c>
      <c r="AX41" s="42">
        <f t="shared" si="12"/>
        <v>26479.9</v>
      </c>
      <c r="AY41" s="42">
        <f t="shared" si="13"/>
        <v>22818.8</v>
      </c>
      <c r="AZ41" s="42">
        <f t="shared" si="14"/>
        <v>3661.100000000002</v>
      </c>
      <c r="BA41" s="42">
        <f t="shared" si="15"/>
        <v>1967.2000000000007</v>
      </c>
    </row>
    <row r="42" spans="1:53" ht="27" customHeight="1">
      <c r="A42" s="13" t="s">
        <v>44</v>
      </c>
      <c r="B42" s="15" t="s">
        <v>118</v>
      </c>
      <c r="C42" s="18">
        <f>'насел.'!C42+пільги!C42+субсидії!C42+'держ.бюджет'!C42+'місц.-районн.бюджет'!C42+областной!C42+інші!C42</f>
        <v>1767.3999999999999</v>
      </c>
      <c r="D42" s="18">
        <f>'насел.'!D42+пільги!D42+субсидії!D42+'держ.бюджет'!D42+'місц.-районн.бюджет'!D42+областной!D42+інші!D42</f>
        <v>2035.6999999999998</v>
      </c>
      <c r="E42" s="18">
        <f>'насел.'!E42+пільги!E42+субсидії!E42+'держ.бюджет'!E42+'місц.-районн.бюджет'!E42+областной!E42+інші!E42</f>
        <v>1052.4</v>
      </c>
      <c r="F42" s="11">
        <f t="shared" si="0"/>
        <v>51.69720489266593</v>
      </c>
      <c r="G42" s="18">
        <f>'насел.'!G42+пільги!G42+субсидії!G42+'держ.бюджет'!G42+'місц.-районн.бюджет'!G42+областной!G42+інші!G42</f>
        <v>1853.2</v>
      </c>
      <c r="H42" s="18">
        <f>'насел.'!H42+пільги!H42+субсидії!H42+'держ.бюджет'!H42+'місц.-районн.бюджет'!H42+областной!H42+інші!H42</f>
        <v>2693.7</v>
      </c>
      <c r="I42" s="11">
        <f t="shared" si="4"/>
        <v>145.35398230088495</v>
      </c>
      <c r="J42" s="18">
        <f>'насел.'!J42+пільги!J42+субсидії!J42+'держ.бюджет'!J42+'місц.-районн.бюджет'!J42+областной!J42+інші!J42</f>
        <v>1886.2</v>
      </c>
      <c r="K42" s="18">
        <f>'насел.'!K42+пільги!K42+субсидії!K42+'держ.бюджет'!K42+'місц.-районн.бюджет'!K42+областной!K42+інші!K42</f>
        <v>1302.3000000000002</v>
      </c>
      <c r="L42" s="11">
        <f t="shared" si="16"/>
        <v>69.0435796840208</v>
      </c>
      <c r="M42" s="11">
        <f>'насел.'!M42+пільги!M42+субсидії!M42+'держ.бюджет'!M42+'місц.-районн.бюджет'!M42+областной!M42+інші!M42</f>
        <v>5775.099999999999</v>
      </c>
      <c r="N42" s="11">
        <f>'насел.'!N42+пільги!N42+субсидії!N42+'держ.бюджет'!N42+'місц.-районн.бюджет'!N42+областной!N42+інші!N42</f>
        <v>5048.400000000001</v>
      </c>
      <c r="O42" s="11">
        <f t="shared" si="5"/>
        <v>87.41666810964314</v>
      </c>
      <c r="P42" s="18">
        <f>'насел.'!P42+пільги!P42+субсидії!P42+'держ.бюджет'!P42+'місц.-районн.бюджет'!P42+областной!P42+інші!P42</f>
        <v>1915.5000000000002</v>
      </c>
      <c r="Q42" s="18">
        <f>'насел.'!Q42+пільги!Q42+субсидії!Q42+'держ.бюджет'!Q42+'місц.-районн.бюджет'!Q42+областной!Q42+інші!Q42</f>
        <v>1692.8000000000002</v>
      </c>
      <c r="R42" s="11">
        <f>Q42/P42*100</f>
        <v>88.37379274340903</v>
      </c>
      <c r="S42" s="18">
        <f>'насел.'!S42+пільги!S42+субсидії!S42+'держ.бюджет'!S42+'місц.-районн.бюджет'!S42+областной!S42+інші!S42</f>
        <v>1985.3000000000002</v>
      </c>
      <c r="T42" s="18">
        <f>'насел.'!T42+пільги!T42+субсидії!T42+'держ.бюджет'!T42+'місц.-районн.бюджет'!T42+областной!T42+інші!T42</f>
        <v>2188.2</v>
      </c>
      <c r="U42" s="11">
        <f>T42/S42*100</f>
        <v>110.22011786631742</v>
      </c>
      <c r="V42" s="18">
        <f>'насел.'!V42+пільги!V42+субсидії!V42+'держ.бюджет'!V42+'місц.-районн.бюджет'!V42+областной!V42+інші!V42</f>
        <v>2008.4</v>
      </c>
      <c r="W42" s="18">
        <f>'насел.'!W42+пільги!W42+субсидії!W42+'держ.бюджет'!W42+'місц.-районн.бюджет'!W42+областной!W42+інші!W42</f>
        <v>1592.8</v>
      </c>
      <c r="X42" s="11">
        <f>W42/V42*100</f>
        <v>79.30691097390957</v>
      </c>
      <c r="Y42" s="18">
        <f>'насел.'!Y42+пільги!Y42+субсидії!Y42+'держ.бюджет'!Y42+'місц.-районн.бюджет'!Y42+областной!Y42+інші!Y42</f>
        <v>5909.2</v>
      </c>
      <c r="Z42" s="18">
        <f>'насел.'!Z42+пільги!Z42+субсидії!Z42+'держ.бюджет'!Z42+'місц.-районн.бюджет'!Z42+областной!Z42+інші!Z42</f>
        <v>5473.799999999999</v>
      </c>
      <c r="AA42" s="11">
        <f t="shared" si="20"/>
        <v>92.63182833547687</v>
      </c>
      <c r="AB42" s="18">
        <f>'насел.'!AB42+пільги!AB42+субсидії!AB42+'держ.бюджет'!AB42+'місц.-районн.бюджет'!AB42+областной!AB42+інші!AB42</f>
        <v>2149.3</v>
      </c>
      <c r="AC42" s="18">
        <f>'насел.'!AC42+пільги!AC42+субсидії!AC42+'держ.бюджет'!AC42+'місц.-районн.бюджет'!AC42+областной!AC42+інші!AC42</f>
        <v>1837.1000000000001</v>
      </c>
      <c r="AD42" s="11">
        <f>AC42/AB42*100</f>
        <v>85.47434048294792</v>
      </c>
      <c r="AE42" s="18">
        <f>'насел.'!AE42+пільги!AE42+субсидії!AE42+'держ.бюджет'!AE42+'місц.-районн.бюджет'!AE42+областной!AE42+інші!AE42</f>
        <v>2075.3</v>
      </c>
      <c r="AF42" s="18">
        <f>'насел.'!AF42+пільги!AF42+субсидії!AF42+'держ.бюджет'!AF42+'місц.-районн.бюджет'!AF42+областной!AF42+інші!AF42</f>
        <v>2023.3</v>
      </c>
      <c r="AG42" s="11">
        <f>AF42/AE42*100</f>
        <v>97.4943381679757</v>
      </c>
      <c r="AH42" s="18">
        <f>'насел.'!AH42+пільги!AH42+субсидії!AH42+'держ.бюджет'!AH42+'місц.-районн.бюджет'!AH42+областной!AH42+інші!AH42</f>
        <v>2017.2</v>
      </c>
      <c r="AI42" s="18">
        <f>'насел.'!AI42+пільги!AI42+субсидії!AI42+'держ.бюджет'!AI42+'місц.-районн.бюджет'!AI42+областной!AI42+інші!AI42</f>
        <v>1574.1000000000001</v>
      </c>
      <c r="AJ42" s="18">
        <f>'насел.'!AJ42+пільги!AJ42+субсидії!AJ42+'держ.бюджет'!AJ42+'місц.-районн.бюджет'!AJ42+областной!AJ42+інші!AJ42</f>
        <v>6241.799999999999</v>
      </c>
      <c r="AK42" s="18">
        <f>'насел.'!AK42+пільги!AK42+субсидії!AK42+'держ.бюджет'!AK42+'місц.-районн.бюджет'!AK42+областной!AK42+інші!AK42</f>
        <v>5434.499999999999</v>
      </c>
      <c r="AL42" s="18">
        <f t="shared" si="11"/>
        <v>87.06623089493415</v>
      </c>
      <c r="AM42" s="18">
        <f>'насел.'!AM42+пільги!AM42+субсидії!AM42+'держ.бюджет'!AM42+'місц.-районн.бюджет'!AM42+областной!AM42+інші!AM42</f>
        <v>2012.8000000000002</v>
      </c>
      <c r="AN42" s="18">
        <f>'насел.'!AN42+пільги!AN42+субсидії!AN42+'держ.бюджет'!AN42+'місц.-районн.бюджет'!AN42+областной!AN42+інші!AN42</f>
        <v>1773</v>
      </c>
      <c r="AO42" s="18">
        <f>'насел.'!AO42+пільги!AO42+субсидії!AO42+'держ.бюджет'!AO42+'місц.-районн.бюджет'!AO42+областной!AO42+інші!AO42</f>
        <v>1992.8</v>
      </c>
      <c r="AP42" s="18">
        <f>'насел.'!AP42+пільги!AP42+субсидії!AP42+'держ.бюджет'!AP42+'місц.-районн.бюджет'!AP42+областной!AP42+інші!AP42</f>
        <v>1982.9</v>
      </c>
      <c r="AQ42" s="18">
        <f>'насел.'!AQ42+пільги!AQ42+субсидії!AQ42+'держ.бюджет'!AQ42+'місц.-районн.бюджет'!AQ42+областной!AQ42+інші!AQ42</f>
        <v>1828.6</v>
      </c>
      <c r="AR42" s="18">
        <f>'насел.'!AR42+пільги!AR42+субсидії!AR42+'держ.бюджет'!AR42+'місц.-районн.бюджет'!AR42+областной!AR42+інші!AR42</f>
        <v>2097.5</v>
      </c>
      <c r="AS42" s="18">
        <f>'насел.'!AS42+пільги!AS42+субсидії!AS42+'держ.бюджет'!AS42+'місц.-районн.бюджет'!AS42+областной!AS42+інші!AS42</f>
        <v>23760.3</v>
      </c>
      <c r="AT42" s="18">
        <f>'насел.'!AT42+пільги!AT42+субсидії!AT42+'держ.бюджет'!AT42+'місц.-районн.бюджет'!AT42+областной!AT42+інші!AT42</f>
        <v>21810.1</v>
      </c>
      <c r="AU42" s="11">
        <f t="shared" si="3"/>
        <v>91.79219117603733</v>
      </c>
      <c r="AV42" s="18">
        <f>'насел.'!AV42+пільги!AV42+субсидії!AV42+'держ.бюджет'!AV42+'місц.-районн.бюджет'!AV42+областной!AV42+інші!AV42</f>
        <v>1950.199999999998</v>
      </c>
      <c r="AW42" s="18">
        <f>'насел.'!AW42+пільги!AW42+субсидії!AW42+'держ.бюджет'!AW42+'місц.-районн.бюджет'!AW42+областной!AW42+інші!AW42</f>
        <v>3717.5999999999995</v>
      </c>
      <c r="AX42" s="42">
        <f t="shared" si="12"/>
        <v>23760.299999999996</v>
      </c>
      <c r="AY42" s="42">
        <f t="shared" si="13"/>
        <v>21810.100000000002</v>
      </c>
      <c r="AZ42" s="42">
        <f t="shared" si="14"/>
        <v>1950.1999999999935</v>
      </c>
      <c r="BA42" s="42">
        <f t="shared" si="15"/>
        <v>3717.599999999995</v>
      </c>
    </row>
    <row r="43" spans="1:53" s="12" customFormat="1" ht="27" customHeight="1">
      <c r="A43" s="13" t="s">
        <v>45</v>
      </c>
      <c r="B43" s="16" t="s">
        <v>119</v>
      </c>
      <c r="C43" s="18">
        <f>'насел.'!C43+пільги!C43+субсидії!C43+'держ.бюджет'!C43+'місц.-районн.бюджет'!C43+областной!C43+інші!C43</f>
        <v>779408.8</v>
      </c>
      <c r="D43" s="18">
        <f>'насел.'!D43+пільги!D43+субсидії!D43+'держ.бюджет'!D43+'місц.-районн.бюджет'!D43+областной!D43+інші!D43</f>
        <v>110609.7</v>
      </c>
      <c r="E43" s="18">
        <f>'насел.'!E43+пільги!E43+субсидії!E43+'держ.бюджет'!E43+'місц.-районн.бюджет'!E43+областной!E43+інші!E43</f>
        <v>84214.4</v>
      </c>
      <c r="F43" s="11">
        <f t="shared" si="0"/>
        <v>76.13654137024149</v>
      </c>
      <c r="G43" s="18">
        <f>'насел.'!G43+пільги!G43+субсидії!G43+'держ.бюджет'!G43+'місц.-районн.бюджет'!G43+областной!G43+інші!G43</f>
        <v>111881.90000000001</v>
      </c>
      <c r="H43" s="18">
        <f>'насел.'!H43+пільги!H43+субсидії!H43+'держ.бюджет'!H43+'місц.-районн.бюджет'!H43+областной!H43+інші!H43</f>
        <v>97620.6</v>
      </c>
      <c r="I43" s="11">
        <f t="shared" si="4"/>
        <v>87.25325544167555</v>
      </c>
      <c r="J43" s="18">
        <f>SUM(J44:J44)</f>
        <v>112686.7</v>
      </c>
      <c r="K43" s="18">
        <f>SUM(K44:K44)</f>
        <v>86312.40000000001</v>
      </c>
      <c r="L43" s="11">
        <f t="shared" si="16"/>
        <v>76.59501964295698</v>
      </c>
      <c r="M43" s="11">
        <f>'насел.'!M43+пільги!M43+субсидії!M43+'держ.бюджет'!M43+'місц.-районн.бюджет'!M43+областной!M43+інші!M43</f>
        <v>335178.30000000005</v>
      </c>
      <c r="N43" s="11">
        <f>'насел.'!N43+пільги!N43+субсидії!N43+'держ.бюджет'!N43+'місц.-районн.бюджет'!N43+областной!N43+інші!N43</f>
        <v>268147.4</v>
      </c>
      <c r="O43" s="11">
        <f t="shared" si="5"/>
        <v>80.00142013966894</v>
      </c>
      <c r="P43" s="18">
        <f>'насел.'!P43+пільги!P43+субсидії!P43+'держ.бюджет'!P43+'місц.-районн.бюджет'!P43+областной!P43+інші!P43</f>
        <v>109200.3</v>
      </c>
      <c r="Q43" s="18">
        <f>'насел.'!Q43+пільги!Q43+субсидії!Q43+'держ.бюджет'!Q43+'місц.-районн.бюджет'!Q43+областной!Q43+інші!Q43</f>
        <v>112708.1</v>
      </c>
      <c r="R43" s="18">
        <f>SUM(R44:R44)</f>
        <v>103.2122622373748</v>
      </c>
      <c r="S43" s="18">
        <f>'насел.'!S43+пільги!S43+субсидії!S43+'держ.бюджет'!S43+'місц.-районн.бюджет'!S43+областной!S43+інші!S43</f>
        <v>119627.19999999998</v>
      </c>
      <c r="T43" s="18">
        <f>'насел.'!T43+пільги!T43+субсидії!T43+'держ.бюджет'!T43+'місц.-районн.бюджет'!T43+областной!T43+інші!T43</f>
        <v>105813</v>
      </c>
      <c r="U43" s="18">
        <f>SUM(U44:U44)</f>
        <v>88.45229178648336</v>
      </c>
      <c r="V43" s="18">
        <f>'насел.'!V43+пільги!V43+субсидії!V43+'держ.бюджет'!V43+'місц.-районн.бюджет'!V43+областной!V43+інші!V43</f>
        <v>121241.9</v>
      </c>
      <c r="W43" s="18">
        <f>'насел.'!W43+пільги!W43+субсидії!W43+'держ.бюджет'!W43+'місц.-районн.бюджет'!W43+областной!W43+інші!W43</f>
        <v>90004</v>
      </c>
      <c r="X43" s="18">
        <f>SUM(X44:X44)</f>
        <v>74.23506230106919</v>
      </c>
      <c r="Y43" s="18">
        <f>'насел.'!Y43+пільги!Y43+субсидії!Y43+'держ.бюджет'!Y43+'місц.-районн.бюджет'!Y43+областной!Y43+інші!Y43</f>
        <v>350069.4</v>
      </c>
      <c r="Z43" s="18">
        <f>'насел.'!Z43+пільги!Z43+субсидії!Z43+'держ.бюджет'!Z43+'місц.-районн.бюджет'!Z43+областной!Z43+інші!Z43</f>
        <v>308525.1</v>
      </c>
      <c r="AA43" s="11">
        <f t="shared" si="20"/>
        <v>88.13255314517635</v>
      </c>
      <c r="AB43" s="18">
        <f>'насел.'!AB43+пільги!AB43+субсидії!AB43+'держ.бюджет'!AB43+'місц.-районн.бюджет'!AB43+областной!AB43+інші!AB43</f>
        <v>116923.59999999999</v>
      </c>
      <c r="AC43" s="18">
        <f>'насел.'!AC43+пільги!AC43+субсидії!AC43+'держ.бюджет'!AC43+'місц.-районн.бюджет'!AC43+областной!AC43+інші!AC43</f>
        <v>97553.79999999999</v>
      </c>
      <c r="AD43" s="18">
        <f>SUM(AD44:AD44)</f>
        <v>83.43379779616775</v>
      </c>
      <c r="AE43" s="18">
        <f>'насел.'!AE43+пільги!AE43+субсидії!AE43+'держ.бюджет'!AE43+'місц.-районн.бюджет'!AE43+областной!AE43+інші!AE43</f>
        <v>115243.7</v>
      </c>
      <c r="AF43" s="18">
        <f>'насел.'!AF43+пільги!AF43+субсидії!AF43+'держ.бюджет'!AF43+'місц.-районн.бюджет'!AF43+областной!AF43+інші!AF43</f>
        <v>97846.4</v>
      </c>
      <c r="AG43" s="18">
        <f>SUM(AG44:AG44)</f>
        <v>84.90390364071962</v>
      </c>
      <c r="AH43" s="18">
        <f>'насел.'!AH43+пільги!AH43+субсидії!AH43+'держ.бюджет'!AH43+'місц.-районн.бюджет'!AH43+областной!AH43+інші!AH43</f>
        <v>126028.20000000001</v>
      </c>
      <c r="AI43" s="18">
        <f>'насел.'!AI43+пільги!AI43+субсидії!AI43+'держ.бюджет'!AI43+'місц.-районн.бюджет'!AI43+областной!AI43+інші!AI43</f>
        <v>96301.59999999999</v>
      </c>
      <c r="AJ43" s="18">
        <f>'насел.'!AJ43+пільги!AJ43+субсидії!AJ43+'держ.бюджет'!AJ43+'місц.-районн.бюджет'!AJ43+областной!AJ43+інші!AJ43</f>
        <v>358195.5</v>
      </c>
      <c r="AK43" s="18">
        <f>'насел.'!AK43+пільги!AK43+субсидії!AK43+'держ.бюджет'!AK43+'місц.-районн.бюджет'!AK43+областной!AK43+інші!AK43</f>
        <v>291701.80000000005</v>
      </c>
      <c r="AL43" s="18">
        <f t="shared" si="11"/>
        <v>81.43647812437622</v>
      </c>
      <c r="AM43" s="18">
        <f>'насел.'!AM43+пільги!AM43+субсидії!AM43+'держ.бюджет'!AM43+'місц.-районн.бюджет'!AM43+областной!AM43+інші!AM43</f>
        <v>141118</v>
      </c>
      <c r="AN43" s="18">
        <f>'насел.'!AN43+пільги!AN43+субсидії!AN43+'держ.бюджет'!AN43+'місц.-районн.бюджет'!AN43+областной!AN43+інші!AN43</f>
        <v>109749.19999999998</v>
      </c>
      <c r="AO43" s="18">
        <f>'насел.'!AO43+пільги!AO43+субсидії!AO43+'держ.бюджет'!AO43+'місц.-районн.бюджет'!AO43+областной!AO43+інші!AO43</f>
        <v>148833.90000000002</v>
      </c>
      <c r="AP43" s="18">
        <f>'насел.'!AP43+пільги!AP43+субсидії!AP43+'держ.бюджет'!AP43+'місц.-районн.бюджет'!AP43+областной!AP43+інші!AP43</f>
        <v>110381.4</v>
      </c>
      <c r="AQ43" s="18">
        <f>'насел.'!AQ43+пільги!AQ43+субсидії!AQ43+'держ.бюджет'!AQ43+'місц.-районн.бюджет'!AQ43+областной!AQ43+інші!AQ43</f>
        <v>151692.90000000002</v>
      </c>
      <c r="AR43" s="18">
        <f>'насел.'!AR43+пільги!AR43+субсидії!AR43+'держ.бюджет'!AR43+'місц.-районн.бюджет'!AR43+областной!AR43+інші!AR43</f>
        <v>120503.09999999999</v>
      </c>
      <c r="AS43" s="18">
        <f>'насел.'!AS43+пільги!AS43+субсидії!AS43+'держ.бюджет'!AS43+'місц.-районн.бюджет'!AS43+областной!AS43+інші!AS43</f>
        <v>1485088</v>
      </c>
      <c r="AT43" s="18">
        <f>'насел.'!AT43+пільги!AT43+субсидії!AT43+'держ.бюджет'!AT43+'місц.-районн.бюджет'!AT43+областной!AT43+інші!AT43</f>
        <v>1209008</v>
      </c>
      <c r="AU43" s="11">
        <f t="shared" si="3"/>
        <v>81.40985584692623</v>
      </c>
      <c r="AV43" s="18">
        <f>SUM(AV44:AV44)</f>
        <v>276080</v>
      </c>
      <c r="AW43" s="18">
        <f>SUM(AW44:AW44)</f>
        <v>1055488.7999999998</v>
      </c>
      <c r="AX43" s="42">
        <f t="shared" si="12"/>
        <v>1485088</v>
      </c>
      <c r="AY43" s="42">
        <f t="shared" si="13"/>
        <v>1209008</v>
      </c>
      <c r="AZ43" s="42">
        <f t="shared" si="14"/>
        <v>276080</v>
      </c>
      <c r="BA43" s="42">
        <f t="shared" si="15"/>
        <v>1055488.7999999998</v>
      </c>
    </row>
    <row r="44" spans="1:53" s="12" customFormat="1" ht="29.25" customHeight="1">
      <c r="A44" s="8"/>
      <c r="B44" s="41" t="s">
        <v>120</v>
      </c>
      <c r="C44" s="18">
        <f>'насел.'!C44+пільги!C44+субсидії!C44+'держ.бюджет'!C44+'місц.-районн.бюджет'!C44+областной!C44+інші!C44</f>
        <v>779408.8</v>
      </c>
      <c r="D44" s="18">
        <f>'насел.'!D44+пільги!D44+субсидії!D44+'держ.бюджет'!D44+'місц.-районн.бюджет'!D44+областной!D44+інші!D44</f>
        <v>110609.7</v>
      </c>
      <c r="E44" s="18">
        <f>'насел.'!E44+пільги!E44+субсидії!E44+'держ.бюджет'!E44+'місц.-районн.бюджет'!E44+областной!E44+інші!E44</f>
        <v>84214.4</v>
      </c>
      <c r="F44" s="11">
        <f t="shared" si="0"/>
        <v>76.13654137024149</v>
      </c>
      <c r="G44" s="18">
        <f>'насел.'!G44+пільги!G44+субсидії!G44+'держ.бюджет'!G44+'місц.-районн.бюджет'!G44+областной!G44+інші!G44</f>
        <v>111881.90000000001</v>
      </c>
      <c r="H44" s="18">
        <f>'насел.'!H44+пільги!H44+субсидії!H44+'держ.бюджет'!H44+'місц.-районн.бюджет'!H44+областной!H44+інші!H44</f>
        <v>97620.6</v>
      </c>
      <c r="I44" s="11">
        <f t="shared" si="4"/>
        <v>87.25325544167555</v>
      </c>
      <c r="J44" s="18">
        <f>'насел.'!J44+пільги!J44+субсидії!J44+'держ.бюджет'!J44+'місц.-районн.бюджет'!J44+областной!J44+інші!J44</f>
        <v>112686.7</v>
      </c>
      <c r="K44" s="18">
        <f>'насел.'!K44+пільги!K44+субсидії!K44+'держ.бюджет'!K44+'місц.-районн.бюджет'!K44+областной!K44+інші!K44</f>
        <v>86312.40000000001</v>
      </c>
      <c r="L44" s="11">
        <f t="shared" si="16"/>
        <v>76.59501964295698</v>
      </c>
      <c r="M44" s="11">
        <f>'насел.'!M44+пільги!M44+субсидії!M44+'держ.бюджет'!M44+'місц.-районн.бюджет'!M44+областной!M44+інші!M44</f>
        <v>335178.30000000005</v>
      </c>
      <c r="N44" s="11">
        <f>'насел.'!N44+пільги!N44+субсидії!N44+'держ.бюджет'!N44+'місц.-районн.бюджет'!N44+областной!N44+інші!N44</f>
        <v>268147.4</v>
      </c>
      <c r="O44" s="11">
        <f t="shared" si="5"/>
        <v>80.00142013966894</v>
      </c>
      <c r="P44" s="18">
        <f>'насел.'!P44+пільги!P44+субсидії!P44+'держ.бюджет'!P44+'місц.-районн.бюджет'!P44+областной!P44+інші!P44</f>
        <v>109200.3</v>
      </c>
      <c r="Q44" s="18">
        <f>'насел.'!Q44+пільги!Q44+субсидії!Q44+'держ.бюджет'!Q44+'місц.-районн.бюджет'!Q44+областной!Q44+інші!Q44</f>
        <v>112708.1</v>
      </c>
      <c r="R44" s="11">
        <f>Q44/P44*100</f>
        <v>103.2122622373748</v>
      </c>
      <c r="S44" s="18">
        <f>'насел.'!S44+пільги!S44+субсидії!S44+'держ.бюджет'!S44+'місц.-районн.бюджет'!S44+областной!S44+інші!S44</f>
        <v>119627.19999999998</v>
      </c>
      <c r="T44" s="18">
        <f>'насел.'!T44+пільги!T44+субсидії!T44+'держ.бюджет'!T44+'місц.-районн.бюджет'!T44+областной!T44+інші!T44</f>
        <v>105813</v>
      </c>
      <c r="U44" s="11">
        <f>T44/S44*100</f>
        <v>88.45229178648336</v>
      </c>
      <c r="V44" s="18">
        <f>'насел.'!V44+пільги!V44+субсидії!V44+'держ.бюджет'!V44+'місц.-районн.бюджет'!V44+областной!V44+інші!V44</f>
        <v>121241.9</v>
      </c>
      <c r="W44" s="18">
        <f>'насел.'!W44+пільги!W44+субсидії!W44+'держ.бюджет'!W44+'місц.-районн.бюджет'!W44+областной!W44+інші!W44</f>
        <v>90004</v>
      </c>
      <c r="X44" s="11">
        <f>W44/V44*100</f>
        <v>74.23506230106919</v>
      </c>
      <c r="Y44" s="18">
        <f>'насел.'!Y44+пільги!Y44+субсидії!Y44+'держ.бюджет'!Y44+'місц.-районн.бюджет'!Y44+областной!Y44+інші!Y44</f>
        <v>350069.4</v>
      </c>
      <c r="Z44" s="18">
        <f>'насел.'!Z44+пільги!Z44+субсидії!Z44+'держ.бюджет'!Z44+'місц.-районн.бюджет'!Z44+областной!Z44+інші!Z44</f>
        <v>308525.1</v>
      </c>
      <c r="AA44" s="11">
        <f t="shared" si="20"/>
        <v>88.13255314517635</v>
      </c>
      <c r="AB44" s="18">
        <f>'насел.'!AB44+пільги!AB44+субсидії!AB44+'держ.бюджет'!AB44+'місц.-районн.бюджет'!AB44+областной!AB44+інші!AB44</f>
        <v>116923.59999999999</v>
      </c>
      <c r="AC44" s="18">
        <f>'насел.'!AC44+пільги!AC44+субсидії!AC44+'держ.бюджет'!AC44+'місц.-районн.бюджет'!AC44+областной!AC44+інші!AC44</f>
        <v>97553.79999999999</v>
      </c>
      <c r="AD44" s="11">
        <f>AC44/AB44*100</f>
        <v>83.43379779616775</v>
      </c>
      <c r="AE44" s="18">
        <f>'насел.'!AE44+пільги!AE44+субсидії!AE44+'держ.бюджет'!AE44+'місц.-районн.бюджет'!AE44+областной!AE44+інші!AE44</f>
        <v>115243.7</v>
      </c>
      <c r="AF44" s="18">
        <f>'насел.'!AF44+пільги!AF44+субсидії!AF44+'держ.бюджет'!AF44+'місц.-районн.бюджет'!AF44+областной!AF44+інші!AF44</f>
        <v>97846.4</v>
      </c>
      <c r="AG44" s="11">
        <f>AF44/AE44*100</f>
        <v>84.90390364071962</v>
      </c>
      <c r="AH44" s="18">
        <f>'насел.'!AH44+пільги!AH44+субсидії!AH44+'держ.бюджет'!AH44+'місц.-районн.бюджет'!AH44+областной!AH44+інші!AH44</f>
        <v>126028.20000000001</v>
      </c>
      <c r="AI44" s="18">
        <f>'насел.'!AI44+пільги!AI44+субсидії!AI44+'держ.бюджет'!AI44+'місц.-районн.бюджет'!AI44+областной!AI44+інші!AI44</f>
        <v>96301.59999999999</v>
      </c>
      <c r="AJ44" s="18">
        <f>'насел.'!AJ44+пільги!AJ44+субсидії!AJ44+'держ.бюджет'!AJ44+'місц.-районн.бюджет'!AJ44+областной!AJ44+інші!AJ44</f>
        <v>358195.5</v>
      </c>
      <c r="AK44" s="18">
        <f>'насел.'!AK44+пільги!AK44+субсидії!AK44+'держ.бюджет'!AK44+'місц.-районн.бюджет'!AK44+областной!AK44+інші!AK44</f>
        <v>291701.80000000005</v>
      </c>
      <c r="AL44" s="18">
        <f t="shared" si="11"/>
        <v>81.43647812437622</v>
      </c>
      <c r="AM44" s="18">
        <f>'насел.'!AM44+пільги!AM44+субсидії!AM44+'держ.бюджет'!AM44+'місц.-районн.бюджет'!AM44+областной!AM44+інші!AM44</f>
        <v>141118</v>
      </c>
      <c r="AN44" s="18">
        <f>'насел.'!AN44+пільги!AN44+субсидії!AN44+'держ.бюджет'!AN44+'місц.-районн.бюджет'!AN44+областной!AN44+інші!AN44</f>
        <v>109749.19999999998</v>
      </c>
      <c r="AO44" s="18">
        <f>'насел.'!AO44+пільги!AO44+субсидії!AO44+'держ.бюджет'!AO44+'місц.-районн.бюджет'!AO44+областной!AO44+інші!AO44</f>
        <v>148833.90000000002</v>
      </c>
      <c r="AP44" s="18">
        <f>'насел.'!AP44+пільги!AP44+субсидії!AP44+'держ.бюджет'!AP44+'місц.-районн.бюджет'!AP44+областной!AP44+інші!AP44</f>
        <v>110381.4</v>
      </c>
      <c r="AQ44" s="18">
        <f>'насел.'!AQ44+пільги!AQ44+субсидії!AQ44+'держ.бюджет'!AQ44+'місц.-районн.бюджет'!AQ44+областной!AQ44+інші!AQ44</f>
        <v>151692.90000000002</v>
      </c>
      <c r="AR44" s="18">
        <f>'насел.'!AR44+пільги!AR44+субсидії!AR44+'держ.бюджет'!AR44+'місц.-районн.бюджет'!AR44+областной!AR44+інші!AR44</f>
        <v>120503.09999999999</v>
      </c>
      <c r="AS44" s="18">
        <f>'насел.'!AS44+пільги!AS44+субсидії!AS44+'держ.бюджет'!AS44+'місц.-районн.бюджет'!AS44+областной!AS44+інші!AS44</f>
        <v>1485088</v>
      </c>
      <c r="AT44" s="18">
        <f>'насел.'!AT44+пільги!AT44+субсидії!AT44+'держ.бюджет'!AT44+'місц.-районн.бюджет'!AT44+областной!AT44+інші!AT44</f>
        <v>1209008</v>
      </c>
      <c r="AU44" s="11">
        <f t="shared" si="3"/>
        <v>81.40985584692623</v>
      </c>
      <c r="AV44" s="11">
        <f>AS44-AT44</f>
        <v>276080</v>
      </c>
      <c r="AW44" s="14">
        <f>'насел.'!AW44+пільги!AW44+субсидії!AW44+'держ.бюджет'!AW44+'місц.-районн.бюджет'!AW44+областной!AW44+інші!AW44</f>
        <v>1055488.7999999998</v>
      </c>
      <c r="AX44" s="42">
        <f t="shared" si="12"/>
        <v>1485088</v>
      </c>
      <c r="AY44" s="42">
        <f t="shared" si="13"/>
        <v>1209008</v>
      </c>
      <c r="AZ44" s="42">
        <f t="shared" si="14"/>
        <v>276080</v>
      </c>
      <c r="BA44" s="42">
        <f t="shared" si="15"/>
        <v>1055488.7999999998</v>
      </c>
    </row>
    <row r="45" spans="1:53" ht="27" customHeight="1">
      <c r="A45" s="13"/>
      <c r="B45" s="16" t="s">
        <v>121</v>
      </c>
      <c r="C45" s="18">
        <f>'насел.'!C45+пільги!C45+субсидії!C45+'держ.бюджет'!C45+'місц.-районн.бюджет'!C45+областной!C45+інші!C45</f>
        <v>801123</v>
      </c>
      <c r="D45" s="18">
        <f>'насел.'!D45+пільги!D45+субсидії!D45+'держ.бюджет'!D45+'місц.-районн.бюджет'!D45+областной!D45+інші!D45</f>
        <v>140046.03718</v>
      </c>
      <c r="E45" s="18">
        <f>'насел.'!E45+пільги!E45+субсидії!E45+'держ.бюджет'!E45+'місц.-районн.бюджет'!E45+областной!E45+інші!E45</f>
        <v>98480.27612999998</v>
      </c>
      <c r="F45" s="11">
        <f t="shared" si="0"/>
        <v>70.3199305835581</v>
      </c>
      <c r="G45" s="18">
        <f>'насел.'!G45+пільги!G45+субсидії!G45+'держ.бюджет'!G45+'місц.-районн.бюджет'!G45+областной!G45+інші!G45</f>
        <v>142082.69999999998</v>
      </c>
      <c r="H45" s="18">
        <f>'насел.'!H45+пільги!H45+субсидії!H45+'держ.бюджет'!H45+'місц.-районн.бюджет'!H45+областной!H45+інші!H45</f>
        <v>150165.10000000003</v>
      </c>
      <c r="I45" s="11">
        <f t="shared" si="4"/>
        <v>105.68851802506572</v>
      </c>
      <c r="J45" s="18">
        <f>J43+J7</f>
        <v>142913.209</v>
      </c>
      <c r="K45" s="18">
        <f>K43+K7</f>
        <v>113107.524</v>
      </c>
      <c r="L45" s="11">
        <f t="shared" si="16"/>
        <v>79.14420562762676</v>
      </c>
      <c r="M45" s="11">
        <f>'насел.'!M45+пільги!M45+субсидії!M45+'держ.бюджет'!M45+'місц.-районн.бюджет'!M45+областной!M45+інші!M45</f>
        <v>425041.94617999997</v>
      </c>
      <c r="N45" s="11">
        <f>'насел.'!N45+пільги!N45+субсидії!N45+'держ.бюджет'!N45+'місц.-районн.бюджет'!N45+областной!N45+інші!N45</f>
        <v>361752.90013</v>
      </c>
      <c r="O45" s="11">
        <f t="shared" si="5"/>
        <v>85.10992935666688</v>
      </c>
      <c r="P45" s="18">
        <f>'насел.'!P45+пільги!P45+субсидії!P45+'держ.бюджет'!P45+'місц.-районн.бюджет'!P45+областной!P45+інші!P45</f>
        <v>140226.76799000002</v>
      </c>
      <c r="Q45" s="18">
        <f>'насел.'!Q45+пільги!Q45+субсидії!Q45+'держ.бюджет'!Q45+'місц.-районн.бюджет'!Q45+областной!Q45+інші!Q45</f>
        <v>141672.70134</v>
      </c>
      <c r="R45" s="11">
        <f>Q45/P45*100</f>
        <v>101.03113932576917</v>
      </c>
      <c r="S45" s="18">
        <f>'насел.'!S45+пільги!S45+субсидії!S45+'держ.бюджет'!S45+'місц.-районн.бюджет'!S45+областной!S45+інші!S45</f>
        <v>151651.2499</v>
      </c>
      <c r="T45" s="18">
        <f>'насел.'!T45+пільги!T45+субсидії!T45+'держ.бюджет'!T45+'місц.-районн.бюджет'!T45+областной!T45+інші!T45</f>
        <v>143175.50644</v>
      </c>
      <c r="U45" s="11">
        <f>T45/S45*100</f>
        <v>94.41102960536826</v>
      </c>
      <c r="V45" s="18">
        <f>'насел.'!V45+пільги!V45+субсидії!V45+'держ.бюджет'!V45+'місц.-районн.бюджет'!V45+областной!V45+інші!V45</f>
        <v>153537.45597999997</v>
      </c>
      <c r="W45" s="18">
        <f>'насел.'!W45+пільги!W45+субсидії!W45+'держ.бюджет'!W45+'місц.-районн.бюджет'!W45+областной!W45+інші!W45</f>
        <v>112987.42858</v>
      </c>
      <c r="X45" s="11">
        <f>W45/V45*100</f>
        <v>73.58948854455288</v>
      </c>
      <c r="Y45" s="18">
        <f>'насел.'!Y45+пільги!Y45+субсидії!Y45+'держ.бюджет'!Y45+'місц.-районн.бюджет'!Y45+областной!Y45+інші!Y45</f>
        <v>445415.47387</v>
      </c>
      <c r="Z45" s="18">
        <f>'насел.'!Z45+пільги!Z45+субсидії!Z45+'держ.бюджет'!Z45+'місц.-районн.бюджет'!Z45+областной!Z45+інші!Z45</f>
        <v>397835.63636</v>
      </c>
      <c r="AA45" s="11">
        <f t="shared" si="20"/>
        <v>89.31787503999317</v>
      </c>
      <c r="AB45" s="18">
        <f>'насел.'!AB45+пільги!AB45+субсидії!AB45+'держ.бюджет'!AB45+'місц.-районн.бюджет'!AB45+областной!AB45+інші!AB45</f>
        <v>147822.90401</v>
      </c>
      <c r="AC45" s="18">
        <f>'насел.'!AC45+пільги!AC45+субсидії!AC45+'держ.бюджет'!AC45+'місц.-районн.бюджет'!AC45+областной!AC45+інші!AC45</f>
        <v>123738.92169000002</v>
      </c>
      <c r="AD45" s="11">
        <f>AC45/AB45*100</f>
        <v>83.70754350870368</v>
      </c>
      <c r="AE45" s="18">
        <f>'насел.'!AE45+пільги!AE45+субсидії!AE45+'держ.бюджет'!AE45+'місц.-районн.бюджет'!AE45+областной!AE45+інші!AE45</f>
        <v>146583.16942</v>
      </c>
      <c r="AF45" s="18">
        <f>'насел.'!AF45+пільги!AF45+субсидії!AF45+'держ.бюджет'!AF45+'місц.-районн.бюджет'!AF45+областной!AF45+інші!AF45</f>
        <v>125165.80367000001</v>
      </c>
      <c r="AG45" s="11">
        <f>AF45/AE45*100</f>
        <v>85.38893255293621</v>
      </c>
      <c r="AH45" s="18">
        <f>'насел.'!AH45+пільги!AH45+субсидії!AH45+'держ.бюджет'!AH45+'місц.-районн.бюджет'!AH45+областной!AH45+інші!AH45</f>
        <v>157673.78876999998</v>
      </c>
      <c r="AI45" s="18">
        <f>'насел.'!AI45+пільги!AI45+субсидії!AI45+'держ.бюджет'!AI45+'місц.-районн.бюджет'!AI45+областной!AI45+інші!AI45</f>
        <v>124636.15284000001</v>
      </c>
      <c r="AJ45" s="18">
        <f>'насел.'!AJ45+пільги!AJ45+субсидії!AJ45+'держ.бюджет'!AJ45+'місц.-районн.бюджет'!AJ45+областной!AJ45+інші!AJ45</f>
        <v>452079.8622</v>
      </c>
      <c r="AK45" s="18">
        <f>'насел.'!AK45+пільги!AK45+субсидії!AK45+'держ.бюджет'!AK45+'місц.-районн.бюджет'!AK45+областной!AK45+інші!AK45</f>
        <v>373540.87820000004</v>
      </c>
      <c r="AL45" s="18">
        <f t="shared" si="11"/>
        <v>82.62718812163008</v>
      </c>
      <c r="AM45" s="18">
        <f>'насел.'!AM45+пільги!AM45+субсидії!AM45+'держ.бюджет'!AM45+'місц.-районн.бюджет'!AM45+областной!AM45+інші!AM45</f>
        <v>172852.2</v>
      </c>
      <c r="AN45" s="18">
        <f>'насел.'!AN45+пільги!AN45+субсидії!AN45+'держ.бюджет'!AN45+'місц.-районн.бюджет'!AN45+областной!AN45+інші!AN45</f>
        <v>139299.5</v>
      </c>
      <c r="AO45" s="18">
        <f>'насел.'!AO45+пільги!AO45+субсидії!AO45+'держ.бюджет'!AO45+'місц.-районн.бюджет'!AO45+областной!AO45+інші!AO45</f>
        <v>181401.3</v>
      </c>
      <c r="AP45" s="18">
        <f>'насел.'!AP45+пільги!AP45+субсидії!AP45+'держ.бюджет'!AP45+'місц.-районн.бюджет'!AP45+областной!AP45+інші!AP45</f>
        <v>138315.09999999998</v>
      </c>
      <c r="AQ45" s="18">
        <f>'насел.'!AQ45+пільги!AQ45+субсидії!AQ45+'держ.бюджет'!AQ45+'місц.-районн.бюджет'!AQ45+областной!AQ45+інші!AQ45</f>
        <v>186725.5</v>
      </c>
      <c r="AR45" s="18">
        <f>'насел.'!AR45+пільги!AR45+субсидії!AR45+'держ.бюджет'!AR45+'місц.-районн.бюджет'!AR45+областной!AR45+інші!AR45</f>
        <v>151838.3</v>
      </c>
      <c r="AS45" s="18">
        <f>'насел.'!AS45+пільги!AS45+субсидії!AS45+'держ.бюджет'!AS45+'місц.-районн.бюджет'!AS45+областной!AS45+інші!AS45</f>
        <v>1863516.28225</v>
      </c>
      <c r="AT45" s="18">
        <f>'насел.'!AT45+пільги!AT45+субсидії!AT45+'держ.бюджет'!AT45+'місц.-районн.бюджет'!AT45+областной!AT45+інші!AT45</f>
        <v>1562582.31469</v>
      </c>
      <c r="AU45" s="11">
        <f t="shared" si="3"/>
        <v>83.85128316686055</v>
      </c>
      <c r="AV45" s="18">
        <f>'насел.'!AV45+пільги!AV45+субсидії!AV45+'держ.бюджет'!AV45+'місц.-районн.бюджет'!AV45+областной!AV45+інші!AV45</f>
        <v>300933.9675599999</v>
      </c>
      <c r="AW45" s="18">
        <f>'насел.'!AW45+пільги!AW45+субсидії!AW45+'держ.бюджет'!AW45+'місц.-районн.бюджет'!AW45+областной!AW45+інші!AW45</f>
        <v>1102056.96756</v>
      </c>
      <c r="AX45" s="42">
        <f t="shared" si="12"/>
        <v>1863516.28225</v>
      </c>
      <c r="AY45" s="42">
        <f t="shared" si="13"/>
        <v>1562582.3146900001</v>
      </c>
      <c r="AZ45" s="42">
        <f t="shared" si="14"/>
        <v>300933.9675599998</v>
      </c>
      <c r="BA45" s="42">
        <f t="shared" si="15"/>
        <v>1102056.96756</v>
      </c>
    </row>
    <row r="46" spans="1:53" ht="32.25" customHeight="1">
      <c r="A46" s="166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9"/>
      <c r="AY46" s="19"/>
      <c r="AZ46" s="42"/>
      <c r="BA46" s="42"/>
    </row>
    <row r="47" spans="1:61" ht="3.7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9">
        <f>SUM(AX7:AX44)</f>
        <v>3727032.5645000003</v>
      </c>
      <c r="AY47" s="139"/>
      <c r="BG47" s="12"/>
      <c r="BH47" s="12"/>
      <c r="BI47" s="20"/>
    </row>
    <row r="48" spans="2:49" ht="32.25" customHeight="1" hidden="1">
      <c r="B48" s="140"/>
      <c r="C48" s="141" t="e">
        <f>'насел.'!C45+пільги!C45+субсидії!C45+'держ.бюджет'!C45+областной!C45+'місц.-районн.бюджет'!C45+#REF!+інші!C45</f>
        <v>#REF!</v>
      </c>
      <c r="D48" s="142"/>
      <c r="E48" s="142"/>
      <c r="F48" s="142"/>
      <c r="G48" s="23"/>
      <c r="H48" s="23"/>
      <c r="I48" s="24"/>
      <c r="J48" s="23"/>
      <c r="K48" s="23"/>
      <c r="L48" s="24"/>
      <c r="M48" s="24"/>
      <c r="N48" s="24"/>
      <c r="O48" s="24"/>
      <c r="P48" s="141"/>
      <c r="Q48" s="141"/>
      <c r="R48" s="142"/>
      <c r="S48" s="141"/>
      <c r="T48" s="141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1"/>
      <c r="AT48" s="141"/>
      <c r="AU48" s="142"/>
      <c r="AV48" s="141"/>
      <c r="AW48" s="141" t="e">
        <f>#REF!-#REF!</f>
        <v>#REF!</v>
      </c>
    </row>
    <row r="49" spans="1:62" s="12" customFormat="1" ht="25.5" customHeight="1">
      <c r="A49" s="21"/>
      <c r="B49" s="21"/>
      <c r="C49" s="22"/>
      <c r="D49" s="24"/>
      <c r="E49" s="24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>
        <f>C45+AS45-AT45</f>
        <v>1102056.9675600003</v>
      </c>
      <c r="AY49" s="24"/>
      <c r="AZ49" s="24"/>
      <c r="BA49" s="24"/>
      <c r="BB49" s="24"/>
      <c r="BC49" s="24"/>
      <c r="BD49" s="23"/>
      <c r="BE49" s="6"/>
      <c r="BF49" s="6"/>
      <c r="BG49" s="25"/>
      <c r="BH49" s="6"/>
      <c r="BJ49" s="6"/>
    </row>
    <row r="50" spans="1:62" s="12" customFormat="1" ht="19.5" customHeight="1" hidden="1">
      <c r="A50" s="26"/>
      <c r="B50" s="12" t="s">
        <v>122</v>
      </c>
      <c r="C50" s="22"/>
      <c r="D50" s="24"/>
      <c r="E50" s="24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3"/>
      <c r="Q50" s="23"/>
      <c r="R50" s="24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3"/>
      <c r="BE50" s="6"/>
      <c r="BF50" s="6"/>
      <c r="BG50" s="25"/>
      <c r="BH50" s="6"/>
      <c r="BJ50" s="6"/>
    </row>
    <row r="51" spans="1:62" s="12" customFormat="1" ht="7.5" customHeight="1" hidden="1">
      <c r="A51" s="21"/>
      <c r="C51" s="22"/>
      <c r="D51" s="24"/>
      <c r="E51" s="24"/>
      <c r="F51" s="24"/>
      <c r="G51" s="30"/>
      <c r="H51" s="30"/>
      <c r="I51" s="54"/>
      <c r="J51" s="30"/>
      <c r="K51" s="30"/>
      <c r="L51" s="54"/>
      <c r="M51" s="54"/>
      <c r="N51" s="54"/>
      <c r="O51" s="54"/>
      <c r="P51" s="23"/>
      <c r="Q51" s="23"/>
      <c r="R51" s="24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3"/>
      <c r="BE51" s="6"/>
      <c r="BF51" s="6"/>
      <c r="BG51" s="25"/>
      <c r="BH51" s="6"/>
      <c r="BJ51" s="6"/>
    </row>
    <row r="52" spans="1:62" s="12" customFormat="1" ht="19.5" customHeight="1" hidden="1">
      <c r="A52" s="26"/>
      <c r="B52" s="12" t="s">
        <v>123</v>
      </c>
      <c r="C52" s="22"/>
      <c r="D52" s="24"/>
      <c r="E52" s="24"/>
      <c r="F52" s="24"/>
      <c r="G52" s="34"/>
      <c r="H52" s="34"/>
      <c r="I52" s="35"/>
      <c r="J52" s="34"/>
      <c r="K52" s="34"/>
      <c r="L52" s="35"/>
      <c r="M52" s="35"/>
      <c r="N52" s="35"/>
      <c r="O52" s="35"/>
      <c r="P52" s="23"/>
      <c r="Q52" s="23"/>
      <c r="R52" s="24"/>
      <c r="S52" s="23"/>
      <c r="T52" s="2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3"/>
      <c r="BE52" s="6"/>
      <c r="BF52" s="6"/>
      <c r="BG52" s="25"/>
      <c r="BH52" s="6"/>
      <c r="BJ52" s="6"/>
    </row>
    <row r="53" spans="1:62" ht="24.75" customHeight="1">
      <c r="A53" s="2"/>
      <c r="C53" s="27"/>
      <c r="D53" s="53"/>
      <c r="E53" s="53"/>
      <c r="F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20"/>
      <c r="AT53" s="20"/>
      <c r="AU53" s="53"/>
      <c r="AV53" s="20"/>
      <c r="AW53" s="20"/>
      <c r="AX53" s="20"/>
      <c r="AY53" s="20"/>
      <c r="AZ53" s="20"/>
      <c r="BA53" s="20"/>
      <c r="BB53" s="20"/>
      <c r="BC53" s="20"/>
      <c r="BD53" s="20"/>
      <c r="BE53" s="7"/>
      <c r="BF53" s="7"/>
      <c r="BG53" s="28"/>
      <c r="BH53" s="7"/>
      <c r="BJ53" s="7"/>
    </row>
    <row r="54" spans="1:50" s="32" customFormat="1" ht="42" customHeight="1">
      <c r="A54" s="29"/>
      <c r="B54" s="169" t="s">
        <v>137</v>
      </c>
      <c r="C54" s="169"/>
      <c r="D54" s="54"/>
      <c r="E54" s="54"/>
      <c r="F54" s="54"/>
      <c r="G54" s="2"/>
      <c r="H54" s="2"/>
      <c r="I54" s="12"/>
      <c r="J54" s="2"/>
      <c r="K54" s="2"/>
      <c r="L54" s="12"/>
      <c r="M54" s="12"/>
      <c r="N54" s="12"/>
      <c r="O54" s="12"/>
      <c r="P54" s="30"/>
      <c r="Q54" s="30"/>
      <c r="R54" s="54"/>
      <c r="S54" s="30"/>
      <c r="T54" s="30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30"/>
      <c r="AT54" s="30"/>
      <c r="AU54" s="54"/>
      <c r="AV54" s="143" t="s">
        <v>136</v>
      </c>
      <c r="AW54" s="144"/>
      <c r="AX54" s="31"/>
    </row>
    <row r="55" spans="1:49" ht="73.5" customHeight="1" hidden="1">
      <c r="A55" s="165" t="s">
        <v>133</v>
      </c>
      <c r="B55" s="165"/>
      <c r="C55" s="33"/>
      <c r="D55" s="35"/>
      <c r="E55" s="35"/>
      <c r="F55" s="35"/>
      <c r="P55" s="34"/>
      <c r="Q55" s="34"/>
      <c r="R55" s="35"/>
      <c r="S55" s="34"/>
      <c r="T55" s="34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4"/>
      <c r="AT55" s="34"/>
      <c r="AU55" s="35"/>
      <c r="AW55" s="4" t="s">
        <v>134</v>
      </c>
    </row>
  </sheetData>
  <sheetProtection/>
  <mergeCells count="25">
    <mergeCell ref="A55:B55"/>
    <mergeCell ref="A46:AW47"/>
    <mergeCell ref="B54:C54"/>
    <mergeCell ref="AJ5:AL5"/>
    <mergeCell ref="AV5:AV6"/>
    <mergeCell ref="D5:F5"/>
    <mergeCell ref="V5:X5"/>
    <mergeCell ref="AB5:AD5"/>
    <mergeCell ref="AH5:AI5"/>
    <mergeCell ref="AO5:AP5"/>
    <mergeCell ref="D1:AW1"/>
    <mergeCell ref="B2:AW2"/>
    <mergeCell ref="B3:AW3"/>
    <mergeCell ref="B4:C4"/>
    <mergeCell ref="S5:U5"/>
    <mergeCell ref="Y5:AA5"/>
    <mergeCell ref="P5:R5"/>
    <mergeCell ref="J5:L5"/>
    <mergeCell ref="M5:O5"/>
    <mergeCell ref="G5:I5"/>
    <mergeCell ref="AW5:AW6"/>
    <mergeCell ref="AS5:AU5"/>
    <mergeCell ref="AQ5:AR5"/>
    <mergeCell ref="AE5:AG5"/>
    <mergeCell ref="AM5:AN5"/>
  </mergeCells>
  <printOptions horizontalCentered="1"/>
  <pageMargins left="0" right="0" top="0" bottom="0" header="0" footer="0"/>
  <pageSetup fitToHeight="1" fitToWidth="1" horizontalDpi="600" verticalDpi="600" orientation="landscape" paperSize="9" scale="41" r:id="rId1"/>
  <rowBreaks count="1" manualBreakCount="1">
    <brk id="30" min="1" max="55" man="1"/>
  </rowBreaks>
  <colBreaks count="1" manualBreakCount="1">
    <brk id="4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80" zoomScaleNormal="50" zoomScaleSheetLayoutView="80" zoomScalePageLayoutView="0" workbookViewId="0" topLeftCell="A1">
      <pane xSplit="6" ySplit="9" topLeftCell="AO25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S27" sqref="AS27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125" style="12" customWidth="1"/>
    <col min="15" max="15" width="11.00390625" style="12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customWidth="1"/>
    <col min="26" max="26" width="12.25390625" style="12" customWidth="1"/>
    <col min="27" max="27" width="11.00390625" style="12" customWidth="1"/>
    <col min="28" max="28" width="14.75390625" style="12" hidden="1" customWidth="1"/>
    <col min="29" max="29" width="12.125" style="12" hidden="1" customWidth="1"/>
    <col min="30" max="30" width="11.003906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875" style="12" hidden="1" customWidth="1"/>
    <col min="35" max="35" width="11.75390625" style="12" hidden="1" customWidth="1"/>
    <col min="36" max="36" width="15.75390625" style="12" customWidth="1"/>
    <col min="37" max="37" width="12.25390625" style="12" customWidth="1"/>
    <col min="38" max="38" width="11.00390625" style="12" customWidth="1"/>
    <col min="39" max="39" width="13.875" style="12" customWidth="1"/>
    <col min="40" max="40" width="13.00390625" style="12" customWidth="1"/>
    <col min="41" max="41" width="13.875" style="12" customWidth="1"/>
    <col min="42" max="42" width="11.75390625" style="12" customWidth="1"/>
    <col min="43" max="43" width="13.875" style="12" customWidth="1"/>
    <col min="44" max="44" width="11.75390625" style="12" customWidth="1"/>
    <col min="45" max="46" width="14.75390625" style="2" customWidth="1"/>
    <col min="47" max="47" width="11.75390625" style="12" customWidth="1"/>
    <col min="48" max="48" width="18.25390625" style="2" customWidth="1"/>
    <col min="49" max="49" width="21.125" style="2" customWidth="1"/>
    <col min="50" max="50" width="15.375" style="2" customWidth="1"/>
    <col min="51" max="51" width="15.625" style="2" customWidth="1"/>
    <col min="52" max="52" width="12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62" t="s">
        <v>85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56" customFormat="1" ht="42" customHeight="1">
      <c r="A2" s="55"/>
      <c r="B2" s="163" t="s">
        <v>127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56" customFormat="1" ht="42" customHeight="1">
      <c r="A3" s="55"/>
      <c r="B3" s="163" t="s">
        <v>161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8.75">
      <c r="B4" s="164"/>
      <c r="C4" s="164"/>
      <c r="D4" s="164"/>
      <c r="E4" s="164"/>
      <c r="F4" s="164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49" ht="58.5" customHeight="1">
      <c r="A5" s="44" t="s">
        <v>54</v>
      </c>
      <c r="B5" s="45"/>
      <c r="C5" s="46" t="s">
        <v>1</v>
      </c>
      <c r="D5" s="158" t="s">
        <v>139</v>
      </c>
      <c r="E5" s="159"/>
      <c r="F5" s="160"/>
      <c r="G5" s="153" t="s">
        <v>140</v>
      </c>
      <c r="H5" s="154"/>
      <c r="I5" s="155"/>
      <c r="J5" s="153" t="s">
        <v>142</v>
      </c>
      <c r="K5" s="154"/>
      <c r="L5" s="155"/>
      <c r="M5" s="153" t="s">
        <v>156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159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160</v>
      </c>
      <c r="AK5" s="154"/>
      <c r="AL5" s="155"/>
      <c r="AM5" s="153" t="s">
        <v>150</v>
      </c>
      <c r="AN5" s="155"/>
      <c r="AO5" s="153" t="s">
        <v>151</v>
      </c>
      <c r="AP5" s="155"/>
      <c r="AQ5" s="153" t="s">
        <v>152</v>
      </c>
      <c r="AR5" s="155"/>
      <c r="AS5" s="158" t="s">
        <v>153</v>
      </c>
      <c r="AT5" s="159"/>
      <c r="AU5" s="160"/>
      <c r="AV5" s="156" t="s">
        <v>162</v>
      </c>
      <c r="AW5" s="156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7"/>
      <c r="AW6" s="157"/>
    </row>
    <row r="7" spans="1:60" s="12" customFormat="1" ht="36" customHeight="1">
      <c r="A7" s="8"/>
      <c r="B7" s="9" t="s">
        <v>88</v>
      </c>
      <c r="C7" s="11">
        <f>SUM(C8:C42)</f>
        <v>-17548.8</v>
      </c>
      <c r="D7" s="11">
        <f>SUM(D8:D42)</f>
        <v>5634.900000000001</v>
      </c>
      <c r="E7" s="11">
        <f>SUM(E8:E42)</f>
        <v>10128.1</v>
      </c>
      <c r="F7" s="11">
        <f aca="true" t="shared" si="0" ref="F7:F20">E7/D7*100</f>
        <v>179.7387708743722</v>
      </c>
      <c r="G7" s="11">
        <f>SUM(G8:G42)</f>
        <v>5305.9</v>
      </c>
      <c r="H7" s="11">
        <f>SUM(H8:H42)</f>
        <v>9828.1</v>
      </c>
      <c r="I7" s="11">
        <f aca="true" t="shared" si="1" ref="I7:I24">H7/G7*100</f>
        <v>185.22965001225054</v>
      </c>
      <c r="J7" s="11">
        <f>SUM(J8:J42)</f>
        <v>5308.9000000000015</v>
      </c>
      <c r="K7" s="11">
        <f>SUM(K8:K42)</f>
        <v>10591.6</v>
      </c>
      <c r="L7" s="11">
        <f aca="true" t="shared" si="2" ref="L7:L25">K7/J7*100</f>
        <v>199.50648910320402</v>
      </c>
      <c r="M7" s="11">
        <f>SUM(M8:M42)</f>
        <v>16249.700000000003</v>
      </c>
      <c r="N7" s="11">
        <f>SUM(N8:N42)</f>
        <v>30547.800000000007</v>
      </c>
      <c r="O7" s="11">
        <f>N7/M7*100</f>
        <v>187.9899321218238</v>
      </c>
      <c r="P7" s="11">
        <f>SUM(P8:P42)</f>
        <v>9942.51799</v>
      </c>
      <c r="Q7" s="11">
        <f>SUM(Q8:Q42)</f>
        <v>9508.31434</v>
      </c>
      <c r="R7" s="11">
        <f aca="true" t="shared" si="3" ref="R7:R24">Q7/P7*100</f>
        <v>95.63286030322789</v>
      </c>
      <c r="S7" s="11">
        <f>SUM(S8:S42)</f>
        <v>59070.09172999999</v>
      </c>
      <c r="T7" s="11">
        <f>SUM(T8:T42)</f>
        <v>9953.813719999998</v>
      </c>
      <c r="U7" s="11">
        <f aca="true" t="shared" si="4" ref="U7:U24">T7/S7*100</f>
        <v>16.85085197683</v>
      </c>
      <c r="V7" s="11">
        <f>SUM(V8:V42)</f>
        <v>23863.196700000004</v>
      </c>
      <c r="W7" s="11">
        <f>SUM(W8:W42)</f>
        <v>13739.531999999997</v>
      </c>
      <c r="X7" s="11">
        <f aca="true" t="shared" si="5" ref="X7:X24">W7/V7*100</f>
        <v>57.57624249897749</v>
      </c>
      <c r="Y7" s="11">
        <f>SUM(Y8:Y42)</f>
        <v>92875.80642000001</v>
      </c>
      <c r="Z7" s="11">
        <f>SUM(Z8:Z42)</f>
        <v>33201.66006</v>
      </c>
      <c r="AA7" s="11">
        <f>Z7/Y7*100</f>
        <v>35.74844875085823</v>
      </c>
      <c r="AB7" s="11">
        <f>SUM(AB8:AB42)</f>
        <v>20646.54435</v>
      </c>
      <c r="AC7" s="11">
        <f>SUM(AC8:AC42)</f>
        <v>17949</v>
      </c>
      <c r="AD7" s="11">
        <f aca="true" t="shared" si="6" ref="AD7:AD34">AC7/AB7*100</f>
        <v>86.93464482834872</v>
      </c>
      <c r="AE7" s="11">
        <f>SUM(AE8:AE42)</f>
        <v>20770.098210000004</v>
      </c>
      <c r="AF7" s="11">
        <f>SUM(AF8:AF42)</f>
        <v>18559.304139999997</v>
      </c>
      <c r="AG7" s="11">
        <f>AF7/AE7*100</f>
        <v>89.35588051800548</v>
      </c>
      <c r="AH7" s="11">
        <f>SUM(AH8:AH42)</f>
        <v>20366.689150000002</v>
      </c>
      <c r="AI7" s="11">
        <f>SUM(AI8:AI42)</f>
        <v>19718.00882</v>
      </c>
      <c r="AJ7" s="11">
        <f>SUM(AJ8:AJ42)</f>
        <v>61783.33171000001</v>
      </c>
      <c r="AK7" s="11">
        <f>SUM(AK8:AK42)</f>
        <v>56226.312959999996</v>
      </c>
      <c r="AL7" s="11">
        <f>AK7/AJ7*100</f>
        <v>91.0056343738734</v>
      </c>
      <c r="AM7" s="11">
        <f aca="true" t="shared" si="7" ref="AM7:AT7">SUM(AM8:AM42)</f>
        <v>23716.899999999998</v>
      </c>
      <c r="AN7" s="11">
        <f t="shared" si="7"/>
        <v>20150.6</v>
      </c>
      <c r="AO7" s="11">
        <f t="shared" si="7"/>
        <v>12552.500000000002</v>
      </c>
      <c r="AP7" s="11">
        <f t="shared" si="7"/>
        <v>18874.4</v>
      </c>
      <c r="AQ7" s="11">
        <f>SUM(AQ8:AQ42)</f>
        <v>14450.600000000002</v>
      </c>
      <c r="AR7" s="11">
        <f>SUM(AR8:AR42)</f>
        <v>15820.8</v>
      </c>
      <c r="AS7" s="11">
        <f t="shared" si="7"/>
        <v>221628.83813000002</v>
      </c>
      <c r="AT7" s="11">
        <f t="shared" si="7"/>
        <v>174821.57302</v>
      </c>
      <c r="AU7" s="11">
        <f aca="true" t="shared" si="8" ref="AU7:AU44">AT7/AS7*100</f>
        <v>78.88033637457214</v>
      </c>
      <c r="AV7" s="11">
        <f>SUM(AV8:AV42)</f>
        <v>46807.26511000001</v>
      </c>
      <c r="AW7" s="11">
        <f>SUM(AW8:AW42)</f>
        <v>29258.46511000001</v>
      </c>
      <c r="AX7" s="23">
        <f>M7+Y7+AJ7+AM7</f>
        <v>194625.73813</v>
      </c>
      <c r="AY7" s="23">
        <f>N7+Z7+AK7+AN7</f>
        <v>140126.37302</v>
      </c>
      <c r="AZ7" s="78">
        <f>C7+AX7-AY7</f>
        <v>36950.565110000025</v>
      </c>
      <c r="BA7" s="23"/>
      <c r="BB7" s="23"/>
      <c r="BC7" s="23"/>
      <c r="BD7" s="23"/>
      <c r="BE7" s="21"/>
      <c r="BF7" s="21"/>
      <c r="BG7" s="21"/>
      <c r="BH7" s="21"/>
    </row>
    <row r="8" spans="1:60" ht="24.75" customHeight="1">
      <c r="A8" s="13" t="s">
        <v>12</v>
      </c>
      <c r="B8" s="41" t="s">
        <v>90</v>
      </c>
      <c r="C8" s="79">
        <v>-4315.5</v>
      </c>
      <c r="D8" s="38">
        <v>307.1</v>
      </c>
      <c r="E8" s="38">
        <v>794.8</v>
      </c>
      <c r="F8" s="11">
        <f t="shared" si="0"/>
        <v>258.80820579615755</v>
      </c>
      <c r="G8" s="38">
        <v>308.2</v>
      </c>
      <c r="H8" s="38">
        <v>770.7</v>
      </c>
      <c r="I8" s="11">
        <f t="shared" si="1"/>
        <v>250.06489292667104</v>
      </c>
      <c r="J8" s="38">
        <v>432.9</v>
      </c>
      <c r="K8" s="38">
        <v>828.2</v>
      </c>
      <c r="L8" s="11">
        <f t="shared" si="2"/>
        <v>191.31439131439134</v>
      </c>
      <c r="M8" s="80">
        <f>D8+G8+J8</f>
        <v>1048.1999999999998</v>
      </c>
      <c r="N8" s="80">
        <f>E8+H8+K8</f>
        <v>2393.7</v>
      </c>
      <c r="O8" s="11">
        <f aca="true" t="shared" si="9" ref="O8:O45">N8/M8*100</f>
        <v>228.3629078420149</v>
      </c>
      <c r="P8" s="38">
        <v>777.5</v>
      </c>
      <c r="Q8" s="38">
        <v>745</v>
      </c>
      <c r="R8" s="11">
        <f t="shared" si="3"/>
        <v>95.81993569131832</v>
      </c>
      <c r="S8" s="38">
        <v>4871.1</v>
      </c>
      <c r="T8" s="38">
        <v>943.4</v>
      </c>
      <c r="U8" s="11">
        <f t="shared" si="4"/>
        <v>19.367288702757076</v>
      </c>
      <c r="V8" s="38">
        <v>1822.4</v>
      </c>
      <c r="W8" s="38">
        <v>1058.7</v>
      </c>
      <c r="X8" s="11">
        <f t="shared" si="5"/>
        <v>58.09372256365233</v>
      </c>
      <c r="Y8" s="80">
        <f>P8+S8+V8</f>
        <v>7471</v>
      </c>
      <c r="Z8" s="80">
        <f>Q8+T8+W8</f>
        <v>2747.1000000000004</v>
      </c>
      <c r="AA8" s="11">
        <f aca="true" t="shared" si="10" ref="AA8:AA34">Z8/Y8*100</f>
        <v>36.77017802168385</v>
      </c>
      <c r="AB8" s="38">
        <v>1581.1</v>
      </c>
      <c r="AC8" s="38">
        <v>1375.3</v>
      </c>
      <c r="AD8" s="11">
        <f t="shared" si="6"/>
        <v>86.98374549364367</v>
      </c>
      <c r="AE8" s="38">
        <v>1532.2</v>
      </c>
      <c r="AF8" s="38">
        <v>1448.5</v>
      </c>
      <c r="AG8" s="11">
        <f>AF8/AE8*100</f>
        <v>94.53726667536874</v>
      </c>
      <c r="AH8" s="38">
        <v>1552.9</v>
      </c>
      <c r="AI8" s="38">
        <v>1389.1</v>
      </c>
      <c r="AJ8" s="80">
        <f>AB8+AE8+AH8</f>
        <v>4666.200000000001</v>
      </c>
      <c r="AK8" s="80">
        <f>AC8+AF8+AI8</f>
        <v>4212.9</v>
      </c>
      <c r="AL8" s="11">
        <f aca="true" t="shared" si="11" ref="AL8:AL28">AK8/AJ8*100</f>
        <v>90.28545711714027</v>
      </c>
      <c r="AM8" s="38">
        <v>1899.9</v>
      </c>
      <c r="AN8" s="38">
        <v>1478.8</v>
      </c>
      <c r="AO8" s="38">
        <v>754.1</v>
      </c>
      <c r="AP8" s="38">
        <v>1452.2</v>
      </c>
      <c r="AQ8" s="38">
        <v>928.5</v>
      </c>
      <c r="AR8" s="38">
        <v>1299.2</v>
      </c>
      <c r="AS8" s="65">
        <f>M8+Y8+AJ8+AM8+AO8+AQ8</f>
        <v>16767.9</v>
      </c>
      <c r="AT8" s="65">
        <f>N8+Z8+AK8+AN8+AP8+AR8</f>
        <v>13583.900000000001</v>
      </c>
      <c r="AU8" s="11">
        <f t="shared" si="8"/>
        <v>81.01133713822244</v>
      </c>
      <c r="AV8" s="80">
        <f>AS8-AT8</f>
        <v>3184</v>
      </c>
      <c r="AW8" s="81">
        <f>C8+AS8-AT8</f>
        <v>-1131.5</v>
      </c>
      <c r="AX8" s="23"/>
      <c r="AY8" s="23"/>
      <c r="AZ8" s="78"/>
      <c r="BA8" s="39"/>
      <c r="BB8" s="40"/>
      <c r="BC8" s="40"/>
      <c r="BD8" s="39"/>
      <c r="BE8" s="40"/>
      <c r="BF8" s="40"/>
      <c r="BG8" s="40"/>
      <c r="BH8" s="40"/>
    </row>
    <row r="9" spans="1:60" ht="24.75" customHeight="1">
      <c r="A9" s="13" t="s">
        <v>13</v>
      </c>
      <c r="B9" s="41" t="s">
        <v>91</v>
      </c>
      <c r="C9" s="79">
        <f>-1040.9+(-513.7)</f>
        <v>-1554.6000000000001</v>
      </c>
      <c r="D9" s="38">
        <v>-90.7</v>
      </c>
      <c r="E9" s="38">
        <v>97.3</v>
      </c>
      <c r="F9" s="11">
        <f t="shared" si="0"/>
        <v>-107.27673649393606</v>
      </c>
      <c r="G9" s="38">
        <v>-80.6</v>
      </c>
      <c r="H9" s="38">
        <v>93.5</v>
      </c>
      <c r="I9" s="11">
        <f t="shared" si="1"/>
        <v>-116.00496277915633</v>
      </c>
      <c r="J9" s="38">
        <v>-60.7</v>
      </c>
      <c r="K9" s="38">
        <v>98.2</v>
      </c>
      <c r="L9" s="11">
        <f t="shared" si="2"/>
        <v>-161.7792421746293</v>
      </c>
      <c r="M9" s="80">
        <f aca="true" t="shared" si="12" ref="M9:M44">D9+G9+J9</f>
        <v>-232</v>
      </c>
      <c r="N9" s="80">
        <f aca="true" t="shared" si="13" ref="N9:N44">E9+H9+K9</f>
        <v>289</v>
      </c>
      <c r="O9" s="11">
        <f t="shared" si="9"/>
        <v>-124.56896551724137</v>
      </c>
      <c r="P9" s="38">
        <v>-28.9</v>
      </c>
      <c r="Q9" s="38">
        <v>83.1</v>
      </c>
      <c r="R9" s="11">
        <f t="shared" si="3"/>
        <v>-287.5432525951557</v>
      </c>
      <c r="S9" s="38">
        <v>1566.4</v>
      </c>
      <c r="T9" s="38">
        <v>114.9</v>
      </c>
      <c r="U9" s="11">
        <f t="shared" si="4"/>
        <v>7.335291113381001</v>
      </c>
      <c r="V9" s="38">
        <v>194.3</v>
      </c>
      <c r="W9" s="38">
        <v>163</v>
      </c>
      <c r="X9" s="11">
        <f t="shared" si="5"/>
        <v>83.89089037570766</v>
      </c>
      <c r="Y9" s="80">
        <f aca="true" t="shared" si="14" ref="Y9:Y28">P9+S9+V9</f>
        <v>1731.8</v>
      </c>
      <c r="Z9" s="80">
        <f aca="true" t="shared" si="15" ref="Z9:Z28">Q9+T9+W9</f>
        <v>361</v>
      </c>
      <c r="AA9" s="11">
        <f t="shared" si="10"/>
        <v>20.84536320591292</v>
      </c>
      <c r="AB9" s="38">
        <v>174.2</v>
      </c>
      <c r="AC9" s="38">
        <v>258.4</v>
      </c>
      <c r="AD9" s="11">
        <f t="shared" si="6"/>
        <v>148.33524684270952</v>
      </c>
      <c r="AE9" s="38">
        <v>124.2</v>
      </c>
      <c r="AF9" s="38">
        <v>245.6</v>
      </c>
      <c r="AG9" s="11">
        <f>AF9/AE9*100</f>
        <v>197.74557165861512</v>
      </c>
      <c r="AH9" s="38">
        <v>178.5</v>
      </c>
      <c r="AI9" s="38">
        <v>214.8</v>
      </c>
      <c r="AJ9" s="80">
        <f aca="true" t="shared" si="16" ref="AJ9:AJ42">AB9+AE9+AH9</f>
        <v>476.9</v>
      </c>
      <c r="AK9" s="80">
        <f aca="true" t="shared" si="17" ref="AK9:AK42">AC9+AF9+AI9</f>
        <v>718.8</v>
      </c>
      <c r="AL9" s="11">
        <f t="shared" si="11"/>
        <v>150.72342210106942</v>
      </c>
      <c r="AM9" s="38">
        <v>352.2</v>
      </c>
      <c r="AN9" s="38">
        <v>249.4</v>
      </c>
      <c r="AO9" s="38">
        <v>68.2</v>
      </c>
      <c r="AP9" s="38">
        <v>228.9</v>
      </c>
      <c r="AQ9" s="38">
        <v>-98</v>
      </c>
      <c r="AR9" s="38">
        <v>172.8</v>
      </c>
      <c r="AS9" s="65">
        <f aca="true" t="shared" si="18" ref="AS9:AS42">M9+Y9+AJ9+AM9+AO9+AQ9</f>
        <v>2299.0999999999995</v>
      </c>
      <c r="AT9" s="65">
        <f aca="true" t="shared" si="19" ref="AT9:AT42">N9+Z9+AK9+AN9+AP9+AR9</f>
        <v>2019.9</v>
      </c>
      <c r="AU9" s="11">
        <f t="shared" si="8"/>
        <v>87.8561176112392</v>
      </c>
      <c r="AV9" s="80">
        <f aca="true" t="shared" si="20" ref="AV9:AV44">AS9-AT9</f>
        <v>279.19999999999936</v>
      </c>
      <c r="AW9" s="81">
        <f aca="true" t="shared" si="21" ref="AW9:AW44">C9+AS9-AT9</f>
        <v>-1275.4000000000008</v>
      </c>
      <c r="AX9" s="23"/>
      <c r="AY9" s="23"/>
      <c r="AZ9" s="78"/>
      <c r="BA9" s="39"/>
      <c r="BB9" s="40"/>
      <c r="BC9" s="40"/>
      <c r="BD9" s="39"/>
      <c r="BE9" s="40"/>
      <c r="BF9" s="40"/>
      <c r="BG9" s="40"/>
      <c r="BH9" s="40"/>
    </row>
    <row r="10" spans="1:60" ht="24.75" customHeight="1">
      <c r="A10" s="13" t="s">
        <v>14</v>
      </c>
      <c r="B10" s="15" t="s">
        <v>132</v>
      </c>
      <c r="C10" s="82">
        <v>0</v>
      </c>
      <c r="D10" s="38">
        <v>0</v>
      </c>
      <c r="E10" s="38">
        <v>0</v>
      </c>
      <c r="F10" s="133">
        <v>0</v>
      </c>
      <c r="G10" s="38">
        <v>4.8</v>
      </c>
      <c r="H10" s="38">
        <v>4.8</v>
      </c>
      <c r="I10" s="11">
        <f t="shared" si="1"/>
        <v>100</v>
      </c>
      <c r="J10" s="38">
        <v>0</v>
      </c>
      <c r="K10" s="38">
        <v>0</v>
      </c>
      <c r="L10" s="133">
        <v>0</v>
      </c>
      <c r="M10" s="80">
        <f t="shared" si="12"/>
        <v>4.8</v>
      </c>
      <c r="N10" s="80">
        <f t="shared" si="13"/>
        <v>4.8</v>
      </c>
      <c r="O10" s="11">
        <f t="shared" si="9"/>
        <v>100</v>
      </c>
      <c r="P10" s="38">
        <v>0</v>
      </c>
      <c r="Q10" s="38">
        <v>0</v>
      </c>
      <c r="R10" s="133">
        <v>0</v>
      </c>
      <c r="S10" s="38">
        <v>0</v>
      </c>
      <c r="T10" s="38">
        <v>0</v>
      </c>
      <c r="U10" s="101" t="e">
        <f t="shared" si="4"/>
        <v>#DIV/0!</v>
      </c>
      <c r="V10" s="38">
        <v>0</v>
      </c>
      <c r="W10" s="38">
        <v>0</v>
      </c>
      <c r="X10" s="101" t="e">
        <f t="shared" si="5"/>
        <v>#DIV/0!</v>
      </c>
      <c r="Y10" s="80">
        <f t="shared" si="14"/>
        <v>0</v>
      </c>
      <c r="Z10" s="80">
        <f t="shared" si="15"/>
        <v>0</v>
      </c>
      <c r="AA10" s="101" t="e">
        <f t="shared" si="10"/>
        <v>#DIV/0!</v>
      </c>
      <c r="AB10" s="38">
        <v>0</v>
      </c>
      <c r="AC10" s="38">
        <v>0</v>
      </c>
      <c r="AD10" s="101" t="e">
        <f t="shared" si="6"/>
        <v>#DIV/0!</v>
      </c>
      <c r="AE10" s="38">
        <v>0</v>
      </c>
      <c r="AF10" s="38">
        <v>0</v>
      </c>
      <c r="AG10" s="101" t="e">
        <f>AF10/AE10*100</f>
        <v>#DIV/0!</v>
      </c>
      <c r="AH10" s="38">
        <v>0</v>
      </c>
      <c r="AI10" s="38">
        <v>0</v>
      </c>
      <c r="AJ10" s="80">
        <f t="shared" si="16"/>
        <v>0</v>
      </c>
      <c r="AK10" s="80">
        <f t="shared" si="17"/>
        <v>0</v>
      </c>
      <c r="AL10" s="101" t="e">
        <f t="shared" si="11"/>
        <v>#DIV/0!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65">
        <f t="shared" si="18"/>
        <v>4.8</v>
      </c>
      <c r="AT10" s="65">
        <f t="shared" si="19"/>
        <v>4.8</v>
      </c>
      <c r="AU10" s="11">
        <f t="shared" si="8"/>
        <v>100</v>
      </c>
      <c r="AV10" s="80">
        <f t="shared" si="20"/>
        <v>0</v>
      </c>
      <c r="AW10" s="81">
        <f t="shared" si="21"/>
        <v>0</v>
      </c>
      <c r="AX10" s="23"/>
      <c r="AY10" s="23"/>
      <c r="AZ10" s="78"/>
      <c r="BA10" s="39"/>
      <c r="BB10" s="40"/>
      <c r="BC10" s="40"/>
      <c r="BD10" s="39"/>
      <c r="BE10" s="40"/>
      <c r="BF10" s="40"/>
      <c r="BG10" s="40"/>
      <c r="BH10" s="40"/>
    </row>
    <row r="11" spans="1:60" ht="24.75" customHeight="1">
      <c r="A11" s="13" t="s">
        <v>15</v>
      </c>
      <c r="B11" s="41" t="s">
        <v>92</v>
      </c>
      <c r="C11" s="79">
        <v>-1019</v>
      </c>
      <c r="D11" s="38">
        <v>309.4</v>
      </c>
      <c r="E11" s="38">
        <v>106.2</v>
      </c>
      <c r="F11" s="11">
        <f t="shared" si="0"/>
        <v>34.32449903038139</v>
      </c>
      <c r="G11" s="38">
        <v>295.3</v>
      </c>
      <c r="H11" s="38">
        <v>682.4</v>
      </c>
      <c r="I11" s="11">
        <f t="shared" si="1"/>
        <v>231.0870301388418</v>
      </c>
      <c r="J11" s="38">
        <v>350.3</v>
      </c>
      <c r="K11" s="38">
        <v>382.7</v>
      </c>
      <c r="L11" s="11">
        <f t="shared" si="2"/>
        <v>109.24921495860691</v>
      </c>
      <c r="M11" s="80">
        <f t="shared" si="12"/>
        <v>955</v>
      </c>
      <c r="N11" s="80">
        <f t="shared" si="13"/>
        <v>1171.3</v>
      </c>
      <c r="O11" s="11">
        <f t="shared" si="9"/>
        <v>122.64921465968585</v>
      </c>
      <c r="P11" s="38">
        <v>372.3</v>
      </c>
      <c r="Q11" s="38">
        <v>346.5</v>
      </c>
      <c r="R11" s="11">
        <f t="shared" si="3"/>
        <v>93.07010475423046</v>
      </c>
      <c r="S11" s="38">
        <v>305.8</v>
      </c>
      <c r="T11" s="38">
        <v>-345.9</v>
      </c>
      <c r="U11" s="11">
        <f t="shared" si="4"/>
        <v>-113.1131458469588</v>
      </c>
      <c r="V11" s="38">
        <v>290</v>
      </c>
      <c r="W11" s="38">
        <v>190.2</v>
      </c>
      <c r="X11" s="11">
        <f t="shared" si="5"/>
        <v>65.58620689655173</v>
      </c>
      <c r="Y11" s="80">
        <f t="shared" si="14"/>
        <v>968.1</v>
      </c>
      <c r="Z11" s="80">
        <f t="shared" si="15"/>
        <v>190.8</v>
      </c>
      <c r="AA11" s="11">
        <f t="shared" si="10"/>
        <v>19.708707778122093</v>
      </c>
      <c r="AB11" s="38">
        <v>305.7</v>
      </c>
      <c r="AC11" s="38">
        <v>234</v>
      </c>
      <c r="AD11" s="11">
        <f t="shared" si="6"/>
        <v>76.54563297350344</v>
      </c>
      <c r="AE11" s="38">
        <v>307.3</v>
      </c>
      <c r="AF11" s="38">
        <v>258.8</v>
      </c>
      <c r="AG11" s="11">
        <f>AF11/AE11*100</f>
        <v>84.21737715587373</v>
      </c>
      <c r="AH11" s="38">
        <v>300</v>
      </c>
      <c r="AI11" s="38">
        <v>262</v>
      </c>
      <c r="AJ11" s="80">
        <f t="shared" si="16"/>
        <v>913</v>
      </c>
      <c r="AK11" s="80">
        <f t="shared" si="17"/>
        <v>754.8</v>
      </c>
      <c r="AL11" s="11">
        <f t="shared" si="11"/>
        <v>82.67250821467688</v>
      </c>
      <c r="AM11" s="38">
        <v>344</v>
      </c>
      <c r="AN11" s="38">
        <v>249</v>
      </c>
      <c r="AO11" s="38">
        <v>373.9</v>
      </c>
      <c r="AP11" s="38">
        <v>503.3</v>
      </c>
      <c r="AQ11" s="38">
        <v>342</v>
      </c>
      <c r="AR11" s="38">
        <v>420.7</v>
      </c>
      <c r="AS11" s="65">
        <f t="shared" si="18"/>
        <v>3896</v>
      </c>
      <c r="AT11" s="65">
        <f t="shared" si="19"/>
        <v>3289.8999999999996</v>
      </c>
      <c r="AU11" s="11">
        <f t="shared" si="8"/>
        <v>84.44301848049281</v>
      </c>
      <c r="AV11" s="80">
        <f t="shared" si="20"/>
        <v>606.1000000000004</v>
      </c>
      <c r="AW11" s="81">
        <f t="shared" si="21"/>
        <v>-412.89999999999964</v>
      </c>
      <c r="AX11" s="23"/>
      <c r="AY11" s="23"/>
      <c r="AZ11" s="78"/>
      <c r="BA11" s="39"/>
      <c r="BB11" s="40"/>
      <c r="BC11" s="40"/>
      <c r="BD11" s="39"/>
      <c r="BE11" s="40"/>
      <c r="BF11" s="40"/>
      <c r="BG11" s="40"/>
      <c r="BH11" s="40"/>
    </row>
    <row r="12" spans="1:60" ht="24.75" customHeight="1">
      <c r="A12" s="13" t="s">
        <v>16</v>
      </c>
      <c r="B12" s="41" t="s">
        <v>93</v>
      </c>
      <c r="C12" s="79">
        <v>-655.5</v>
      </c>
      <c r="D12" s="38">
        <v>-8</v>
      </c>
      <c r="E12" s="38">
        <v>70.8</v>
      </c>
      <c r="F12" s="83">
        <f t="shared" si="0"/>
        <v>-885</v>
      </c>
      <c r="G12" s="38">
        <v>3.9</v>
      </c>
      <c r="H12" s="38">
        <v>60.6</v>
      </c>
      <c r="I12" s="68">
        <f t="shared" si="1"/>
        <v>1553.8461538461538</v>
      </c>
      <c r="J12" s="38">
        <v>0.7</v>
      </c>
      <c r="K12" s="38">
        <v>79.1</v>
      </c>
      <c r="L12" s="11">
        <f t="shared" si="2"/>
        <v>11300</v>
      </c>
      <c r="M12" s="80">
        <f t="shared" si="12"/>
        <v>-3.3999999999999995</v>
      </c>
      <c r="N12" s="80">
        <f t="shared" si="13"/>
        <v>210.5</v>
      </c>
      <c r="O12" s="11">
        <f t="shared" si="9"/>
        <v>-6191.176470588236</v>
      </c>
      <c r="P12" s="38">
        <v>89.3</v>
      </c>
      <c r="Q12" s="38">
        <v>66.1</v>
      </c>
      <c r="R12" s="129">
        <f t="shared" si="3"/>
        <v>74.02015677491602</v>
      </c>
      <c r="S12" s="38">
        <v>926</v>
      </c>
      <c r="T12" s="38">
        <v>92.5</v>
      </c>
      <c r="U12" s="129">
        <f t="shared" si="4"/>
        <v>9.989200863930886</v>
      </c>
      <c r="V12" s="38">
        <v>213</v>
      </c>
      <c r="W12" s="38">
        <v>134.3</v>
      </c>
      <c r="X12" s="129">
        <f t="shared" si="5"/>
        <v>63.05164319248827</v>
      </c>
      <c r="Y12" s="80">
        <f>P12+S12+V12</f>
        <v>1228.3</v>
      </c>
      <c r="Z12" s="80">
        <f t="shared" si="15"/>
        <v>292.9</v>
      </c>
      <c r="AA12" s="11">
        <f t="shared" si="10"/>
        <v>23.84596596922576</v>
      </c>
      <c r="AB12" s="38">
        <v>202.9</v>
      </c>
      <c r="AC12" s="38">
        <v>177</v>
      </c>
      <c r="AD12" s="11">
        <f t="shared" si="6"/>
        <v>87.23509117792015</v>
      </c>
      <c r="AE12" s="38">
        <v>141.9</v>
      </c>
      <c r="AF12" s="38">
        <v>169.4</v>
      </c>
      <c r="AG12" s="129">
        <f aca="true" t="shared" si="22" ref="AG12:AG24">AF12/AE12*100</f>
        <v>119.3798449612403</v>
      </c>
      <c r="AH12" s="38">
        <v>190.8</v>
      </c>
      <c r="AI12" s="38">
        <v>162.9</v>
      </c>
      <c r="AJ12" s="80">
        <f t="shared" si="16"/>
        <v>535.6</v>
      </c>
      <c r="AK12" s="80">
        <f t="shared" si="17"/>
        <v>509.29999999999995</v>
      </c>
      <c r="AL12" s="11">
        <f t="shared" si="11"/>
        <v>95.08961911874532</v>
      </c>
      <c r="AM12" s="38">
        <v>306.6</v>
      </c>
      <c r="AN12" s="38">
        <v>180</v>
      </c>
      <c r="AO12" s="38">
        <v>-46.5</v>
      </c>
      <c r="AP12" s="38">
        <v>186.5</v>
      </c>
      <c r="AQ12" s="38">
        <v>31.1</v>
      </c>
      <c r="AR12" s="38">
        <v>121</v>
      </c>
      <c r="AS12" s="65">
        <f t="shared" si="18"/>
        <v>2051.7</v>
      </c>
      <c r="AT12" s="65">
        <f t="shared" si="19"/>
        <v>1500.1999999999998</v>
      </c>
      <c r="AU12" s="11">
        <f t="shared" si="8"/>
        <v>73.1198518301896</v>
      </c>
      <c r="AV12" s="80">
        <f t="shared" si="20"/>
        <v>551.5</v>
      </c>
      <c r="AW12" s="81">
        <f t="shared" si="21"/>
        <v>-104</v>
      </c>
      <c r="AX12" s="23"/>
      <c r="AY12" s="23"/>
      <c r="AZ12" s="78"/>
      <c r="BA12" s="39"/>
      <c r="BB12" s="40"/>
      <c r="BC12" s="40"/>
      <c r="BD12" s="39"/>
      <c r="BE12" s="40"/>
      <c r="BF12" s="40"/>
      <c r="BG12" s="40"/>
      <c r="BH12" s="40"/>
    </row>
    <row r="13" spans="1:60" ht="24.75" customHeight="1">
      <c r="A13" s="13" t="s">
        <v>17</v>
      </c>
      <c r="B13" s="41" t="s">
        <v>94</v>
      </c>
      <c r="C13" s="79">
        <v>-1649.7</v>
      </c>
      <c r="D13" s="38">
        <v>26.2</v>
      </c>
      <c r="E13" s="38">
        <v>171.8</v>
      </c>
      <c r="F13" s="11">
        <f t="shared" si="0"/>
        <v>655.7251908396947</v>
      </c>
      <c r="G13" s="38">
        <v>9.5</v>
      </c>
      <c r="H13" s="38">
        <v>131.7</v>
      </c>
      <c r="I13" s="11">
        <f t="shared" si="1"/>
        <v>1386.315789473684</v>
      </c>
      <c r="J13" s="38">
        <v>18.5</v>
      </c>
      <c r="K13" s="38">
        <v>155.5</v>
      </c>
      <c r="L13" s="11">
        <f t="shared" si="2"/>
        <v>840.5405405405405</v>
      </c>
      <c r="M13" s="80">
        <f t="shared" si="12"/>
        <v>54.2</v>
      </c>
      <c r="N13" s="80">
        <f t="shared" si="13"/>
        <v>459</v>
      </c>
      <c r="O13" s="11">
        <f t="shared" si="9"/>
        <v>846.8634686346863</v>
      </c>
      <c r="P13" s="38">
        <v>105.7</v>
      </c>
      <c r="Q13" s="38">
        <v>155.6</v>
      </c>
      <c r="R13" s="11">
        <f t="shared" si="3"/>
        <v>147.20908230842005</v>
      </c>
      <c r="S13" s="38">
        <v>1330.3</v>
      </c>
      <c r="T13" s="38">
        <v>143.6</v>
      </c>
      <c r="U13" s="11">
        <f t="shared" si="4"/>
        <v>10.794557618582274</v>
      </c>
      <c r="V13" s="38">
        <v>340.8</v>
      </c>
      <c r="W13" s="38">
        <v>211.5</v>
      </c>
      <c r="X13" s="11">
        <f t="shared" si="5"/>
        <v>62.059859154929576</v>
      </c>
      <c r="Y13" s="80">
        <f t="shared" si="14"/>
        <v>1776.8</v>
      </c>
      <c r="Z13" s="80">
        <f t="shared" si="15"/>
        <v>510.7</v>
      </c>
      <c r="AA13" s="11">
        <f t="shared" si="10"/>
        <v>28.74268347591175</v>
      </c>
      <c r="AB13" s="38">
        <v>306.6</v>
      </c>
      <c r="AC13" s="38">
        <v>219.4</v>
      </c>
      <c r="AD13" s="11">
        <f t="shared" si="6"/>
        <v>71.55903457273321</v>
      </c>
      <c r="AE13" s="38">
        <v>345.5</v>
      </c>
      <c r="AF13" s="38">
        <v>240.1</v>
      </c>
      <c r="AG13" s="11">
        <f t="shared" si="22"/>
        <v>69.49348769898698</v>
      </c>
      <c r="AH13" s="38">
        <v>347.8</v>
      </c>
      <c r="AI13" s="38">
        <v>282.3</v>
      </c>
      <c r="AJ13" s="80">
        <f t="shared" si="16"/>
        <v>999.9000000000001</v>
      </c>
      <c r="AK13" s="80">
        <f t="shared" si="17"/>
        <v>741.8</v>
      </c>
      <c r="AL13" s="11">
        <f t="shared" si="11"/>
        <v>74.18741874187418</v>
      </c>
      <c r="AM13" s="38">
        <v>428</v>
      </c>
      <c r="AN13" s="38">
        <v>283.4</v>
      </c>
      <c r="AO13" s="38">
        <v>94.9</v>
      </c>
      <c r="AP13" s="38">
        <v>330.3</v>
      </c>
      <c r="AQ13" s="38">
        <v>126.8</v>
      </c>
      <c r="AR13" s="38">
        <v>253.4</v>
      </c>
      <c r="AS13" s="65">
        <f t="shared" si="18"/>
        <v>3480.6000000000004</v>
      </c>
      <c r="AT13" s="65">
        <f t="shared" si="19"/>
        <v>2578.6000000000004</v>
      </c>
      <c r="AU13" s="11">
        <f t="shared" si="8"/>
        <v>74.08492788599666</v>
      </c>
      <c r="AV13" s="80">
        <f t="shared" si="20"/>
        <v>902</v>
      </c>
      <c r="AW13" s="81">
        <f t="shared" si="21"/>
        <v>-747.7</v>
      </c>
      <c r="AX13" s="23"/>
      <c r="AY13" s="23"/>
      <c r="AZ13" s="78"/>
      <c r="BA13" s="39"/>
      <c r="BB13" s="40"/>
      <c r="BC13" s="40"/>
      <c r="BD13" s="39"/>
      <c r="BE13" s="40"/>
      <c r="BF13" s="40"/>
      <c r="BG13" s="40"/>
      <c r="BH13" s="40"/>
    </row>
    <row r="14" spans="1:60" ht="24.75" customHeight="1">
      <c r="A14" s="13" t="s">
        <v>18</v>
      </c>
      <c r="B14" s="41" t="s">
        <v>95</v>
      </c>
      <c r="C14" s="79">
        <v>-477.2</v>
      </c>
      <c r="D14" s="38">
        <v>0.4</v>
      </c>
      <c r="E14" s="38">
        <v>30.5</v>
      </c>
      <c r="F14" s="11">
        <f t="shared" si="0"/>
        <v>7625</v>
      </c>
      <c r="G14" s="38">
        <v>13</v>
      </c>
      <c r="H14" s="38">
        <v>38</v>
      </c>
      <c r="I14" s="11">
        <f t="shared" si="1"/>
        <v>292.30769230769226</v>
      </c>
      <c r="J14" s="38">
        <v>8.9</v>
      </c>
      <c r="K14" s="38">
        <v>37.8</v>
      </c>
      <c r="L14" s="11">
        <f t="shared" si="2"/>
        <v>424.7191011235954</v>
      </c>
      <c r="M14" s="80">
        <f t="shared" si="12"/>
        <v>22.3</v>
      </c>
      <c r="N14" s="80">
        <f t="shared" si="13"/>
        <v>106.3</v>
      </c>
      <c r="O14" s="11">
        <f t="shared" si="9"/>
        <v>476.6816143497757</v>
      </c>
      <c r="P14" s="38">
        <v>12.5</v>
      </c>
      <c r="Q14" s="38">
        <v>37.1</v>
      </c>
      <c r="R14" s="11">
        <f t="shared" si="3"/>
        <v>296.8</v>
      </c>
      <c r="S14" s="38">
        <v>96</v>
      </c>
      <c r="T14" s="38">
        <v>34.6</v>
      </c>
      <c r="U14" s="11">
        <f t="shared" si="4"/>
        <v>36.041666666666664</v>
      </c>
      <c r="V14" s="38">
        <v>103.6</v>
      </c>
      <c r="W14" s="38">
        <v>46.5</v>
      </c>
      <c r="X14" s="11">
        <f t="shared" si="5"/>
        <v>44.884169884169886</v>
      </c>
      <c r="Y14" s="80">
        <f t="shared" si="14"/>
        <v>212.1</v>
      </c>
      <c r="Z14" s="80">
        <f t="shared" si="15"/>
        <v>118.2</v>
      </c>
      <c r="AA14" s="11">
        <f t="shared" si="10"/>
        <v>55.72842998585573</v>
      </c>
      <c r="AB14" s="38">
        <v>124.8</v>
      </c>
      <c r="AC14" s="38">
        <v>10.2</v>
      </c>
      <c r="AD14" s="11">
        <f t="shared" si="6"/>
        <v>8.173076923076923</v>
      </c>
      <c r="AE14" s="38">
        <v>121.3</v>
      </c>
      <c r="AF14" s="38">
        <v>69.4</v>
      </c>
      <c r="AG14" s="11">
        <f t="shared" si="22"/>
        <v>57.21352019785656</v>
      </c>
      <c r="AH14" s="38">
        <v>81.1</v>
      </c>
      <c r="AI14" s="38">
        <v>71</v>
      </c>
      <c r="AJ14" s="80">
        <f t="shared" si="16"/>
        <v>327.2</v>
      </c>
      <c r="AK14" s="80">
        <f t="shared" si="17"/>
        <v>150.60000000000002</v>
      </c>
      <c r="AL14" s="11">
        <f t="shared" si="11"/>
        <v>46.02689486552568</v>
      </c>
      <c r="AM14" s="38">
        <v>125.1</v>
      </c>
      <c r="AN14" s="38">
        <v>71.5</v>
      </c>
      <c r="AO14" s="38">
        <v>1.6</v>
      </c>
      <c r="AP14" s="38">
        <v>61.5</v>
      </c>
      <c r="AQ14" s="38">
        <v>12.8</v>
      </c>
      <c r="AR14" s="38">
        <v>43.4</v>
      </c>
      <c r="AS14" s="65">
        <f t="shared" si="18"/>
        <v>701.1</v>
      </c>
      <c r="AT14" s="65">
        <f t="shared" si="19"/>
        <v>551.5</v>
      </c>
      <c r="AU14" s="11">
        <f t="shared" si="8"/>
        <v>78.6621024104978</v>
      </c>
      <c r="AV14" s="80">
        <f t="shared" si="20"/>
        <v>149.60000000000002</v>
      </c>
      <c r="AW14" s="81">
        <f t="shared" si="21"/>
        <v>-327.59999999999997</v>
      </c>
      <c r="AX14" s="23"/>
      <c r="AY14" s="23"/>
      <c r="AZ14" s="78"/>
      <c r="BA14" s="39"/>
      <c r="BB14" s="40"/>
      <c r="BC14" s="40"/>
      <c r="BD14" s="39"/>
      <c r="BE14" s="40"/>
      <c r="BF14" s="40"/>
      <c r="BG14" s="40"/>
      <c r="BH14" s="40"/>
    </row>
    <row r="15" spans="1:60" ht="24.75" customHeight="1">
      <c r="A15" s="13" t="s">
        <v>19</v>
      </c>
      <c r="B15" s="41" t="s">
        <v>96</v>
      </c>
      <c r="C15" s="79">
        <v>-875.8</v>
      </c>
      <c r="D15" s="38">
        <v>491.9</v>
      </c>
      <c r="E15" s="38">
        <v>428.3</v>
      </c>
      <c r="F15" s="11">
        <f t="shared" si="0"/>
        <v>87.07054279325067</v>
      </c>
      <c r="G15" s="38">
        <v>439.9</v>
      </c>
      <c r="H15" s="38">
        <v>441.7</v>
      </c>
      <c r="I15" s="11">
        <f t="shared" si="1"/>
        <v>100.40918390543305</v>
      </c>
      <c r="J15" s="38">
        <v>454.6</v>
      </c>
      <c r="K15" s="38">
        <v>889.5</v>
      </c>
      <c r="L15" s="11">
        <f t="shared" si="2"/>
        <v>195.6665200175979</v>
      </c>
      <c r="M15" s="80">
        <f t="shared" si="12"/>
        <v>1386.4</v>
      </c>
      <c r="N15" s="80">
        <f t="shared" si="13"/>
        <v>1759.5</v>
      </c>
      <c r="O15" s="11">
        <f t="shared" si="9"/>
        <v>126.91142527409116</v>
      </c>
      <c r="P15" s="38">
        <v>544.2</v>
      </c>
      <c r="Q15" s="38">
        <v>559.3</v>
      </c>
      <c r="R15" s="11">
        <f t="shared" si="3"/>
        <v>102.77471517824328</v>
      </c>
      <c r="S15" s="38">
        <v>1929.3</v>
      </c>
      <c r="T15" s="38">
        <v>598.1</v>
      </c>
      <c r="U15" s="11">
        <f t="shared" si="4"/>
        <v>31.00088114860312</v>
      </c>
      <c r="V15" s="38">
        <v>965.7</v>
      </c>
      <c r="W15" s="38">
        <v>676.2</v>
      </c>
      <c r="X15" s="11">
        <f t="shared" si="5"/>
        <v>70.02174588381484</v>
      </c>
      <c r="Y15" s="80">
        <f t="shared" si="14"/>
        <v>3439.2</v>
      </c>
      <c r="Z15" s="80">
        <f t="shared" si="15"/>
        <v>1833.6000000000001</v>
      </c>
      <c r="AA15" s="11">
        <f t="shared" si="10"/>
        <v>53.31472435450105</v>
      </c>
      <c r="AB15" s="38">
        <v>966</v>
      </c>
      <c r="AC15" s="38">
        <v>882</v>
      </c>
      <c r="AD15" s="11">
        <f t="shared" si="6"/>
        <v>91.30434782608695</v>
      </c>
      <c r="AE15" s="38">
        <v>976.8</v>
      </c>
      <c r="AF15" s="38">
        <v>863.4</v>
      </c>
      <c r="AG15" s="11">
        <f t="shared" si="22"/>
        <v>88.39066339066339</v>
      </c>
      <c r="AH15" s="38">
        <v>1032.8</v>
      </c>
      <c r="AI15" s="38">
        <v>969</v>
      </c>
      <c r="AJ15" s="80">
        <f t="shared" si="16"/>
        <v>2975.6</v>
      </c>
      <c r="AK15" s="80">
        <f t="shared" si="17"/>
        <v>2714.4</v>
      </c>
      <c r="AL15" s="11">
        <f t="shared" si="11"/>
        <v>91.22193843258502</v>
      </c>
      <c r="AM15" s="38">
        <v>999.5</v>
      </c>
      <c r="AN15" s="38">
        <v>1024.1</v>
      </c>
      <c r="AO15" s="38">
        <v>829.8</v>
      </c>
      <c r="AP15" s="38">
        <v>951.3</v>
      </c>
      <c r="AQ15" s="38">
        <v>819.8</v>
      </c>
      <c r="AR15" s="38">
        <v>939.8</v>
      </c>
      <c r="AS15" s="65">
        <f t="shared" si="18"/>
        <v>10450.3</v>
      </c>
      <c r="AT15" s="65">
        <f t="shared" si="19"/>
        <v>9222.699999999999</v>
      </c>
      <c r="AU15" s="11">
        <f t="shared" si="8"/>
        <v>88.25296881429242</v>
      </c>
      <c r="AV15" s="80">
        <f t="shared" si="20"/>
        <v>1227.6000000000004</v>
      </c>
      <c r="AW15" s="81">
        <f t="shared" si="21"/>
        <v>351.8000000000011</v>
      </c>
      <c r="AX15" s="23"/>
      <c r="AY15" s="23"/>
      <c r="AZ15" s="78"/>
      <c r="BA15" s="39"/>
      <c r="BB15" s="40"/>
      <c r="BC15" s="40"/>
      <c r="BD15" s="39"/>
      <c r="BE15" s="40"/>
      <c r="BF15" s="40"/>
      <c r="BG15" s="40"/>
      <c r="BH15" s="40"/>
    </row>
    <row r="16" spans="1:60" ht="24.75" customHeight="1">
      <c r="A16" s="13" t="s">
        <v>20</v>
      </c>
      <c r="B16" s="41" t="s">
        <v>97</v>
      </c>
      <c r="C16" s="82">
        <v>-62.4</v>
      </c>
      <c r="D16" s="38">
        <v>4.9</v>
      </c>
      <c r="E16" s="38">
        <v>11.6</v>
      </c>
      <c r="F16" s="11">
        <f t="shared" si="0"/>
        <v>236.73469387755102</v>
      </c>
      <c r="G16" s="38">
        <v>2.7</v>
      </c>
      <c r="H16" s="38">
        <v>12.5</v>
      </c>
      <c r="I16" s="11">
        <f t="shared" si="1"/>
        <v>462.962962962963</v>
      </c>
      <c r="J16" s="38">
        <v>3.2</v>
      </c>
      <c r="K16" s="38">
        <v>11.7</v>
      </c>
      <c r="L16" s="11">
        <f t="shared" si="2"/>
        <v>365.62499999999994</v>
      </c>
      <c r="M16" s="80">
        <f t="shared" si="12"/>
        <v>10.8</v>
      </c>
      <c r="N16" s="80">
        <f t="shared" si="13"/>
        <v>35.8</v>
      </c>
      <c r="O16" s="11">
        <f t="shared" si="9"/>
        <v>331.48148148148147</v>
      </c>
      <c r="P16" s="38">
        <v>43.6</v>
      </c>
      <c r="Q16" s="38">
        <v>10.1</v>
      </c>
      <c r="R16" s="11">
        <f t="shared" si="3"/>
        <v>23.165137614678898</v>
      </c>
      <c r="S16" s="38">
        <v>73.5</v>
      </c>
      <c r="T16" s="38">
        <v>13.2</v>
      </c>
      <c r="U16" s="11">
        <f t="shared" si="4"/>
        <v>17.959183673469386</v>
      </c>
      <c r="V16" s="38">
        <v>39.5</v>
      </c>
      <c r="W16" s="38">
        <v>25.8</v>
      </c>
      <c r="X16" s="11">
        <f t="shared" si="5"/>
        <v>65.31645569620254</v>
      </c>
      <c r="Y16" s="80">
        <f t="shared" si="14"/>
        <v>156.6</v>
      </c>
      <c r="Z16" s="80">
        <f t="shared" si="15"/>
        <v>49.099999999999994</v>
      </c>
      <c r="AA16" s="11">
        <f t="shared" si="10"/>
        <v>31.35376756066411</v>
      </c>
      <c r="AB16" s="38">
        <v>36.1</v>
      </c>
      <c r="AC16" s="38">
        <v>30.2</v>
      </c>
      <c r="AD16" s="11">
        <f t="shared" si="6"/>
        <v>83.65650969529085</v>
      </c>
      <c r="AE16" s="38">
        <v>34.4</v>
      </c>
      <c r="AF16" s="38">
        <v>20.7</v>
      </c>
      <c r="AG16" s="11">
        <f t="shared" si="22"/>
        <v>60.17441860465116</v>
      </c>
      <c r="AH16" s="38">
        <v>31.7</v>
      </c>
      <c r="AI16" s="38">
        <v>26.3</v>
      </c>
      <c r="AJ16" s="80">
        <f t="shared" si="16"/>
        <v>102.2</v>
      </c>
      <c r="AK16" s="80">
        <f t="shared" si="17"/>
        <v>77.2</v>
      </c>
      <c r="AL16" s="11">
        <f t="shared" si="11"/>
        <v>75.53816046966732</v>
      </c>
      <c r="AM16" s="38">
        <v>30.1</v>
      </c>
      <c r="AN16" s="38">
        <v>27</v>
      </c>
      <c r="AO16" s="38">
        <v>21</v>
      </c>
      <c r="AP16" s="38">
        <v>25.8</v>
      </c>
      <c r="AQ16" s="38">
        <v>13.8</v>
      </c>
      <c r="AR16" s="38">
        <v>23.6</v>
      </c>
      <c r="AS16" s="65">
        <f t="shared" si="18"/>
        <v>334.50000000000006</v>
      </c>
      <c r="AT16" s="65">
        <f t="shared" si="19"/>
        <v>238.5</v>
      </c>
      <c r="AU16" s="11">
        <f t="shared" si="8"/>
        <v>71.30044843049326</v>
      </c>
      <c r="AV16" s="80">
        <f t="shared" si="20"/>
        <v>96.00000000000006</v>
      </c>
      <c r="AW16" s="81">
        <f t="shared" si="21"/>
        <v>33.60000000000008</v>
      </c>
      <c r="AX16" s="23"/>
      <c r="AY16" s="23"/>
      <c r="AZ16" s="78"/>
      <c r="BA16" s="39"/>
      <c r="BB16" s="40"/>
      <c r="BC16" s="40"/>
      <c r="BD16" s="39"/>
      <c r="BE16" s="40"/>
      <c r="BF16" s="40"/>
      <c r="BG16" s="40"/>
      <c r="BH16" s="40"/>
    </row>
    <row r="17" spans="1:60" ht="24.75" customHeight="1">
      <c r="A17" s="13" t="s">
        <v>21</v>
      </c>
      <c r="B17" s="15" t="s">
        <v>98</v>
      </c>
      <c r="C17" s="82">
        <f>888.2+435.2+2701.9</f>
        <v>4025.3</v>
      </c>
      <c r="D17" s="38">
        <f>226.3+481.3</f>
        <v>707.6</v>
      </c>
      <c r="E17" s="38">
        <f>189.8+443.9</f>
        <v>633.7</v>
      </c>
      <c r="F17" s="11">
        <f t="shared" si="0"/>
        <v>89.55624646693047</v>
      </c>
      <c r="G17" s="38">
        <f>308.7+471.7</f>
        <v>780.4</v>
      </c>
      <c r="H17" s="38">
        <f>215.6+411.2</f>
        <v>626.8</v>
      </c>
      <c r="I17" s="11">
        <f t="shared" si="1"/>
        <v>80.31778575089697</v>
      </c>
      <c r="J17" s="38">
        <f>293.4+399.7</f>
        <v>693.0999999999999</v>
      </c>
      <c r="K17" s="38">
        <f>254.9+407.3</f>
        <v>662.2</v>
      </c>
      <c r="L17" s="11">
        <f t="shared" si="2"/>
        <v>95.54176886452174</v>
      </c>
      <c r="M17" s="80">
        <f t="shared" si="12"/>
        <v>2181.1</v>
      </c>
      <c r="N17" s="80">
        <f t="shared" si="13"/>
        <v>1922.7</v>
      </c>
      <c r="O17" s="11">
        <f t="shared" si="9"/>
        <v>88.15276695245518</v>
      </c>
      <c r="P17" s="38">
        <f>190.6+402.9</f>
        <v>593.5</v>
      </c>
      <c r="Q17" s="38">
        <f>227.1+400.1</f>
        <v>627.2</v>
      </c>
      <c r="R17" s="11">
        <f t="shared" si="3"/>
        <v>105.6781802864364</v>
      </c>
      <c r="S17" s="38">
        <f>298.1+499.3</f>
        <v>797.4000000000001</v>
      </c>
      <c r="T17" s="38">
        <f>249.8+402.7</f>
        <v>652.5</v>
      </c>
      <c r="U17" s="11">
        <f t="shared" si="4"/>
        <v>81.82844243792324</v>
      </c>
      <c r="V17" s="38">
        <f>291.1+487.9</f>
        <v>779</v>
      </c>
      <c r="W17" s="38">
        <f>218.6+421.9</f>
        <v>640.5</v>
      </c>
      <c r="X17" s="11">
        <f t="shared" si="5"/>
        <v>82.22079589216945</v>
      </c>
      <c r="Y17" s="80">
        <f t="shared" si="14"/>
        <v>2169.9</v>
      </c>
      <c r="Z17" s="80">
        <f t="shared" si="15"/>
        <v>1920.2</v>
      </c>
      <c r="AA17" s="11">
        <f t="shared" si="10"/>
        <v>88.49255726070325</v>
      </c>
      <c r="AB17" s="38">
        <f>254.6+493.7</f>
        <v>748.3</v>
      </c>
      <c r="AC17" s="38">
        <f>281.9+447.1</f>
        <v>729</v>
      </c>
      <c r="AD17" s="11">
        <f t="shared" si="6"/>
        <v>97.4208205265268</v>
      </c>
      <c r="AE17" s="38">
        <f>477.9+280.2</f>
        <v>758.0999999999999</v>
      </c>
      <c r="AF17" s="38">
        <f>411.8+242.5</f>
        <v>654.3</v>
      </c>
      <c r="AG17" s="11">
        <f t="shared" si="22"/>
        <v>86.30787495053424</v>
      </c>
      <c r="AH17" s="38">
        <f>489.7+288.1</f>
        <v>777.8</v>
      </c>
      <c r="AI17" s="38">
        <f>437.1+250.4</f>
        <v>687.5</v>
      </c>
      <c r="AJ17" s="80">
        <f t="shared" si="16"/>
        <v>2284.2</v>
      </c>
      <c r="AK17" s="80">
        <f t="shared" si="17"/>
        <v>2070.8</v>
      </c>
      <c r="AL17" s="11">
        <f t="shared" si="11"/>
        <v>90.65756063391999</v>
      </c>
      <c r="AM17" s="38">
        <f>432.9+283.7</f>
        <v>716.5999999999999</v>
      </c>
      <c r="AN17" s="38">
        <f>421.3+294</f>
        <v>715.3</v>
      </c>
      <c r="AO17" s="38">
        <f>423.7+203.9</f>
        <v>627.6</v>
      </c>
      <c r="AP17" s="38">
        <f>409.7+262.5</f>
        <v>672.2</v>
      </c>
      <c r="AQ17" s="38">
        <f>271.3+493.1</f>
        <v>764.4000000000001</v>
      </c>
      <c r="AR17" s="38">
        <f>238+437.9</f>
        <v>675.9</v>
      </c>
      <c r="AS17" s="65">
        <f t="shared" si="18"/>
        <v>8743.8</v>
      </c>
      <c r="AT17" s="65">
        <f t="shared" si="19"/>
        <v>7977.1</v>
      </c>
      <c r="AU17" s="11">
        <f t="shared" si="8"/>
        <v>91.23150117797755</v>
      </c>
      <c r="AV17" s="80">
        <f t="shared" si="20"/>
        <v>766.6999999999989</v>
      </c>
      <c r="AW17" s="81">
        <f t="shared" si="21"/>
        <v>4791.999999999998</v>
      </c>
      <c r="AX17" s="23"/>
      <c r="AY17" s="23"/>
      <c r="AZ17" s="78"/>
      <c r="BA17" s="39"/>
      <c r="BB17" s="40"/>
      <c r="BC17" s="40"/>
      <c r="BD17" s="39"/>
      <c r="BE17" s="40"/>
      <c r="BF17" s="40"/>
      <c r="BG17" s="40"/>
      <c r="BH17" s="40"/>
    </row>
    <row r="18" spans="1:60" ht="24.75" customHeight="1">
      <c r="A18" s="13" t="s">
        <v>22</v>
      </c>
      <c r="B18" s="15" t="s">
        <v>99</v>
      </c>
      <c r="C18" s="79">
        <v>8.5</v>
      </c>
      <c r="D18" s="38">
        <v>51</v>
      </c>
      <c r="E18" s="38">
        <v>53.4</v>
      </c>
      <c r="F18" s="11">
        <f t="shared" si="0"/>
        <v>104.70588235294119</v>
      </c>
      <c r="G18" s="38">
        <v>49.6</v>
      </c>
      <c r="H18" s="38">
        <v>47.8</v>
      </c>
      <c r="I18" s="11">
        <f t="shared" si="1"/>
        <v>96.37096774193547</v>
      </c>
      <c r="J18" s="38">
        <v>72.5</v>
      </c>
      <c r="K18" s="38">
        <v>52.1</v>
      </c>
      <c r="L18" s="11">
        <f t="shared" si="2"/>
        <v>71.86206896551724</v>
      </c>
      <c r="M18" s="80">
        <f t="shared" si="12"/>
        <v>173.1</v>
      </c>
      <c r="N18" s="80">
        <f t="shared" si="13"/>
        <v>153.29999999999998</v>
      </c>
      <c r="O18" s="11">
        <f t="shared" si="9"/>
        <v>88.56152512998267</v>
      </c>
      <c r="P18" s="38">
        <v>84</v>
      </c>
      <c r="Q18" s="38">
        <v>54</v>
      </c>
      <c r="R18" s="11">
        <f t="shared" si="3"/>
        <v>64.28571428571429</v>
      </c>
      <c r="S18" s="38">
        <v>130.6</v>
      </c>
      <c r="T18" s="38">
        <v>66.3</v>
      </c>
      <c r="U18" s="11">
        <f t="shared" si="4"/>
        <v>50.76569678407351</v>
      </c>
      <c r="V18" s="38">
        <v>146.1</v>
      </c>
      <c r="W18" s="38">
        <v>100.5</v>
      </c>
      <c r="X18" s="11">
        <f t="shared" si="5"/>
        <v>68.78850102669405</v>
      </c>
      <c r="Y18" s="80">
        <f t="shared" si="14"/>
        <v>360.7</v>
      </c>
      <c r="Z18" s="80">
        <f t="shared" si="15"/>
        <v>220.8</v>
      </c>
      <c r="AA18" s="11">
        <f t="shared" si="10"/>
        <v>61.214305517050185</v>
      </c>
      <c r="AB18" s="38">
        <v>173.2</v>
      </c>
      <c r="AC18" s="38">
        <v>146.8</v>
      </c>
      <c r="AD18" s="11">
        <f t="shared" si="6"/>
        <v>84.75750577367207</v>
      </c>
      <c r="AE18" s="38">
        <v>129.5</v>
      </c>
      <c r="AF18" s="38">
        <v>131.4</v>
      </c>
      <c r="AG18" s="11">
        <f t="shared" si="22"/>
        <v>101.46718146718148</v>
      </c>
      <c r="AH18" s="38">
        <v>182.5</v>
      </c>
      <c r="AI18" s="38">
        <v>136.9</v>
      </c>
      <c r="AJ18" s="80">
        <f t="shared" si="16"/>
        <v>485.2</v>
      </c>
      <c r="AK18" s="80">
        <f t="shared" si="17"/>
        <v>415.1</v>
      </c>
      <c r="AL18" s="11">
        <f t="shared" si="11"/>
        <v>85.55234954657874</v>
      </c>
      <c r="AM18" s="38">
        <v>184.2</v>
      </c>
      <c r="AN18" s="38">
        <v>160.8</v>
      </c>
      <c r="AO18" s="38">
        <v>99.2</v>
      </c>
      <c r="AP18" s="38">
        <v>140.3</v>
      </c>
      <c r="AQ18" s="38">
        <v>109.8</v>
      </c>
      <c r="AR18" s="38">
        <v>96.5</v>
      </c>
      <c r="AS18" s="65">
        <f t="shared" si="18"/>
        <v>1412.2</v>
      </c>
      <c r="AT18" s="65">
        <f t="shared" si="19"/>
        <v>1186.8</v>
      </c>
      <c r="AU18" s="11">
        <f t="shared" si="8"/>
        <v>84.03908794788273</v>
      </c>
      <c r="AV18" s="80">
        <f t="shared" si="20"/>
        <v>225.4000000000001</v>
      </c>
      <c r="AW18" s="81">
        <f t="shared" si="21"/>
        <v>233.9000000000001</v>
      </c>
      <c r="AX18" s="23"/>
      <c r="AY18" s="23"/>
      <c r="AZ18" s="78"/>
      <c r="BA18" s="39"/>
      <c r="BB18" s="40"/>
      <c r="BC18" s="40"/>
      <c r="BD18" s="39"/>
      <c r="BE18" s="40"/>
      <c r="BF18" s="40"/>
      <c r="BG18" s="40"/>
      <c r="BH18" s="40"/>
    </row>
    <row r="19" spans="1:60" ht="24.75" customHeight="1">
      <c r="A19" s="13" t="s">
        <v>23</v>
      </c>
      <c r="B19" s="41" t="s">
        <v>100</v>
      </c>
      <c r="C19" s="79">
        <v>-315.2</v>
      </c>
      <c r="D19" s="38">
        <v>167.5</v>
      </c>
      <c r="E19" s="38">
        <v>332.3</v>
      </c>
      <c r="F19" s="11">
        <f t="shared" si="0"/>
        <v>198.38805970149252</v>
      </c>
      <c r="G19" s="38">
        <v>190.5</v>
      </c>
      <c r="H19" s="38">
        <v>312.7</v>
      </c>
      <c r="I19" s="68">
        <f t="shared" si="1"/>
        <v>164.14698162729658</v>
      </c>
      <c r="J19" s="38">
        <v>198.9</v>
      </c>
      <c r="K19" s="38">
        <v>369.6</v>
      </c>
      <c r="L19" s="68">
        <f t="shared" si="2"/>
        <v>185.82202111613876</v>
      </c>
      <c r="M19" s="80">
        <f t="shared" si="12"/>
        <v>556.9</v>
      </c>
      <c r="N19" s="80">
        <f t="shared" si="13"/>
        <v>1014.6</v>
      </c>
      <c r="O19" s="11">
        <f t="shared" si="9"/>
        <v>182.18710720057462</v>
      </c>
      <c r="P19" s="38">
        <v>391.6</v>
      </c>
      <c r="Q19" s="38">
        <v>289.4</v>
      </c>
      <c r="R19" s="129">
        <f t="shared" si="3"/>
        <v>73.90194075587333</v>
      </c>
      <c r="S19" s="38">
        <v>2122.5</v>
      </c>
      <c r="T19" s="38">
        <v>324.2</v>
      </c>
      <c r="U19" s="129">
        <f t="shared" si="4"/>
        <v>15.274440518256771</v>
      </c>
      <c r="V19" s="38">
        <v>728.5</v>
      </c>
      <c r="W19" s="38">
        <v>541.4</v>
      </c>
      <c r="X19" s="129">
        <f t="shared" si="5"/>
        <v>74.31708991077556</v>
      </c>
      <c r="Y19" s="80">
        <f t="shared" si="14"/>
        <v>3242.6</v>
      </c>
      <c r="Z19" s="80">
        <f t="shared" si="15"/>
        <v>1155</v>
      </c>
      <c r="AA19" s="11">
        <f t="shared" si="10"/>
        <v>35.61956454696848</v>
      </c>
      <c r="AB19" s="38">
        <v>735</v>
      </c>
      <c r="AC19" s="38">
        <v>641.1</v>
      </c>
      <c r="AD19" s="11">
        <f t="shared" si="6"/>
        <v>87.22448979591837</v>
      </c>
      <c r="AE19" s="38">
        <v>721.5</v>
      </c>
      <c r="AF19" s="38">
        <v>554.6</v>
      </c>
      <c r="AG19" s="129">
        <f t="shared" si="22"/>
        <v>76.86763686763686</v>
      </c>
      <c r="AH19" s="38">
        <v>682.7</v>
      </c>
      <c r="AI19" s="38">
        <v>642.8</v>
      </c>
      <c r="AJ19" s="80">
        <f t="shared" si="16"/>
        <v>2139.2</v>
      </c>
      <c r="AK19" s="80">
        <f t="shared" si="17"/>
        <v>1838.5</v>
      </c>
      <c r="AL19" s="11">
        <f t="shared" si="11"/>
        <v>85.94334330590875</v>
      </c>
      <c r="AM19" s="38">
        <v>629.6</v>
      </c>
      <c r="AN19" s="38">
        <v>668.4</v>
      </c>
      <c r="AO19" s="38">
        <v>370.9</v>
      </c>
      <c r="AP19" s="38">
        <v>573.7</v>
      </c>
      <c r="AQ19" s="38">
        <v>306.4</v>
      </c>
      <c r="AR19" s="38">
        <v>499</v>
      </c>
      <c r="AS19" s="65">
        <f t="shared" si="18"/>
        <v>7245.599999999999</v>
      </c>
      <c r="AT19" s="65">
        <f t="shared" si="19"/>
        <v>5749.2</v>
      </c>
      <c r="AU19" s="11">
        <f t="shared" si="8"/>
        <v>79.34746604836039</v>
      </c>
      <c r="AV19" s="80">
        <f t="shared" si="20"/>
        <v>1496.3999999999996</v>
      </c>
      <c r="AW19" s="81">
        <f t="shared" si="21"/>
        <v>1181.1999999999998</v>
      </c>
      <c r="AX19" s="23"/>
      <c r="AY19" s="23"/>
      <c r="AZ19" s="78"/>
      <c r="BA19" s="39"/>
      <c r="BB19" s="40"/>
      <c r="BC19" s="40"/>
      <c r="BD19" s="39"/>
      <c r="BE19" s="40"/>
      <c r="BF19" s="40"/>
      <c r="BG19" s="40"/>
      <c r="BH19" s="40"/>
    </row>
    <row r="20" spans="1:60" ht="24.75" customHeight="1">
      <c r="A20" s="13" t="s">
        <v>24</v>
      </c>
      <c r="B20" s="15" t="s">
        <v>101</v>
      </c>
      <c r="C20" s="84">
        <v>110.6</v>
      </c>
      <c r="D20" s="38">
        <v>59.4</v>
      </c>
      <c r="E20" s="38">
        <v>104.3</v>
      </c>
      <c r="F20" s="85">
        <f t="shared" si="0"/>
        <v>175.58922558922558</v>
      </c>
      <c r="G20" s="38">
        <v>50.3</v>
      </c>
      <c r="H20" s="38">
        <v>82.1</v>
      </c>
      <c r="I20" s="11">
        <f t="shared" si="1"/>
        <v>163.220675944334</v>
      </c>
      <c r="J20" s="38">
        <v>68.6</v>
      </c>
      <c r="K20" s="38">
        <v>100.1</v>
      </c>
      <c r="L20" s="11">
        <f t="shared" si="2"/>
        <v>145.91836734693877</v>
      </c>
      <c r="M20" s="80">
        <f t="shared" si="12"/>
        <v>178.29999999999998</v>
      </c>
      <c r="N20" s="80">
        <f t="shared" si="13"/>
        <v>286.5</v>
      </c>
      <c r="O20" s="11">
        <f t="shared" si="9"/>
        <v>160.6842400448682</v>
      </c>
      <c r="P20" s="38">
        <v>81.7</v>
      </c>
      <c r="Q20" s="38">
        <v>73.7</v>
      </c>
      <c r="R20" s="11">
        <f t="shared" si="3"/>
        <v>90.20807833537332</v>
      </c>
      <c r="S20" s="38">
        <v>381.4</v>
      </c>
      <c r="T20" s="38">
        <v>94.1</v>
      </c>
      <c r="U20" s="11">
        <f t="shared" si="4"/>
        <v>24.67226009438909</v>
      </c>
      <c r="V20" s="38">
        <v>335.6</v>
      </c>
      <c r="W20" s="38">
        <v>102.6</v>
      </c>
      <c r="X20" s="11">
        <f t="shared" si="5"/>
        <v>30.572109654350417</v>
      </c>
      <c r="Y20" s="80">
        <f t="shared" si="14"/>
        <v>798.7</v>
      </c>
      <c r="Z20" s="80">
        <f t="shared" si="15"/>
        <v>270.4</v>
      </c>
      <c r="AA20" s="11">
        <f t="shared" si="10"/>
        <v>33.855014398397394</v>
      </c>
      <c r="AB20" s="38">
        <v>147.7</v>
      </c>
      <c r="AC20" s="38">
        <v>129.5</v>
      </c>
      <c r="AD20" s="11">
        <f t="shared" si="6"/>
        <v>87.67772511848342</v>
      </c>
      <c r="AE20" s="38">
        <v>154.2</v>
      </c>
      <c r="AF20" s="38">
        <v>176.8</v>
      </c>
      <c r="AG20" s="11">
        <f t="shared" si="22"/>
        <v>114.65629053177693</v>
      </c>
      <c r="AH20" s="38">
        <v>148.6</v>
      </c>
      <c r="AI20" s="38">
        <v>190.4</v>
      </c>
      <c r="AJ20" s="80">
        <f t="shared" si="16"/>
        <v>450.5</v>
      </c>
      <c r="AK20" s="80">
        <f t="shared" si="17"/>
        <v>496.70000000000005</v>
      </c>
      <c r="AL20" s="11">
        <f t="shared" si="11"/>
        <v>110.25527192008879</v>
      </c>
      <c r="AM20" s="38">
        <v>191.3</v>
      </c>
      <c r="AN20" s="38">
        <v>173.4</v>
      </c>
      <c r="AO20" s="38">
        <v>91.7</v>
      </c>
      <c r="AP20" s="38">
        <v>174</v>
      </c>
      <c r="AQ20" s="38">
        <v>107.8</v>
      </c>
      <c r="AR20" s="38">
        <v>154.5</v>
      </c>
      <c r="AS20" s="65">
        <f t="shared" si="18"/>
        <v>1818.3</v>
      </c>
      <c r="AT20" s="65">
        <f t="shared" si="19"/>
        <v>1555.5</v>
      </c>
      <c r="AU20" s="11">
        <f t="shared" si="8"/>
        <v>85.54693944893582</v>
      </c>
      <c r="AV20" s="80">
        <f t="shared" si="20"/>
        <v>262.79999999999995</v>
      </c>
      <c r="AW20" s="81">
        <f t="shared" si="21"/>
        <v>373.39999999999986</v>
      </c>
      <c r="AX20" s="23"/>
      <c r="AY20" s="23"/>
      <c r="AZ20" s="78"/>
      <c r="BA20" s="39"/>
      <c r="BB20" s="40"/>
      <c r="BC20" s="40"/>
      <c r="BD20" s="39"/>
      <c r="BE20" s="40"/>
      <c r="BF20" s="40"/>
      <c r="BG20" s="40"/>
      <c r="BH20" s="40"/>
    </row>
    <row r="21" spans="1:60" ht="24.75" customHeight="1">
      <c r="A21" s="13" t="s">
        <v>25</v>
      </c>
      <c r="B21" s="50" t="s">
        <v>102</v>
      </c>
      <c r="C21" s="79">
        <v>7.2</v>
      </c>
      <c r="D21" s="38">
        <v>12.3</v>
      </c>
      <c r="E21" s="38">
        <v>10.8</v>
      </c>
      <c r="F21" s="11">
        <f aca="true" t="shared" si="23" ref="F21:F28">E21/D21*100</f>
        <v>87.8048780487805</v>
      </c>
      <c r="G21" s="38">
        <v>7.7</v>
      </c>
      <c r="H21" s="38">
        <v>8.5</v>
      </c>
      <c r="I21" s="11">
        <f t="shared" si="1"/>
        <v>110.3896103896104</v>
      </c>
      <c r="J21" s="38">
        <v>12.9</v>
      </c>
      <c r="K21" s="38">
        <v>17.7</v>
      </c>
      <c r="L21" s="11">
        <f t="shared" si="2"/>
        <v>137.2093023255814</v>
      </c>
      <c r="M21" s="80">
        <f t="shared" si="12"/>
        <v>32.9</v>
      </c>
      <c r="N21" s="80">
        <f t="shared" si="13"/>
        <v>37</v>
      </c>
      <c r="O21" s="11">
        <f t="shared" si="9"/>
        <v>112.46200607902736</v>
      </c>
      <c r="P21" s="38">
        <v>9.4</v>
      </c>
      <c r="Q21" s="38">
        <v>12.7</v>
      </c>
      <c r="R21" s="11">
        <f t="shared" si="3"/>
        <v>135.1063829787234</v>
      </c>
      <c r="S21" s="38">
        <v>8.9</v>
      </c>
      <c r="T21" s="38">
        <v>9.7</v>
      </c>
      <c r="U21" s="11">
        <f t="shared" si="4"/>
        <v>108.98876404494379</v>
      </c>
      <c r="V21" s="38">
        <v>22.9</v>
      </c>
      <c r="W21" s="38">
        <v>18.9</v>
      </c>
      <c r="X21" s="11">
        <f t="shared" si="5"/>
        <v>82.53275109170306</v>
      </c>
      <c r="Y21" s="80">
        <f t="shared" si="14"/>
        <v>41.2</v>
      </c>
      <c r="Z21" s="80">
        <f t="shared" si="15"/>
        <v>41.3</v>
      </c>
      <c r="AA21" s="11">
        <f t="shared" si="10"/>
        <v>100.24271844660193</v>
      </c>
      <c r="AB21" s="38">
        <v>22.9</v>
      </c>
      <c r="AC21" s="38">
        <v>20.9</v>
      </c>
      <c r="AD21" s="11">
        <f t="shared" si="6"/>
        <v>91.26637554585153</v>
      </c>
      <c r="AE21" s="38">
        <v>19.9</v>
      </c>
      <c r="AF21" s="38">
        <v>22.9</v>
      </c>
      <c r="AG21" s="11">
        <f t="shared" si="22"/>
        <v>115.07537688442211</v>
      </c>
      <c r="AH21" s="38">
        <v>17.8</v>
      </c>
      <c r="AI21" s="38">
        <v>18.1</v>
      </c>
      <c r="AJ21" s="80">
        <f t="shared" si="16"/>
        <v>60.599999999999994</v>
      </c>
      <c r="AK21" s="80">
        <f t="shared" si="17"/>
        <v>61.9</v>
      </c>
      <c r="AL21" s="11">
        <f t="shared" si="11"/>
        <v>102.14521452145216</v>
      </c>
      <c r="AM21" s="38">
        <v>20</v>
      </c>
      <c r="AN21" s="38">
        <v>20.4</v>
      </c>
      <c r="AO21" s="38">
        <v>20.9</v>
      </c>
      <c r="AP21" s="38">
        <v>21</v>
      </c>
      <c r="AQ21" s="38">
        <v>22.9</v>
      </c>
      <c r="AR21" s="38">
        <v>23.7</v>
      </c>
      <c r="AS21" s="65">
        <f t="shared" si="18"/>
        <v>198.5</v>
      </c>
      <c r="AT21" s="65">
        <f t="shared" si="19"/>
        <v>205.29999999999998</v>
      </c>
      <c r="AU21" s="11">
        <f t="shared" si="8"/>
        <v>103.42569269521408</v>
      </c>
      <c r="AV21" s="80">
        <f t="shared" si="20"/>
        <v>-6.799999999999983</v>
      </c>
      <c r="AW21" s="81">
        <f t="shared" si="21"/>
        <v>0.4000000000000057</v>
      </c>
      <c r="AX21" s="23"/>
      <c r="AY21" s="23"/>
      <c r="AZ21" s="78"/>
      <c r="BA21" s="39"/>
      <c r="BB21" s="40"/>
      <c r="BC21" s="40"/>
      <c r="BD21" s="39"/>
      <c r="BE21" s="40"/>
      <c r="BF21" s="40"/>
      <c r="BG21" s="40"/>
      <c r="BH21" s="40"/>
    </row>
    <row r="22" spans="1:60" ht="24.75" customHeight="1">
      <c r="A22" s="13" t="s">
        <v>26</v>
      </c>
      <c r="B22" s="15" t="s">
        <v>103</v>
      </c>
      <c r="C22" s="86">
        <v>169.8</v>
      </c>
      <c r="D22" s="72">
        <v>50.5</v>
      </c>
      <c r="E22" s="72">
        <v>92.6</v>
      </c>
      <c r="F22" s="87">
        <f t="shared" si="23"/>
        <v>183.36633663366337</v>
      </c>
      <c r="G22" s="38">
        <v>17</v>
      </c>
      <c r="H22" s="38">
        <v>91.7</v>
      </c>
      <c r="I22" s="88">
        <f t="shared" si="1"/>
        <v>539.4117647058824</v>
      </c>
      <c r="J22" s="38">
        <v>71</v>
      </c>
      <c r="K22" s="38">
        <v>95.4</v>
      </c>
      <c r="L22" s="88">
        <f t="shared" si="2"/>
        <v>134.3661971830986</v>
      </c>
      <c r="M22" s="80">
        <f t="shared" si="12"/>
        <v>138.5</v>
      </c>
      <c r="N22" s="80">
        <f t="shared" si="13"/>
        <v>279.70000000000005</v>
      </c>
      <c r="O22" s="11">
        <f t="shared" si="9"/>
        <v>201.94945848375454</v>
      </c>
      <c r="P22" s="38">
        <v>3.7</v>
      </c>
      <c r="Q22" s="38">
        <v>72.7</v>
      </c>
      <c r="R22" s="130">
        <f t="shared" si="3"/>
        <v>1964.864864864865</v>
      </c>
      <c r="S22" s="38">
        <v>83.2</v>
      </c>
      <c r="T22" s="38">
        <v>115.1</v>
      </c>
      <c r="U22" s="130">
        <f t="shared" si="4"/>
        <v>138.34134615384613</v>
      </c>
      <c r="V22" s="38">
        <v>101.6</v>
      </c>
      <c r="W22" s="38">
        <v>110.1</v>
      </c>
      <c r="X22" s="130">
        <f t="shared" si="5"/>
        <v>108.36614173228347</v>
      </c>
      <c r="Y22" s="80">
        <f t="shared" si="14"/>
        <v>188.5</v>
      </c>
      <c r="Z22" s="80">
        <f t="shared" si="15"/>
        <v>297.9</v>
      </c>
      <c r="AA22" s="11">
        <f t="shared" si="10"/>
        <v>158.03713527851457</v>
      </c>
      <c r="AB22" s="38">
        <v>93.3</v>
      </c>
      <c r="AC22" s="38">
        <v>155.2</v>
      </c>
      <c r="AD22" s="11">
        <f t="shared" si="6"/>
        <v>166.34512325830653</v>
      </c>
      <c r="AE22" s="38">
        <v>121.1</v>
      </c>
      <c r="AF22" s="38">
        <v>154.9</v>
      </c>
      <c r="AG22" s="130">
        <f t="shared" si="22"/>
        <v>127.91081750619324</v>
      </c>
      <c r="AH22" s="38">
        <v>197.6</v>
      </c>
      <c r="AI22" s="38">
        <v>230</v>
      </c>
      <c r="AJ22" s="80">
        <f t="shared" si="16"/>
        <v>412</v>
      </c>
      <c r="AK22" s="80">
        <f t="shared" si="17"/>
        <v>540.1</v>
      </c>
      <c r="AL22" s="11">
        <f t="shared" si="11"/>
        <v>131.09223300970874</v>
      </c>
      <c r="AM22" s="38">
        <v>147.4</v>
      </c>
      <c r="AN22" s="38">
        <v>195.5</v>
      </c>
      <c r="AO22" s="38">
        <v>98.6</v>
      </c>
      <c r="AP22" s="38">
        <v>156</v>
      </c>
      <c r="AQ22" s="38">
        <v>82.5</v>
      </c>
      <c r="AR22" s="38">
        <v>144.1</v>
      </c>
      <c r="AS22" s="65">
        <f t="shared" si="18"/>
        <v>1067.5</v>
      </c>
      <c r="AT22" s="65">
        <f t="shared" si="19"/>
        <v>1613.3</v>
      </c>
      <c r="AU22" s="11">
        <f t="shared" si="8"/>
        <v>151.1288056206089</v>
      </c>
      <c r="AV22" s="80">
        <f t="shared" si="20"/>
        <v>-545.8</v>
      </c>
      <c r="AW22" s="81">
        <f t="shared" si="21"/>
        <v>-376</v>
      </c>
      <c r="AX22" s="23"/>
      <c r="AY22" s="23"/>
      <c r="AZ22" s="78"/>
      <c r="BA22" s="39"/>
      <c r="BB22" s="40"/>
      <c r="BC22" s="40"/>
      <c r="BD22" s="39"/>
      <c r="BE22" s="40"/>
      <c r="BF22" s="40"/>
      <c r="BG22" s="40"/>
      <c r="BH22" s="40"/>
    </row>
    <row r="23" spans="1:60" ht="24.75" customHeight="1">
      <c r="A23" s="13" t="s">
        <v>27</v>
      </c>
      <c r="B23" s="15" t="s">
        <v>124</v>
      </c>
      <c r="C23" s="79">
        <v>-57.1</v>
      </c>
      <c r="D23" s="38">
        <v>2.7</v>
      </c>
      <c r="E23" s="38">
        <v>11.5</v>
      </c>
      <c r="F23" s="89">
        <v>0</v>
      </c>
      <c r="G23" s="38">
        <v>4.2</v>
      </c>
      <c r="H23" s="38">
        <v>12.5</v>
      </c>
      <c r="I23" s="88">
        <f t="shared" si="1"/>
        <v>297.61904761904765</v>
      </c>
      <c r="J23" s="38">
        <v>2.7</v>
      </c>
      <c r="K23" s="38">
        <v>10</v>
      </c>
      <c r="L23" s="88">
        <f t="shared" si="2"/>
        <v>370.3703703703703</v>
      </c>
      <c r="M23" s="80">
        <f t="shared" si="12"/>
        <v>9.600000000000001</v>
      </c>
      <c r="N23" s="80">
        <f t="shared" si="13"/>
        <v>34</v>
      </c>
      <c r="O23" s="11">
        <f t="shared" si="9"/>
        <v>354.16666666666663</v>
      </c>
      <c r="P23" s="38">
        <v>8.1</v>
      </c>
      <c r="Q23" s="38">
        <v>8.6</v>
      </c>
      <c r="R23" s="130">
        <f t="shared" si="3"/>
        <v>106.17283950617285</v>
      </c>
      <c r="S23" s="38">
        <v>26.9</v>
      </c>
      <c r="T23" s="38">
        <v>11.3</v>
      </c>
      <c r="U23" s="130">
        <f t="shared" si="4"/>
        <v>42.00743494423793</v>
      </c>
      <c r="V23" s="38">
        <v>28.7</v>
      </c>
      <c r="W23" s="38">
        <v>14.5</v>
      </c>
      <c r="X23" s="130">
        <f t="shared" si="5"/>
        <v>50.522648083623686</v>
      </c>
      <c r="Y23" s="80">
        <f t="shared" si="14"/>
        <v>63.7</v>
      </c>
      <c r="Z23" s="80">
        <f t="shared" si="15"/>
        <v>34.4</v>
      </c>
      <c r="AA23" s="11">
        <f t="shared" si="10"/>
        <v>54.00313971742543</v>
      </c>
      <c r="AB23" s="38">
        <v>81.8</v>
      </c>
      <c r="AC23" s="38">
        <v>22</v>
      </c>
      <c r="AD23" s="11">
        <f t="shared" si="6"/>
        <v>26.894865525672373</v>
      </c>
      <c r="AE23" s="38">
        <v>29.3</v>
      </c>
      <c r="AF23" s="38">
        <v>27.5</v>
      </c>
      <c r="AG23" s="130">
        <f t="shared" si="22"/>
        <v>93.85665529010238</v>
      </c>
      <c r="AH23" s="38">
        <v>26.8</v>
      </c>
      <c r="AI23" s="38">
        <v>21</v>
      </c>
      <c r="AJ23" s="80">
        <f t="shared" si="16"/>
        <v>137.9</v>
      </c>
      <c r="AK23" s="80">
        <f t="shared" si="17"/>
        <v>70.5</v>
      </c>
      <c r="AL23" s="11">
        <f t="shared" si="11"/>
        <v>51.12400290065264</v>
      </c>
      <c r="AM23" s="38">
        <v>24.9</v>
      </c>
      <c r="AN23" s="38">
        <v>27.8</v>
      </c>
      <c r="AO23" s="38">
        <v>11.2</v>
      </c>
      <c r="AP23" s="38">
        <v>27.1</v>
      </c>
      <c r="AQ23" s="38">
        <v>0.9</v>
      </c>
      <c r="AR23" s="38">
        <v>19.9</v>
      </c>
      <c r="AS23" s="65">
        <f t="shared" si="18"/>
        <v>248.20000000000002</v>
      </c>
      <c r="AT23" s="65">
        <f t="shared" si="19"/>
        <v>213.70000000000002</v>
      </c>
      <c r="AU23" s="11">
        <f t="shared" si="8"/>
        <v>86.09991941982273</v>
      </c>
      <c r="AV23" s="80">
        <f t="shared" si="20"/>
        <v>34.5</v>
      </c>
      <c r="AW23" s="81">
        <f t="shared" si="21"/>
        <v>-22.599999999999994</v>
      </c>
      <c r="AX23" s="23"/>
      <c r="AY23" s="23"/>
      <c r="AZ23" s="78"/>
      <c r="BA23" s="39"/>
      <c r="BB23" s="40"/>
      <c r="BC23" s="40"/>
      <c r="BD23" s="39"/>
      <c r="BE23" s="40"/>
      <c r="BF23" s="40"/>
      <c r="BG23" s="40"/>
      <c r="BH23" s="40"/>
    </row>
    <row r="24" spans="1:60" ht="24.75" customHeight="1">
      <c r="A24" s="13" t="s">
        <v>28</v>
      </c>
      <c r="B24" s="15" t="s">
        <v>104</v>
      </c>
      <c r="C24" s="79">
        <v>-1694.6</v>
      </c>
      <c r="D24" s="38">
        <v>478.2</v>
      </c>
      <c r="E24" s="38">
        <v>726.7</v>
      </c>
      <c r="F24" s="11">
        <f t="shared" si="23"/>
        <v>151.96570472605606</v>
      </c>
      <c r="G24" s="38">
        <v>472.3</v>
      </c>
      <c r="H24" s="38">
        <v>647.6</v>
      </c>
      <c r="I24" s="11">
        <f t="shared" si="1"/>
        <v>137.11623967817067</v>
      </c>
      <c r="J24" s="38">
        <v>473.9</v>
      </c>
      <c r="K24" s="38">
        <v>705.1</v>
      </c>
      <c r="L24" s="11">
        <f t="shared" si="2"/>
        <v>148.7866638531336</v>
      </c>
      <c r="M24" s="80">
        <f t="shared" si="12"/>
        <v>1424.4</v>
      </c>
      <c r="N24" s="80">
        <f t="shared" si="13"/>
        <v>2079.4</v>
      </c>
      <c r="O24" s="11">
        <f t="shared" si="9"/>
        <v>145.98427408031452</v>
      </c>
      <c r="P24" s="38">
        <v>731.2</v>
      </c>
      <c r="Q24" s="38">
        <v>626.8</v>
      </c>
      <c r="R24" s="11">
        <f t="shared" si="3"/>
        <v>85.72210065645514</v>
      </c>
      <c r="S24" s="38">
        <v>2946.7</v>
      </c>
      <c r="T24" s="38">
        <v>848.7</v>
      </c>
      <c r="U24" s="11">
        <f t="shared" si="4"/>
        <v>28.801710387891543</v>
      </c>
      <c r="V24" s="38">
        <v>1339.1</v>
      </c>
      <c r="W24" s="38">
        <v>900.7</v>
      </c>
      <c r="X24" s="130">
        <f t="shared" si="5"/>
        <v>67.26159360764693</v>
      </c>
      <c r="Y24" s="80">
        <f t="shared" si="14"/>
        <v>5017</v>
      </c>
      <c r="Z24" s="80">
        <f t="shared" si="15"/>
        <v>2376.2</v>
      </c>
      <c r="AA24" s="11">
        <f t="shared" si="10"/>
        <v>47.36296591588599</v>
      </c>
      <c r="AB24" s="38">
        <v>1234.7</v>
      </c>
      <c r="AC24" s="38">
        <v>1153.9</v>
      </c>
      <c r="AD24" s="11">
        <f t="shared" si="6"/>
        <v>93.4559002186766</v>
      </c>
      <c r="AE24" s="38">
        <v>1235.9</v>
      </c>
      <c r="AF24" s="38">
        <v>1109.3</v>
      </c>
      <c r="AG24" s="130">
        <f t="shared" si="22"/>
        <v>89.75645278744234</v>
      </c>
      <c r="AH24" s="38">
        <v>1326</v>
      </c>
      <c r="AI24" s="38">
        <v>1099.1</v>
      </c>
      <c r="AJ24" s="80">
        <f t="shared" si="16"/>
        <v>3796.6000000000004</v>
      </c>
      <c r="AK24" s="80">
        <f t="shared" si="17"/>
        <v>3362.2999999999997</v>
      </c>
      <c r="AL24" s="11">
        <f t="shared" si="11"/>
        <v>88.5608175736185</v>
      </c>
      <c r="AM24" s="38">
        <v>1324.9</v>
      </c>
      <c r="AN24" s="38">
        <v>1261.9</v>
      </c>
      <c r="AO24" s="38">
        <v>855.1</v>
      </c>
      <c r="AP24" s="38">
        <v>1194.4</v>
      </c>
      <c r="AQ24" s="38">
        <v>575.8</v>
      </c>
      <c r="AR24" s="38">
        <v>936.9</v>
      </c>
      <c r="AS24" s="65">
        <f t="shared" si="18"/>
        <v>12993.8</v>
      </c>
      <c r="AT24" s="65">
        <f t="shared" si="19"/>
        <v>11211.099999999999</v>
      </c>
      <c r="AU24" s="11">
        <f t="shared" si="8"/>
        <v>86.28037987347813</v>
      </c>
      <c r="AV24" s="80">
        <f t="shared" si="20"/>
        <v>1782.7000000000007</v>
      </c>
      <c r="AW24" s="81">
        <f t="shared" si="21"/>
        <v>88.10000000000036</v>
      </c>
      <c r="AX24" s="23"/>
      <c r="AY24" s="23"/>
      <c r="AZ24" s="78"/>
      <c r="BA24" s="39"/>
      <c r="BB24" s="40"/>
      <c r="BC24" s="40"/>
      <c r="BD24" s="39"/>
      <c r="BE24" s="40"/>
      <c r="BF24" s="40"/>
      <c r="BG24" s="40"/>
      <c r="BH24" s="40"/>
    </row>
    <row r="25" spans="1:60" ht="24.75" customHeight="1">
      <c r="A25" s="13" t="s">
        <v>29</v>
      </c>
      <c r="B25" s="41" t="s">
        <v>105</v>
      </c>
      <c r="C25" s="79">
        <v>-779.2</v>
      </c>
      <c r="D25" s="38">
        <v>9.6</v>
      </c>
      <c r="E25" s="38">
        <v>93.1</v>
      </c>
      <c r="F25" s="11">
        <f t="shared" si="23"/>
        <v>969.7916666666666</v>
      </c>
      <c r="G25" s="38">
        <v>87.4</v>
      </c>
      <c r="H25" s="38">
        <v>81.3</v>
      </c>
      <c r="I25" s="11">
        <f>H25/G25*100</f>
        <v>93.02059496567506</v>
      </c>
      <c r="J25" s="38">
        <v>-3.2</v>
      </c>
      <c r="K25" s="38">
        <v>100.2</v>
      </c>
      <c r="L25" s="11">
        <f t="shared" si="2"/>
        <v>-3131.25</v>
      </c>
      <c r="M25" s="80">
        <f t="shared" si="12"/>
        <v>93.8</v>
      </c>
      <c r="N25" s="80">
        <f t="shared" si="13"/>
        <v>274.59999999999997</v>
      </c>
      <c r="O25" s="11">
        <f t="shared" si="9"/>
        <v>292.7505330490405</v>
      </c>
      <c r="P25" s="38">
        <v>495.5</v>
      </c>
      <c r="Q25" s="38">
        <v>80</v>
      </c>
      <c r="R25" s="11">
        <f>Q25/P25*100</f>
        <v>16.145307769929364</v>
      </c>
      <c r="S25" s="38">
        <v>243.3</v>
      </c>
      <c r="T25" s="38">
        <v>107.1</v>
      </c>
      <c r="U25" s="11">
        <f>T25/S25*100</f>
        <v>44.019728729963006</v>
      </c>
      <c r="V25" s="38">
        <v>173</v>
      </c>
      <c r="W25" s="38">
        <v>135.5</v>
      </c>
      <c r="X25" s="11">
        <f>W25/V25*100</f>
        <v>78.32369942196532</v>
      </c>
      <c r="Y25" s="80">
        <f t="shared" si="14"/>
        <v>911.8</v>
      </c>
      <c r="Z25" s="80">
        <f t="shared" si="15"/>
        <v>322.6</v>
      </c>
      <c r="AA25" s="11">
        <f t="shared" si="10"/>
        <v>35.38056591357754</v>
      </c>
      <c r="AB25" s="38">
        <v>206.3</v>
      </c>
      <c r="AC25" s="38">
        <v>151.9</v>
      </c>
      <c r="AD25" s="11">
        <f t="shared" si="6"/>
        <v>73.63063499757634</v>
      </c>
      <c r="AE25" s="38">
        <v>242</v>
      </c>
      <c r="AF25" s="38">
        <v>167.4</v>
      </c>
      <c r="AG25" s="11">
        <f>AF25/AE25*100</f>
        <v>69.17355371900827</v>
      </c>
      <c r="AH25" s="38">
        <v>231.3</v>
      </c>
      <c r="AI25" s="38">
        <v>169.1</v>
      </c>
      <c r="AJ25" s="80">
        <f t="shared" si="16"/>
        <v>679.6</v>
      </c>
      <c r="AK25" s="80">
        <f t="shared" si="17"/>
        <v>488.4</v>
      </c>
      <c r="AL25" s="11">
        <f t="shared" si="11"/>
        <v>71.8658034137728</v>
      </c>
      <c r="AM25" s="38">
        <v>219.5</v>
      </c>
      <c r="AN25" s="38">
        <v>171.6</v>
      </c>
      <c r="AO25" s="38">
        <v>57.1</v>
      </c>
      <c r="AP25" s="38">
        <v>172.3</v>
      </c>
      <c r="AQ25" s="38">
        <v>71.6</v>
      </c>
      <c r="AR25" s="38">
        <v>146</v>
      </c>
      <c r="AS25" s="65">
        <f t="shared" si="18"/>
        <v>2033.3999999999996</v>
      </c>
      <c r="AT25" s="65">
        <f t="shared" si="19"/>
        <v>1575.4999999999998</v>
      </c>
      <c r="AU25" s="11">
        <f t="shared" si="8"/>
        <v>77.48106619455099</v>
      </c>
      <c r="AV25" s="80">
        <f t="shared" si="20"/>
        <v>457.89999999999986</v>
      </c>
      <c r="AW25" s="81">
        <f t="shared" si="21"/>
        <v>-321.3000000000002</v>
      </c>
      <c r="AX25" s="23"/>
      <c r="AY25" s="23"/>
      <c r="AZ25" s="78"/>
      <c r="BA25" s="39"/>
      <c r="BB25" s="40"/>
      <c r="BC25" s="40"/>
      <c r="BD25" s="39"/>
      <c r="BE25" s="40"/>
      <c r="BF25" s="40"/>
      <c r="BG25" s="40"/>
      <c r="BH25" s="40"/>
    </row>
    <row r="26" spans="1:60" ht="24.75" customHeight="1">
      <c r="A26" s="13" t="s">
        <v>30</v>
      </c>
      <c r="B26" s="15" t="s">
        <v>106</v>
      </c>
      <c r="C26" s="79">
        <v>80</v>
      </c>
      <c r="D26" s="38">
        <v>30.6</v>
      </c>
      <c r="E26" s="38">
        <v>11.3</v>
      </c>
      <c r="F26" s="11">
        <f t="shared" si="23"/>
        <v>36.9281045751634</v>
      </c>
      <c r="G26" s="38">
        <v>29.2</v>
      </c>
      <c r="H26" s="38">
        <v>15.5</v>
      </c>
      <c r="I26" s="11">
        <f>H26/G26*100</f>
        <v>53.082191780821915</v>
      </c>
      <c r="J26" s="38">
        <v>29.5</v>
      </c>
      <c r="K26" s="38">
        <v>12.6</v>
      </c>
      <c r="L26" s="11">
        <f>K26/J26*100</f>
        <v>42.71186440677966</v>
      </c>
      <c r="M26" s="80">
        <f t="shared" si="12"/>
        <v>89.3</v>
      </c>
      <c r="N26" s="80">
        <f t="shared" si="13"/>
        <v>39.4</v>
      </c>
      <c r="O26" s="11">
        <f t="shared" si="9"/>
        <v>44.120940649496085</v>
      </c>
      <c r="P26" s="38">
        <v>28.7</v>
      </c>
      <c r="Q26" s="38">
        <v>12.9</v>
      </c>
      <c r="R26" s="11">
        <f>Q26/P26*100</f>
        <v>44.94773519163763</v>
      </c>
      <c r="S26" s="38">
        <v>28.2</v>
      </c>
      <c r="T26" s="38">
        <v>13.6</v>
      </c>
      <c r="U26" s="11">
        <f>T26/S26*100</f>
        <v>48.226950354609926</v>
      </c>
      <c r="V26" s="38">
        <v>28.6</v>
      </c>
      <c r="W26" s="38">
        <v>21.3</v>
      </c>
      <c r="X26" s="11">
        <f>W26/V26*100</f>
        <v>74.47552447552448</v>
      </c>
      <c r="Y26" s="80">
        <f t="shared" si="14"/>
        <v>85.5</v>
      </c>
      <c r="Z26" s="80">
        <f t="shared" si="15"/>
        <v>47.8</v>
      </c>
      <c r="AA26" s="11">
        <f t="shared" si="10"/>
        <v>55.906432748538</v>
      </c>
      <c r="AB26" s="38">
        <v>27.3</v>
      </c>
      <c r="AC26" s="38">
        <v>18.3</v>
      </c>
      <c r="AD26" s="11">
        <f t="shared" si="6"/>
        <v>67.03296703296704</v>
      </c>
      <c r="AE26" s="38">
        <v>29.3</v>
      </c>
      <c r="AF26" s="38">
        <v>18.8</v>
      </c>
      <c r="AG26" s="11">
        <f>AF26/AE26*100</f>
        <v>64.16382252559727</v>
      </c>
      <c r="AH26" s="38">
        <v>27.9</v>
      </c>
      <c r="AI26" s="38">
        <v>18.7</v>
      </c>
      <c r="AJ26" s="80">
        <f t="shared" si="16"/>
        <v>84.5</v>
      </c>
      <c r="AK26" s="80">
        <f t="shared" si="17"/>
        <v>55.8</v>
      </c>
      <c r="AL26" s="11">
        <f t="shared" si="11"/>
        <v>66.03550295857988</v>
      </c>
      <c r="AM26" s="38">
        <v>27.7</v>
      </c>
      <c r="AN26" s="38">
        <v>22</v>
      </c>
      <c r="AO26" s="38">
        <v>28.1</v>
      </c>
      <c r="AP26" s="38">
        <v>23</v>
      </c>
      <c r="AQ26" s="38">
        <v>30.5</v>
      </c>
      <c r="AR26" s="38">
        <v>19.5</v>
      </c>
      <c r="AS26" s="65">
        <f t="shared" si="18"/>
        <v>345.6</v>
      </c>
      <c r="AT26" s="65">
        <f t="shared" si="19"/>
        <v>207.5</v>
      </c>
      <c r="AU26" s="11">
        <f t="shared" si="8"/>
        <v>60.04050925925925</v>
      </c>
      <c r="AV26" s="80">
        <f t="shared" si="20"/>
        <v>138.10000000000002</v>
      </c>
      <c r="AW26" s="81">
        <f t="shared" si="21"/>
        <v>218.10000000000002</v>
      </c>
      <c r="AX26" s="23"/>
      <c r="AY26" s="23"/>
      <c r="AZ26" s="78"/>
      <c r="BA26" s="39"/>
      <c r="BB26" s="40"/>
      <c r="BC26" s="40"/>
      <c r="BD26" s="39"/>
      <c r="BE26" s="40"/>
      <c r="BF26" s="40"/>
      <c r="BG26" s="40"/>
      <c r="BH26" s="40"/>
    </row>
    <row r="27" spans="1:60" ht="24.75" customHeight="1">
      <c r="A27" s="13" t="s">
        <v>31</v>
      </c>
      <c r="B27" s="15" t="s">
        <v>107</v>
      </c>
      <c r="C27" s="79">
        <v>-2593.3</v>
      </c>
      <c r="D27" s="38">
        <v>-156.8</v>
      </c>
      <c r="E27" s="38">
        <v>129</v>
      </c>
      <c r="F27" s="57">
        <f t="shared" si="23"/>
        <v>-82.2704081632653</v>
      </c>
      <c r="G27" s="38">
        <v>-92.6</v>
      </c>
      <c r="H27" s="38">
        <v>117.6</v>
      </c>
      <c r="I27" s="11">
        <f>H27/G27*100</f>
        <v>-126.99784017278617</v>
      </c>
      <c r="J27" s="38">
        <v>-245.8</v>
      </c>
      <c r="K27" s="38">
        <v>113.2</v>
      </c>
      <c r="L27" s="11">
        <f>K27/J27*100</f>
        <v>-46.053702196908056</v>
      </c>
      <c r="M27" s="80">
        <f t="shared" si="12"/>
        <v>-495.20000000000005</v>
      </c>
      <c r="N27" s="80">
        <f t="shared" si="13"/>
        <v>359.8</v>
      </c>
      <c r="O27" s="11">
        <f t="shared" si="9"/>
        <v>-72.65751211631664</v>
      </c>
      <c r="P27" s="38">
        <v>-42.2</v>
      </c>
      <c r="Q27" s="38">
        <v>81.6</v>
      </c>
      <c r="R27" s="11">
        <f>Q27/P27*100</f>
        <v>-193.3649289099526</v>
      </c>
      <c r="S27" s="38">
        <v>2454.1</v>
      </c>
      <c r="T27" s="38">
        <v>162.9</v>
      </c>
      <c r="U27" s="11">
        <f>T27/S27*100</f>
        <v>6.63787131738723</v>
      </c>
      <c r="V27" s="38">
        <v>543.2</v>
      </c>
      <c r="W27" s="38">
        <v>184.2</v>
      </c>
      <c r="X27" s="11">
        <f>W27/V27*100</f>
        <v>33.910162002945505</v>
      </c>
      <c r="Y27" s="80">
        <f t="shared" si="14"/>
        <v>2955.1000000000004</v>
      </c>
      <c r="Z27" s="80">
        <f t="shared" si="15"/>
        <v>428.7</v>
      </c>
      <c r="AA27" s="11">
        <f t="shared" si="10"/>
        <v>14.507123278400053</v>
      </c>
      <c r="AB27" s="38">
        <v>388.3</v>
      </c>
      <c r="AC27" s="38">
        <v>301.9</v>
      </c>
      <c r="AD27" s="11">
        <f t="shared" si="6"/>
        <v>77.74916301828483</v>
      </c>
      <c r="AE27" s="38">
        <v>333.5</v>
      </c>
      <c r="AF27" s="38">
        <v>297.8</v>
      </c>
      <c r="AG27" s="11">
        <f>AF27/AE27*100</f>
        <v>89.29535232383809</v>
      </c>
      <c r="AH27" s="38">
        <v>346.3</v>
      </c>
      <c r="AI27" s="38">
        <v>370</v>
      </c>
      <c r="AJ27" s="80">
        <f t="shared" si="16"/>
        <v>1068.1</v>
      </c>
      <c r="AK27" s="80">
        <f t="shared" si="17"/>
        <v>969.7</v>
      </c>
      <c r="AL27" s="11">
        <f t="shared" si="11"/>
        <v>90.78737945885219</v>
      </c>
      <c r="AM27" s="38">
        <v>194.6</v>
      </c>
      <c r="AN27" s="38">
        <v>417.7</v>
      </c>
      <c r="AO27" s="38">
        <v>172.5</v>
      </c>
      <c r="AP27" s="38">
        <v>339.1</v>
      </c>
      <c r="AQ27" s="38">
        <v>186.4</v>
      </c>
      <c r="AR27" s="38">
        <v>165.1</v>
      </c>
      <c r="AS27" s="65">
        <f t="shared" si="18"/>
        <v>4081.5000000000005</v>
      </c>
      <c r="AT27" s="65">
        <f t="shared" si="19"/>
        <v>2680.1</v>
      </c>
      <c r="AU27" s="11">
        <f t="shared" si="8"/>
        <v>65.6645840989832</v>
      </c>
      <c r="AV27" s="80">
        <f t="shared" si="20"/>
        <v>1401.4000000000005</v>
      </c>
      <c r="AW27" s="81">
        <f>C27+AS27-AT27</f>
        <v>-1191.8999999999996</v>
      </c>
      <c r="AX27" s="23"/>
      <c r="AY27" s="23"/>
      <c r="AZ27" s="78"/>
      <c r="BA27" s="39"/>
      <c r="BB27" s="40"/>
      <c r="BC27" s="40"/>
      <c r="BD27" s="39"/>
      <c r="BE27" s="40"/>
      <c r="BF27" s="40"/>
      <c r="BG27" s="40"/>
      <c r="BH27" s="40"/>
    </row>
    <row r="28" spans="1:60" ht="24.75" customHeight="1">
      <c r="A28" s="13" t="s">
        <v>32</v>
      </c>
      <c r="B28" s="41" t="s">
        <v>108</v>
      </c>
      <c r="C28" s="84">
        <v>-184.9</v>
      </c>
      <c r="D28" s="38">
        <v>46.4</v>
      </c>
      <c r="E28" s="38">
        <v>84</v>
      </c>
      <c r="F28" s="11">
        <f t="shared" si="23"/>
        <v>181.0344827586207</v>
      </c>
      <c r="G28" s="38">
        <v>52</v>
      </c>
      <c r="H28" s="90">
        <v>72.6</v>
      </c>
      <c r="I28" s="85">
        <f>H28/G28*100</f>
        <v>139.6153846153846</v>
      </c>
      <c r="J28" s="38">
        <v>58.4</v>
      </c>
      <c r="K28" s="90">
        <v>82</v>
      </c>
      <c r="L28" s="85">
        <f>K28/J28*100</f>
        <v>140.4109589041096</v>
      </c>
      <c r="M28" s="80">
        <f t="shared" si="12"/>
        <v>156.8</v>
      </c>
      <c r="N28" s="80">
        <f t="shared" si="13"/>
        <v>238.6</v>
      </c>
      <c r="O28" s="11">
        <f t="shared" si="9"/>
        <v>152.16836734693877</v>
      </c>
      <c r="P28" s="38">
        <v>107.2</v>
      </c>
      <c r="Q28" s="90">
        <v>63.7</v>
      </c>
      <c r="R28" s="85">
        <f>Q28/P28*100</f>
        <v>59.42164179104478</v>
      </c>
      <c r="S28" s="38">
        <v>381.5</v>
      </c>
      <c r="T28" s="90">
        <v>112.1</v>
      </c>
      <c r="U28" s="85">
        <f>T28/S28*100</f>
        <v>29.384010484927913</v>
      </c>
      <c r="V28" s="38">
        <v>227.7</v>
      </c>
      <c r="W28" s="90">
        <v>134.2</v>
      </c>
      <c r="X28" s="85">
        <f>W28/V28*100</f>
        <v>58.93719806763285</v>
      </c>
      <c r="Y28" s="80">
        <f t="shared" si="14"/>
        <v>716.4</v>
      </c>
      <c r="Z28" s="80">
        <f t="shared" si="15"/>
        <v>310</v>
      </c>
      <c r="AA28" s="11">
        <f t="shared" si="10"/>
        <v>43.271915131211614</v>
      </c>
      <c r="AB28" s="38">
        <v>197</v>
      </c>
      <c r="AC28" s="90">
        <v>169.3</v>
      </c>
      <c r="AD28" s="11">
        <f t="shared" si="6"/>
        <v>85.93908629441624</v>
      </c>
      <c r="AE28" s="38">
        <v>168.4</v>
      </c>
      <c r="AF28" s="90">
        <v>178.8</v>
      </c>
      <c r="AG28" s="85">
        <f>AF28/AE28*100</f>
        <v>106.17577197149643</v>
      </c>
      <c r="AH28" s="38">
        <v>172.3</v>
      </c>
      <c r="AI28" s="90">
        <v>161.7</v>
      </c>
      <c r="AJ28" s="80">
        <f t="shared" si="16"/>
        <v>537.7</v>
      </c>
      <c r="AK28" s="80">
        <f t="shared" si="17"/>
        <v>509.8</v>
      </c>
      <c r="AL28" s="11">
        <f t="shared" si="11"/>
        <v>94.81123302957039</v>
      </c>
      <c r="AM28" s="38">
        <v>163.6</v>
      </c>
      <c r="AN28" s="90">
        <v>183.6</v>
      </c>
      <c r="AO28" s="38">
        <v>129.6</v>
      </c>
      <c r="AP28" s="90">
        <v>149.8</v>
      </c>
      <c r="AQ28" s="38">
        <v>112.7</v>
      </c>
      <c r="AR28" s="90">
        <v>131.3</v>
      </c>
      <c r="AS28" s="65">
        <f t="shared" si="18"/>
        <v>1816.8</v>
      </c>
      <c r="AT28" s="65">
        <f t="shared" si="19"/>
        <v>1523.1</v>
      </c>
      <c r="AU28" s="11">
        <f t="shared" si="8"/>
        <v>83.834214002642</v>
      </c>
      <c r="AV28" s="80">
        <f t="shared" si="20"/>
        <v>293.70000000000005</v>
      </c>
      <c r="AW28" s="81">
        <f t="shared" si="21"/>
        <v>108.79999999999995</v>
      </c>
      <c r="AX28" s="23"/>
      <c r="AY28" s="23"/>
      <c r="AZ28" s="78"/>
      <c r="BA28" s="39"/>
      <c r="BB28" s="40"/>
      <c r="BC28" s="40"/>
      <c r="BD28" s="39"/>
      <c r="BE28" s="40"/>
      <c r="BF28" s="40"/>
      <c r="BG28" s="40"/>
      <c r="BH28" s="40"/>
    </row>
    <row r="29" spans="1:60" ht="24.75" customHeight="1">
      <c r="A29" s="13" t="s">
        <v>33</v>
      </c>
      <c r="B29" s="58" t="s">
        <v>109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0"/>
      <c r="N29" s="80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0"/>
      <c r="Z29" s="80"/>
      <c r="AA29" s="11"/>
      <c r="AB29" s="59"/>
      <c r="AC29" s="59"/>
      <c r="AD29" s="11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80"/>
      <c r="AW29" s="91"/>
      <c r="AX29" s="23"/>
      <c r="AY29" s="23"/>
      <c r="AZ29" s="78"/>
      <c r="BA29" s="39"/>
      <c r="BB29" s="40"/>
      <c r="BC29" s="40"/>
      <c r="BD29" s="39"/>
      <c r="BE29" s="40"/>
      <c r="BF29" s="40"/>
      <c r="BG29" s="40"/>
      <c r="BH29" s="40"/>
    </row>
    <row r="30" spans="1:60" ht="24.75" customHeight="1">
      <c r="A30" s="13" t="s">
        <v>34</v>
      </c>
      <c r="B30" s="15" t="s">
        <v>110</v>
      </c>
      <c r="C30" s="92">
        <v>-270.8</v>
      </c>
      <c r="D30" s="38">
        <v>19.1</v>
      </c>
      <c r="E30" s="38">
        <v>33.4</v>
      </c>
      <c r="F30" s="87">
        <f>E30/D30*100</f>
        <v>174.86910994764395</v>
      </c>
      <c r="G30" s="38">
        <v>37.3</v>
      </c>
      <c r="H30" s="38">
        <v>35.8</v>
      </c>
      <c r="I30" s="68">
        <f aca="true" t="shared" si="24" ref="I30:I37">H30/G30*100</f>
        <v>95.97855227882037</v>
      </c>
      <c r="J30" s="38">
        <v>37.4</v>
      </c>
      <c r="K30" s="38">
        <v>45.3</v>
      </c>
      <c r="L30" s="68">
        <f aca="true" t="shared" si="25" ref="L30:L45">K30/J30*100</f>
        <v>121.12299465240642</v>
      </c>
      <c r="M30" s="80">
        <f t="shared" si="12"/>
        <v>93.8</v>
      </c>
      <c r="N30" s="80">
        <f t="shared" si="13"/>
        <v>114.49999999999999</v>
      </c>
      <c r="O30" s="11">
        <f t="shared" si="9"/>
        <v>122.06823027718549</v>
      </c>
      <c r="P30" s="38">
        <v>43.6</v>
      </c>
      <c r="Q30" s="38">
        <v>45.2</v>
      </c>
      <c r="R30" s="129">
        <f aca="true" t="shared" si="26" ref="R30:R43">Q30/P30*100</f>
        <v>103.6697247706422</v>
      </c>
      <c r="S30" s="38">
        <v>187.9</v>
      </c>
      <c r="T30" s="38">
        <v>47.5</v>
      </c>
      <c r="U30" s="129">
        <f aca="true" t="shared" si="27" ref="U30:U43">T30/S30*100</f>
        <v>25.279403938265034</v>
      </c>
      <c r="V30" s="38">
        <v>80.9</v>
      </c>
      <c r="W30" s="38">
        <v>68.2</v>
      </c>
      <c r="X30" s="129">
        <f aca="true" t="shared" si="28" ref="X30:X43">W30/V30*100</f>
        <v>84.30160692212608</v>
      </c>
      <c r="Y30" s="80">
        <f aca="true" t="shared" si="29" ref="Y30:Y42">P30+S30+V30</f>
        <v>312.4</v>
      </c>
      <c r="Z30" s="80">
        <f aca="true" t="shared" si="30" ref="Z30:Z42">Q30+T30+W30</f>
        <v>160.9</v>
      </c>
      <c r="AA30" s="11">
        <f t="shared" si="10"/>
        <v>51.5044814340589</v>
      </c>
      <c r="AB30" s="38">
        <v>79.1</v>
      </c>
      <c r="AC30" s="38">
        <v>69.1</v>
      </c>
      <c r="AD30" s="11">
        <f t="shared" si="6"/>
        <v>87.35777496839444</v>
      </c>
      <c r="AE30" s="38">
        <v>83.6</v>
      </c>
      <c r="AF30" s="38">
        <v>79.4</v>
      </c>
      <c r="AG30" s="129">
        <f aca="true" t="shared" si="31" ref="AG30:AG43">AF30/AE30*100</f>
        <v>94.97607655502394</v>
      </c>
      <c r="AH30" s="38">
        <v>95.3</v>
      </c>
      <c r="AI30" s="38">
        <v>79.6</v>
      </c>
      <c r="AJ30" s="80">
        <f t="shared" si="16"/>
        <v>258</v>
      </c>
      <c r="AK30" s="80">
        <f t="shared" si="17"/>
        <v>228.1</v>
      </c>
      <c r="AL30" s="11">
        <f aca="true" t="shared" si="32" ref="AL30:AL45">AK30/AJ30*100</f>
        <v>88.41085271317829</v>
      </c>
      <c r="AM30" s="38">
        <v>101.8</v>
      </c>
      <c r="AN30" s="38">
        <v>84.6</v>
      </c>
      <c r="AO30" s="38">
        <v>27.1</v>
      </c>
      <c r="AP30" s="38">
        <v>75.9</v>
      </c>
      <c r="AQ30" s="38">
        <v>49.7</v>
      </c>
      <c r="AR30" s="38">
        <v>69.4</v>
      </c>
      <c r="AS30" s="65">
        <f t="shared" si="18"/>
        <v>842.8000000000001</v>
      </c>
      <c r="AT30" s="65">
        <f t="shared" si="19"/>
        <v>733.4</v>
      </c>
      <c r="AU30" s="11">
        <f t="shared" si="8"/>
        <v>87.01945894636923</v>
      </c>
      <c r="AV30" s="80">
        <f t="shared" si="20"/>
        <v>109.40000000000009</v>
      </c>
      <c r="AW30" s="81">
        <f t="shared" si="21"/>
        <v>-161.39999999999998</v>
      </c>
      <c r="AX30" s="23"/>
      <c r="AY30" s="23"/>
      <c r="AZ30" s="78"/>
      <c r="BA30" s="39"/>
      <c r="BB30" s="40"/>
      <c r="BC30" s="40"/>
      <c r="BD30" s="39"/>
      <c r="BE30" s="40"/>
      <c r="BF30" s="40"/>
      <c r="BG30" s="40"/>
      <c r="BH30" s="40"/>
    </row>
    <row r="31" spans="1:60" ht="24.75" customHeight="1">
      <c r="A31" s="13" t="s">
        <v>35</v>
      </c>
      <c r="B31" s="15" t="s">
        <v>111</v>
      </c>
      <c r="C31" s="79">
        <v>-1416.1</v>
      </c>
      <c r="D31" s="38">
        <v>-27.5</v>
      </c>
      <c r="E31" s="38">
        <v>50.6</v>
      </c>
      <c r="F31" s="87">
        <f>E31/D31*100</f>
        <v>-184</v>
      </c>
      <c r="G31" s="38">
        <v>-26</v>
      </c>
      <c r="H31" s="38">
        <v>56.4</v>
      </c>
      <c r="I31" s="68">
        <f t="shared" si="24"/>
        <v>-216.9230769230769</v>
      </c>
      <c r="J31" s="38">
        <v>-32.5</v>
      </c>
      <c r="K31" s="38">
        <v>58.1</v>
      </c>
      <c r="L31" s="68">
        <f t="shared" si="25"/>
        <v>-178.76923076923077</v>
      </c>
      <c r="M31" s="80">
        <f t="shared" si="12"/>
        <v>-86</v>
      </c>
      <c r="N31" s="80">
        <f t="shared" si="13"/>
        <v>165.1</v>
      </c>
      <c r="O31" s="11">
        <f t="shared" si="9"/>
        <v>-191.97674418604652</v>
      </c>
      <c r="P31" s="38">
        <v>-13.4</v>
      </c>
      <c r="Q31" s="38">
        <v>44.9</v>
      </c>
      <c r="R31" s="129">
        <f t="shared" si="26"/>
        <v>-335.07462686567163</v>
      </c>
      <c r="S31" s="38">
        <v>315.5</v>
      </c>
      <c r="T31" s="38">
        <v>59.7</v>
      </c>
      <c r="U31" s="129">
        <f t="shared" si="27"/>
        <v>18.92234548335975</v>
      </c>
      <c r="V31" s="38">
        <v>169.6</v>
      </c>
      <c r="W31" s="38">
        <v>69.7</v>
      </c>
      <c r="X31" s="129">
        <f t="shared" si="28"/>
        <v>41.09669811320755</v>
      </c>
      <c r="Y31" s="80">
        <f t="shared" si="29"/>
        <v>471.70000000000005</v>
      </c>
      <c r="Z31" s="80">
        <f t="shared" si="30"/>
        <v>174.3</v>
      </c>
      <c r="AA31" s="11">
        <f t="shared" si="10"/>
        <v>36.95145219419122</v>
      </c>
      <c r="AB31" s="38">
        <v>154.5</v>
      </c>
      <c r="AC31" s="38">
        <v>98.7</v>
      </c>
      <c r="AD31" s="11">
        <f t="shared" si="6"/>
        <v>63.88349514563107</v>
      </c>
      <c r="AE31" s="38">
        <v>163.8</v>
      </c>
      <c r="AF31" s="38">
        <v>102.8</v>
      </c>
      <c r="AG31" s="129">
        <f t="shared" si="31"/>
        <v>62.75946275946276</v>
      </c>
      <c r="AH31" s="38">
        <v>162.7</v>
      </c>
      <c r="AI31" s="38">
        <v>105.9</v>
      </c>
      <c r="AJ31" s="80">
        <f t="shared" si="16"/>
        <v>481</v>
      </c>
      <c r="AK31" s="80">
        <f t="shared" si="17"/>
        <v>307.4</v>
      </c>
      <c r="AL31" s="11">
        <f t="shared" si="32"/>
        <v>63.908523908523904</v>
      </c>
      <c r="AM31" s="38">
        <v>161.9</v>
      </c>
      <c r="AN31" s="38">
        <v>104.2</v>
      </c>
      <c r="AO31" s="38">
        <v>9.6</v>
      </c>
      <c r="AP31" s="38">
        <v>95.9</v>
      </c>
      <c r="AQ31" s="38">
        <v>20</v>
      </c>
      <c r="AR31" s="38">
        <v>103.6</v>
      </c>
      <c r="AS31" s="65">
        <f t="shared" si="18"/>
        <v>1058.2</v>
      </c>
      <c r="AT31" s="65">
        <f t="shared" si="19"/>
        <v>950.5</v>
      </c>
      <c r="AU31" s="11">
        <f t="shared" si="8"/>
        <v>89.82233982233981</v>
      </c>
      <c r="AV31" s="80">
        <f t="shared" si="20"/>
        <v>107.70000000000005</v>
      </c>
      <c r="AW31" s="81">
        <f t="shared" si="21"/>
        <v>-1308.3999999999999</v>
      </c>
      <c r="AX31" s="23"/>
      <c r="AY31" s="23"/>
      <c r="AZ31" s="78"/>
      <c r="BA31" s="39"/>
      <c r="BB31" s="40"/>
      <c r="BC31" s="40"/>
      <c r="BD31" s="39"/>
      <c r="BE31" s="40"/>
      <c r="BF31" s="40"/>
      <c r="BG31" s="40"/>
      <c r="BH31" s="40"/>
    </row>
    <row r="32" spans="1:60" ht="24.75" customHeight="1">
      <c r="A32" s="13" t="s">
        <v>36</v>
      </c>
      <c r="B32" s="15" t="s">
        <v>112</v>
      </c>
      <c r="C32" s="79"/>
      <c r="D32" s="90"/>
      <c r="E32" s="38"/>
      <c r="F32" s="87"/>
      <c r="G32" s="38"/>
      <c r="H32" s="38"/>
      <c r="I32" s="68"/>
      <c r="J32" s="38"/>
      <c r="K32" s="38"/>
      <c r="L32" s="68"/>
      <c r="M32" s="80"/>
      <c r="N32" s="80"/>
      <c r="O32" s="11"/>
      <c r="P32" s="38"/>
      <c r="Q32" s="38"/>
      <c r="R32" s="129"/>
      <c r="S32" s="38"/>
      <c r="T32" s="38"/>
      <c r="U32" s="129"/>
      <c r="V32" s="38"/>
      <c r="W32" s="38"/>
      <c r="X32" s="129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80"/>
      <c r="AW32" s="81"/>
      <c r="AX32" s="23"/>
      <c r="AY32" s="23"/>
      <c r="AZ32" s="78"/>
      <c r="BA32" s="39"/>
      <c r="BB32" s="40"/>
      <c r="BC32" s="40"/>
      <c r="BD32" s="39"/>
      <c r="BE32" s="40"/>
      <c r="BF32" s="40"/>
      <c r="BG32" s="40"/>
      <c r="BH32" s="40"/>
    </row>
    <row r="33" spans="1:60" ht="27" customHeight="1">
      <c r="A33" s="13"/>
      <c r="B33" s="69" t="s">
        <v>158</v>
      </c>
      <c r="C33" s="79">
        <v>2771.1</v>
      </c>
      <c r="D33" s="90">
        <v>885.6</v>
      </c>
      <c r="E33" s="38">
        <v>973.1</v>
      </c>
      <c r="F33" s="60">
        <f>E33/D33*100</f>
        <v>109.88030713640468</v>
      </c>
      <c r="G33" s="38">
        <v>747.4</v>
      </c>
      <c r="H33" s="38">
        <v>765</v>
      </c>
      <c r="I33" s="11">
        <f t="shared" si="24"/>
        <v>102.35483007760236</v>
      </c>
      <c r="J33" s="38">
        <v>833.4</v>
      </c>
      <c r="K33" s="38">
        <v>796.8</v>
      </c>
      <c r="L33" s="11">
        <f t="shared" si="25"/>
        <v>95.60835133189345</v>
      </c>
      <c r="M33" s="80">
        <f t="shared" si="12"/>
        <v>2466.4</v>
      </c>
      <c r="N33" s="80">
        <f t="shared" si="13"/>
        <v>2534.8999999999996</v>
      </c>
      <c r="O33" s="11">
        <f t="shared" si="9"/>
        <v>102.7773272786247</v>
      </c>
      <c r="P33" s="38">
        <v>941.2</v>
      </c>
      <c r="Q33" s="38">
        <v>891.7</v>
      </c>
      <c r="R33" s="11">
        <f t="shared" si="26"/>
        <v>94.74075648108797</v>
      </c>
      <c r="S33" s="38">
        <v>2448.4</v>
      </c>
      <c r="T33" s="38">
        <v>475.4</v>
      </c>
      <c r="U33" s="11">
        <f t="shared" si="27"/>
        <v>19.416761966998855</v>
      </c>
      <c r="V33" s="38">
        <v>2905.2</v>
      </c>
      <c r="W33" s="38">
        <v>1054.9</v>
      </c>
      <c r="X33" s="11">
        <f t="shared" si="28"/>
        <v>36.310753132314474</v>
      </c>
      <c r="Y33" s="80">
        <f t="shared" si="29"/>
        <v>6294.8</v>
      </c>
      <c r="Z33" s="80">
        <f t="shared" si="30"/>
        <v>2422</v>
      </c>
      <c r="AA33" s="11">
        <f t="shared" si="10"/>
        <v>38.47620257990722</v>
      </c>
      <c r="AB33" s="38">
        <v>1651.5</v>
      </c>
      <c r="AC33" s="38">
        <v>1746.4</v>
      </c>
      <c r="AD33" s="11">
        <f t="shared" si="6"/>
        <v>105.74629125037845</v>
      </c>
      <c r="AE33" s="38">
        <v>1583.6</v>
      </c>
      <c r="AF33" s="38">
        <v>1650.4</v>
      </c>
      <c r="AG33" s="11">
        <f t="shared" si="31"/>
        <v>104.2182369285173</v>
      </c>
      <c r="AH33" s="38">
        <v>1583.6</v>
      </c>
      <c r="AI33" s="38">
        <v>2084.2</v>
      </c>
      <c r="AJ33" s="80">
        <f t="shared" si="16"/>
        <v>4818.7</v>
      </c>
      <c r="AK33" s="80">
        <f t="shared" si="17"/>
        <v>5481</v>
      </c>
      <c r="AL33" s="11">
        <f t="shared" si="32"/>
        <v>113.7443708884139</v>
      </c>
      <c r="AM33" s="38">
        <v>1434.2</v>
      </c>
      <c r="AN33" s="38">
        <v>1712.1</v>
      </c>
      <c r="AO33" s="38">
        <v>2007.5</v>
      </c>
      <c r="AP33" s="38">
        <v>1586.6</v>
      </c>
      <c r="AQ33" s="38">
        <v>1342.7</v>
      </c>
      <c r="AR33" s="38">
        <v>1115.3</v>
      </c>
      <c r="AS33" s="65">
        <f>M33+Y33+AJ33+AM33+AO33+AQ33</f>
        <v>18364.300000000003</v>
      </c>
      <c r="AT33" s="65">
        <f>N33+Z33+AK33+AN33+AP33+AR33</f>
        <v>14851.9</v>
      </c>
      <c r="AU33" s="11">
        <f t="shared" si="8"/>
        <v>80.87376050271449</v>
      </c>
      <c r="AV33" s="80">
        <f t="shared" si="20"/>
        <v>3512.4000000000033</v>
      </c>
      <c r="AW33" s="81">
        <f t="shared" si="21"/>
        <v>6283.500000000002</v>
      </c>
      <c r="AX33" s="23"/>
      <c r="AY33" s="23"/>
      <c r="AZ33" s="78"/>
      <c r="BA33" s="39"/>
      <c r="BB33" s="40"/>
      <c r="BC33" s="40"/>
      <c r="BD33" s="39"/>
      <c r="BE33" s="40"/>
      <c r="BF33" s="40"/>
      <c r="BG33" s="40"/>
      <c r="BH33" s="40"/>
    </row>
    <row r="34" spans="1:60" ht="30.75" customHeight="1">
      <c r="A34" s="13"/>
      <c r="B34" s="136" t="s">
        <v>157</v>
      </c>
      <c r="C34" s="36">
        <v>468.6</v>
      </c>
      <c r="D34" s="90">
        <v>291.4</v>
      </c>
      <c r="E34" s="38">
        <v>414.1</v>
      </c>
      <c r="F34" s="60">
        <f>E34/D34*100</f>
        <v>142.10706932052165</v>
      </c>
      <c r="G34" s="38">
        <v>200.6</v>
      </c>
      <c r="H34" s="38">
        <v>241.5</v>
      </c>
      <c r="I34" s="11">
        <f t="shared" si="24"/>
        <v>120.38883349950149</v>
      </c>
      <c r="J34" s="38">
        <v>247.4</v>
      </c>
      <c r="K34" s="38">
        <v>236.3</v>
      </c>
      <c r="L34" s="11">
        <f t="shared" si="25"/>
        <v>95.51333872271626</v>
      </c>
      <c r="M34" s="80">
        <f t="shared" si="12"/>
        <v>739.4</v>
      </c>
      <c r="N34" s="80">
        <f t="shared" si="13"/>
        <v>891.9000000000001</v>
      </c>
      <c r="O34" s="11">
        <f t="shared" si="9"/>
        <v>120.62483094400866</v>
      </c>
      <c r="P34" s="38">
        <v>265.11798999999996</v>
      </c>
      <c r="Q34" s="38">
        <v>217.21434</v>
      </c>
      <c r="R34" s="11">
        <f t="shared" si="26"/>
        <v>81.93119599315007</v>
      </c>
      <c r="S34" s="38">
        <v>816.59173</v>
      </c>
      <c r="T34" s="38">
        <v>138.21372</v>
      </c>
      <c r="U34" s="11">
        <f t="shared" si="27"/>
        <v>16.92568206636136</v>
      </c>
      <c r="V34" s="38">
        <v>376.6967</v>
      </c>
      <c r="W34" s="38">
        <v>261.432</v>
      </c>
      <c r="X34" s="11">
        <f t="shared" si="28"/>
        <v>69.40119199345256</v>
      </c>
      <c r="Y34" s="80">
        <f>P34+S34+V34</f>
        <v>1458.4064199999998</v>
      </c>
      <c r="Z34" s="80">
        <f>Q34+T34+W34</f>
        <v>616.86006</v>
      </c>
      <c r="AA34" s="11">
        <f t="shared" si="10"/>
        <v>42.29685576946377</v>
      </c>
      <c r="AB34" s="38">
        <v>369.24435</v>
      </c>
      <c r="AC34" s="38">
        <v>416.7</v>
      </c>
      <c r="AD34" s="11">
        <f t="shared" si="6"/>
        <v>112.85209915872782</v>
      </c>
      <c r="AE34" s="38">
        <v>428.79821000000004</v>
      </c>
      <c r="AF34" s="38">
        <v>417.80414</v>
      </c>
      <c r="AG34" s="11">
        <f t="shared" si="31"/>
        <v>97.4360737186846</v>
      </c>
      <c r="AH34" s="38">
        <v>402.38915000000003</v>
      </c>
      <c r="AI34" s="38">
        <v>464.50882</v>
      </c>
      <c r="AJ34" s="80">
        <f t="shared" si="16"/>
        <v>1200.43171</v>
      </c>
      <c r="AK34" s="80">
        <f t="shared" si="17"/>
        <v>1299.01296</v>
      </c>
      <c r="AL34" s="11">
        <f>AK34/AJ34*100</f>
        <v>108.21214977734968</v>
      </c>
      <c r="AM34" s="38">
        <v>475.2</v>
      </c>
      <c r="AN34" s="38">
        <v>444.2</v>
      </c>
      <c r="AO34" s="38">
        <v>317.5</v>
      </c>
      <c r="AP34" s="38">
        <v>385.8</v>
      </c>
      <c r="AQ34" s="38">
        <v>356.3</v>
      </c>
      <c r="AR34" s="38">
        <v>246.6</v>
      </c>
      <c r="AS34" s="65">
        <f>M34+Y34+AJ34+AM34+AO34+AQ34</f>
        <v>4547.23813</v>
      </c>
      <c r="AT34" s="65">
        <f>N34+Z34+AK34+AN34+AP34+AR34</f>
        <v>3884.37302</v>
      </c>
      <c r="AU34" s="11">
        <f t="shared" si="8"/>
        <v>85.42268755122355</v>
      </c>
      <c r="AV34" s="80">
        <f t="shared" si="20"/>
        <v>662.8651099999997</v>
      </c>
      <c r="AW34" s="81">
        <f t="shared" si="21"/>
        <v>1131.46511</v>
      </c>
      <c r="AX34" s="23"/>
      <c r="AY34" s="23"/>
      <c r="AZ34" s="78"/>
      <c r="BA34" s="39"/>
      <c r="BB34" s="40"/>
      <c r="BC34" s="40"/>
      <c r="BD34" s="39"/>
      <c r="BE34" s="40"/>
      <c r="BF34" s="40"/>
      <c r="BG34" s="40"/>
      <c r="BH34" s="40"/>
    </row>
    <row r="35" spans="1:60" ht="24.75" customHeight="1">
      <c r="A35" s="13" t="s">
        <v>37</v>
      </c>
      <c r="B35" s="15" t="s">
        <v>113</v>
      </c>
      <c r="C35" s="36">
        <v>1218.8</v>
      </c>
      <c r="D35" s="37">
        <v>315.4</v>
      </c>
      <c r="E35" s="37">
        <v>269.1</v>
      </c>
      <c r="F35" s="11">
        <f>E35/D35*100</f>
        <v>85.32022828154724</v>
      </c>
      <c r="G35" s="38">
        <v>297.4</v>
      </c>
      <c r="H35" s="38">
        <v>262.3</v>
      </c>
      <c r="I35" s="11">
        <f t="shared" si="24"/>
        <v>88.19771351714863</v>
      </c>
      <c r="J35" s="38">
        <v>284.7</v>
      </c>
      <c r="K35" s="38">
        <v>303.5</v>
      </c>
      <c r="L35" s="11">
        <f t="shared" si="25"/>
        <v>106.60344221988058</v>
      </c>
      <c r="M35" s="80">
        <f t="shared" si="12"/>
        <v>897.5</v>
      </c>
      <c r="N35" s="80">
        <f t="shared" si="13"/>
        <v>834.9000000000001</v>
      </c>
      <c r="O35" s="11">
        <f t="shared" si="9"/>
        <v>93.02506963788302</v>
      </c>
      <c r="P35" s="38">
        <v>399.8</v>
      </c>
      <c r="Q35" s="38">
        <v>308.1</v>
      </c>
      <c r="R35" s="11">
        <f t="shared" si="26"/>
        <v>77.06353176588294</v>
      </c>
      <c r="S35" s="38">
        <v>741.6</v>
      </c>
      <c r="T35" s="38">
        <v>300.9</v>
      </c>
      <c r="U35" s="11">
        <f t="shared" si="27"/>
        <v>40.57443365695793</v>
      </c>
      <c r="V35" s="38">
        <v>783.1</v>
      </c>
      <c r="W35" s="38">
        <v>455.2</v>
      </c>
      <c r="X35" s="11">
        <f t="shared" si="28"/>
        <v>58.12795300727876</v>
      </c>
      <c r="Y35" s="80">
        <f t="shared" si="29"/>
        <v>1924.5</v>
      </c>
      <c r="Z35" s="80">
        <f t="shared" si="30"/>
        <v>1064.2</v>
      </c>
      <c r="AA35" s="11">
        <f aca="true" t="shared" si="33" ref="AA35:AA45">Z35/Y35*100</f>
        <v>55.29747986489998</v>
      </c>
      <c r="AB35" s="38">
        <v>615.9</v>
      </c>
      <c r="AC35" s="38">
        <v>521.9</v>
      </c>
      <c r="AD35" s="11">
        <f aca="true" t="shared" si="34" ref="AD35:AD43">AC35/AB35*100</f>
        <v>84.73778210748499</v>
      </c>
      <c r="AE35" s="38">
        <v>639.6</v>
      </c>
      <c r="AF35" s="38">
        <v>584.9</v>
      </c>
      <c r="AG35" s="11">
        <f t="shared" si="31"/>
        <v>91.44777986241401</v>
      </c>
      <c r="AH35" s="38">
        <v>577</v>
      </c>
      <c r="AI35" s="38">
        <v>584.3</v>
      </c>
      <c r="AJ35" s="80">
        <f t="shared" si="16"/>
        <v>1832.5</v>
      </c>
      <c r="AK35" s="80">
        <f t="shared" si="17"/>
        <v>1691.1</v>
      </c>
      <c r="AL35" s="11">
        <f t="shared" si="32"/>
        <v>92.28376534788539</v>
      </c>
      <c r="AM35" s="38">
        <v>544.2</v>
      </c>
      <c r="AN35" s="38">
        <v>602.4</v>
      </c>
      <c r="AO35" s="38">
        <v>425.8</v>
      </c>
      <c r="AP35" s="38">
        <v>503.2</v>
      </c>
      <c r="AQ35" s="38">
        <v>409.8</v>
      </c>
      <c r="AR35" s="38">
        <v>452.4</v>
      </c>
      <c r="AS35" s="65">
        <f>M35+Y35+AJ35+AM35+AO35+AQ35</f>
        <v>6034.3</v>
      </c>
      <c r="AT35" s="65">
        <f>N35+Z35+AK35+AN35+AP35+AR35</f>
        <v>5148.199999999999</v>
      </c>
      <c r="AU35" s="11">
        <f t="shared" si="8"/>
        <v>85.31561241569028</v>
      </c>
      <c r="AV35" s="80">
        <f t="shared" si="20"/>
        <v>886.1000000000013</v>
      </c>
      <c r="AW35" s="81">
        <f t="shared" si="21"/>
        <v>2104.9000000000015</v>
      </c>
      <c r="AX35" s="23"/>
      <c r="AY35" s="23"/>
      <c r="AZ35" s="78"/>
      <c r="BA35" s="39"/>
      <c r="BB35" s="40"/>
      <c r="BC35" s="40"/>
      <c r="BD35" s="39"/>
      <c r="BE35" s="40"/>
      <c r="BF35" s="40"/>
      <c r="BG35" s="40"/>
      <c r="BH35" s="40"/>
    </row>
    <row r="36" spans="1:60" ht="24.75" customHeight="1">
      <c r="A36" s="13" t="s">
        <v>38</v>
      </c>
      <c r="B36" s="41" t="s">
        <v>114</v>
      </c>
      <c r="C36" s="82">
        <f>-955.9+(-343.9)</f>
        <v>-1299.8</v>
      </c>
      <c r="D36" s="72">
        <v>-54.3</v>
      </c>
      <c r="E36" s="72">
        <v>78.1</v>
      </c>
      <c r="F36" s="11">
        <f>E36/D36*100</f>
        <v>-143.8305709023941</v>
      </c>
      <c r="G36" s="38">
        <v>-59</v>
      </c>
      <c r="H36" s="38">
        <v>82.2</v>
      </c>
      <c r="I36" s="11">
        <f t="shared" si="24"/>
        <v>-139.32203389830508</v>
      </c>
      <c r="J36" s="38">
        <v>-37.6</v>
      </c>
      <c r="K36" s="38">
        <v>84.6</v>
      </c>
      <c r="L36" s="11">
        <f t="shared" si="25"/>
        <v>-224.99999999999994</v>
      </c>
      <c r="M36" s="80">
        <f t="shared" si="12"/>
        <v>-150.9</v>
      </c>
      <c r="N36" s="80">
        <f t="shared" si="13"/>
        <v>244.9</v>
      </c>
      <c r="O36" s="11">
        <f t="shared" si="9"/>
        <v>-162.29290921139827</v>
      </c>
      <c r="P36" s="38">
        <v>-82.7</v>
      </c>
      <c r="Q36" s="38">
        <v>75.1</v>
      </c>
      <c r="R36" s="11">
        <f t="shared" si="26"/>
        <v>-90.81015719467955</v>
      </c>
      <c r="S36" s="38">
        <v>310.6</v>
      </c>
      <c r="T36" s="38">
        <v>101.4</v>
      </c>
      <c r="U36" s="11">
        <f t="shared" si="27"/>
        <v>32.646490663232456</v>
      </c>
      <c r="V36" s="38">
        <v>1356.4</v>
      </c>
      <c r="W36" s="38">
        <v>146.2</v>
      </c>
      <c r="X36" s="11">
        <f t="shared" si="28"/>
        <v>10.7785314066647</v>
      </c>
      <c r="Y36" s="80">
        <f t="shared" si="29"/>
        <v>1584.3000000000002</v>
      </c>
      <c r="Z36" s="80">
        <f t="shared" si="30"/>
        <v>322.7</v>
      </c>
      <c r="AA36" s="11">
        <f t="shared" si="33"/>
        <v>20.36861705485072</v>
      </c>
      <c r="AB36" s="38">
        <v>271.9</v>
      </c>
      <c r="AC36" s="38">
        <v>281.9</v>
      </c>
      <c r="AD36" s="11">
        <f t="shared" si="34"/>
        <v>103.67782272894446</v>
      </c>
      <c r="AE36" s="38">
        <v>334.1</v>
      </c>
      <c r="AF36" s="38">
        <v>297.3</v>
      </c>
      <c r="AG36" s="11">
        <f t="shared" si="31"/>
        <v>88.98533373241544</v>
      </c>
      <c r="AH36" s="38">
        <v>215.7</v>
      </c>
      <c r="AI36" s="38">
        <v>312.6</v>
      </c>
      <c r="AJ36" s="80">
        <f t="shared" si="16"/>
        <v>821.7</v>
      </c>
      <c r="AK36" s="80">
        <f t="shared" si="17"/>
        <v>891.8000000000001</v>
      </c>
      <c r="AL36" s="11">
        <f t="shared" si="32"/>
        <v>108.53109407326275</v>
      </c>
      <c r="AM36" s="38">
        <v>319.1</v>
      </c>
      <c r="AN36" s="38">
        <v>335.9</v>
      </c>
      <c r="AO36" s="38">
        <v>11.7</v>
      </c>
      <c r="AP36" s="38">
        <v>266.2</v>
      </c>
      <c r="AQ36" s="38">
        <v>85.3</v>
      </c>
      <c r="AR36" s="38">
        <v>214.4</v>
      </c>
      <c r="AS36" s="65">
        <f t="shared" si="18"/>
        <v>2671.2000000000003</v>
      </c>
      <c r="AT36" s="65">
        <f t="shared" si="19"/>
        <v>2275.9</v>
      </c>
      <c r="AU36" s="11">
        <f t="shared" si="8"/>
        <v>85.20140760706798</v>
      </c>
      <c r="AV36" s="80">
        <f t="shared" si="20"/>
        <v>395.3000000000002</v>
      </c>
      <c r="AW36" s="81">
        <f t="shared" si="21"/>
        <v>-904.4999999999998</v>
      </c>
      <c r="AX36" s="23"/>
      <c r="AY36" s="23"/>
      <c r="AZ36" s="78"/>
      <c r="BA36" s="39"/>
      <c r="BB36" s="40"/>
      <c r="BC36" s="40"/>
      <c r="BD36" s="39"/>
      <c r="BE36" s="40"/>
      <c r="BF36" s="40"/>
      <c r="BG36" s="40"/>
      <c r="BH36" s="40"/>
    </row>
    <row r="37" spans="1:60" ht="24.75" customHeight="1">
      <c r="A37" s="13" t="s">
        <v>39</v>
      </c>
      <c r="B37" s="15" t="s">
        <v>115</v>
      </c>
      <c r="C37" s="82">
        <v>-3502.2</v>
      </c>
      <c r="D37" s="38">
        <v>359.7</v>
      </c>
      <c r="E37" s="38">
        <v>710.9</v>
      </c>
      <c r="F37" s="11">
        <f aca="true" t="shared" si="35" ref="F37:F43">E37/D37*100</f>
        <v>197.6369196552683</v>
      </c>
      <c r="G37" s="38">
        <v>218.5</v>
      </c>
      <c r="H37" s="38">
        <v>690.7</v>
      </c>
      <c r="I37" s="11">
        <f t="shared" si="24"/>
        <v>316.1098398169337</v>
      </c>
      <c r="J37" s="38">
        <v>258.9</v>
      </c>
      <c r="K37" s="38">
        <v>704.6</v>
      </c>
      <c r="L37" s="11">
        <f t="shared" si="25"/>
        <v>272.1514098107378</v>
      </c>
      <c r="M37" s="80">
        <f t="shared" si="12"/>
        <v>837.1</v>
      </c>
      <c r="N37" s="80">
        <f t="shared" si="13"/>
        <v>2106.2</v>
      </c>
      <c r="O37" s="11">
        <f t="shared" si="9"/>
        <v>251.60673754629076</v>
      </c>
      <c r="P37" s="38">
        <v>546.9</v>
      </c>
      <c r="Q37" s="38">
        <v>639</v>
      </c>
      <c r="R37" s="11">
        <f t="shared" si="26"/>
        <v>116.84037301151949</v>
      </c>
      <c r="S37" s="38">
        <f>1924.8+3849.4</f>
        <v>5774.2</v>
      </c>
      <c r="T37" s="38">
        <v>828.7</v>
      </c>
      <c r="U37" s="11">
        <f t="shared" si="27"/>
        <v>14.351771673998131</v>
      </c>
      <c r="V37" s="38">
        <v>2162.9</v>
      </c>
      <c r="W37" s="38">
        <v>983.6</v>
      </c>
      <c r="X37" s="11">
        <f t="shared" si="28"/>
        <v>45.47598132137408</v>
      </c>
      <c r="Y37" s="80">
        <f t="shared" si="29"/>
        <v>8484</v>
      </c>
      <c r="Z37" s="80">
        <f t="shared" si="30"/>
        <v>2451.3</v>
      </c>
      <c r="AA37" s="11">
        <f t="shared" si="33"/>
        <v>28.893210749646396</v>
      </c>
      <c r="AB37" s="38">
        <v>2105.5</v>
      </c>
      <c r="AC37" s="38">
        <v>1644</v>
      </c>
      <c r="AD37" s="11">
        <f t="shared" si="34"/>
        <v>78.08121586321539</v>
      </c>
      <c r="AE37" s="38">
        <v>2033.6</v>
      </c>
      <c r="AF37" s="38">
        <v>2013.2</v>
      </c>
      <c r="AG37" s="11">
        <f t="shared" si="31"/>
        <v>98.99685287175453</v>
      </c>
      <c r="AH37" s="38">
        <v>2160.8</v>
      </c>
      <c r="AI37" s="38">
        <v>1942.9</v>
      </c>
      <c r="AJ37" s="80">
        <f t="shared" si="16"/>
        <v>6299.900000000001</v>
      </c>
      <c r="AK37" s="80">
        <f t="shared" si="17"/>
        <v>5600.1</v>
      </c>
      <c r="AL37" s="11">
        <f t="shared" si="32"/>
        <v>88.89188717281226</v>
      </c>
      <c r="AM37" s="38">
        <v>2023.2</v>
      </c>
      <c r="AN37" s="38">
        <v>2083.9</v>
      </c>
      <c r="AO37" s="38">
        <v>1136.1</v>
      </c>
      <c r="AP37" s="38">
        <v>1702.8</v>
      </c>
      <c r="AQ37" s="38">
        <v>888.6</v>
      </c>
      <c r="AR37" s="38">
        <v>1405.8</v>
      </c>
      <c r="AS37" s="65">
        <f t="shared" si="18"/>
        <v>19668.899999999998</v>
      </c>
      <c r="AT37" s="65">
        <f t="shared" si="19"/>
        <v>15350.099999999999</v>
      </c>
      <c r="AU37" s="11">
        <f t="shared" si="8"/>
        <v>78.04249347955403</v>
      </c>
      <c r="AV37" s="80">
        <f t="shared" si="20"/>
        <v>4318.799999999999</v>
      </c>
      <c r="AW37" s="81">
        <f t="shared" si="21"/>
        <v>816.5999999999985</v>
      </c>
      <c r="AX37" s="23"/>
      <c r="AY37" s="23"/>
      <c r="AZ37" s="78"/>
      <c r="BA37" s="39"/>
      <c r="BB37" s="40"/>
      <c r="BC37" s="40"/>
      <c r="BD37" s="39"/>
      <c r="BE37" s="40"/>
      <c r="BF37" s="40"/>
      <c r="BG37" s="40"/>
      <c r="BH37" s="40"/>
    </row>
    <row r="38" spans="1:60" ht="24.75" customHeight="1">
      <c r="A38" s="13" t="s">
        <v>40</v>
      </c>
      <c r="B38" s="15" t="s">
        <v>116</v>
      </c>
      <c r="C38" s="82">
        <f>-4888.7+(-91.1)</f>
        <v>-4979.8</v>
      </c>
      <c r="D38" s="38">
        <v>117.1</v>
      </c>
      <c r="E38" s="38">
        <v>572.9</v>
      </c>
      <c r="F38" s="11">
        <f t="shared" si="35"/>
        <v>489.23996584116145</v>
      </c>
      <c r="G38" s="38">
        <v>180.5</v>
      </c>
      <c r="H38" s="38">
        <v>581.6</v>
      </c>
      <c r="I38" s="11">
        <f aca="true" t="shared" si="36" ref="I38:I43">H38/G38*100</f>
        <v>322.21606648199446</v>
      </c>
      <c r="J38" s="38">
        <v>182.3</v>
      </c>
      <c r="K38" s="38">
        <v>674.2</v>
      </c>
      <c r="L38" s="11">
        <f t="shared" si="25"/>
        <v>369.8299506308283</v>
      </c>
      <c r="M38" s="80">
        <f t="shared" si="12"/>
        <v>479.90000000000003</v>
      </c>
      <c r="N38" s="80">
        <f t="shared" si="13"/>
        <v>1828.7</v>
      </c>
      <c r="O38" s="11">
        <f t="shared" si="9"/>
        <v>381.0585538653886</v>
      </c>
      <c r="P38" s="38">
        <v>1086.7</v>
      </c>
      <c r="Q38" s="38">
        <v>648.3</v>
      </c>
      <c r="R38" s="11">
        <f t="shared" si="26"/>
        <v>59.65767921229409</v>
      </c>
      <c r="S38" s="38">
        <v>5760.7</v>
      </c>
      <c r="T38" s="38">
        <v>906.3</v>
      </c>
      <c r="U38" s="11">
        <f t="shared" si="27"/>
        <v>15.732463068724286</v>
      </c>
      <c r="V38" s="38">
        <v>1650.1</v>
      </c>
      <c r="W38" s="38">
        <v>974</v>
      </c>
      <c r="X38" s="11">
        <f t="shared" si="28"/>
        <v>59.02672565299073</v>
      </c>
      <c r="Y38" s="80">
        <f t="shared" si="29"/>
        <v>8497.5</v>
      </c>
      <c r="Z38" s="80">
        <f t="shared" si="30"/>
        <v>2528.6</v>
      </c>
      <c r="AA38" s="11">
        <f t="shared" si="33"/>
        <v>29.75698734922036</v>
      </c>
      <c r="AB38" s="38">
        <v>1471.2</v>
      </c>
      <c r="AC38" s="38">
        <v>1164.7</v>
      </c>
      <c r="AD38" s="11">
        <f t="shared" si="34"/>
        <v>79.16666666666666</v>
      </c>
      <c r="AE38" s="38">
        <v>1378.4</v>
      </c>
      <c r="AF38" s="38">
        <v>1249.3</v>
      </c>
      <c r="AG38" s="11">
        <f t="shared" si="31"/>
        <v>90.63406848520023</v>
      </c>
      <c r="AH38" s="38">
        <v>1358.7</v>
      </c>
      <c r="AI38" s="38">
        <v>1202</v>
      </c>
      <c r="AJ38" s="80">
        <f t="shared" si="16"/>
        <v>4208.3</v>
      </c>
      <c r="AK38" s="80">
        <f t="shared" si="17"/>
        <v>3616</v>
      </c>
      <c r="AL38" s="11">
        <f t="shared" si="32"/>
        <v>85.9254330727372</v>
      </c>
      <c r="AM38" s="38">
        <v>1831.3</v>
      </c>
      <c r="AN38" s="38">
        <v>1243.6</v>
      </c>
      <c r="AO38" s="38">
        <v>1043.5</v>
      </c>
      <c r="AP38" s="38">
        <v>1184.2</v>
      </c>
      <c r="AQ38" s="38">
        <v>1060.4</v>
      </c>
      <c r="AR38" s="38">
        <v>1152.2</v>
      </c>
      <c r="AS38" s="65">
        <f>M38+Y38+AJ38+AM38+AO38+AQ38</f>
        <v>17120.9</v>
      </c>
      <c r="AT38" s="65">
        <f t="shared" si="19"/>
        <v>11553.300000000001</v>
      </c>
      <c r="AU38" s="11">
        <f t="shared" si="8"/>
        <v>67.48068150622923</v>
      </c>
      <c r="AV38" s="80">
        <f t="shared" si="20"/>
        <v>5567.6</v>
      </c>
      <c r="AW38" s="81">
        <f t="shared" si="21"/>
        <v>587.8000000000011</v>
      </c>
      <c r="AX38" s="23"/>
      <c r="AY38" s="23"/>
      <c r="AZ38" s="78"/>
      <c r="BA38" s="39"/>
      <c r="BB38" s="40"/>
      <c r="BC38" s="40"/>
      <c r="BD38" s="39"/>
      <c r="BE38" s="40"/>
      <c r="BF38" s="40"/>
      <c r="BG38" s="40"/>
      <c r="BH38" s="40"/>
    </row>
    <row r="39" spans="1:60" ht="24.75" customHeight="1">
      <c r="A39" s="13" t="s">
        <v>41</v>
      </c>
      <c r="B39" s="15" t="s">
        <v>117</v>
      </c>
      <c r="C39" s="79">
        <f>17105-13063.4</f>
        <v>4041.6000000000004</v>
      </c>
      <c r="D39" s="38">
        <v>-32</v>
      </c>
      <c r="E39" s="38">
        <v>1231.2</v>
      </c>
      <c r="F39" s="11">
        <f t="shared" si="35"/>
        <v>-3847.5</v>
      </c>
      <c r="G39" s="38">
        <v>95.8</v>
      </c>
      <c r="H39" s="38">
        <v>1075.3</v>
      </c>
      <c r="I39" s="11">
        <f t="shared" si="36"/>
        <v>1122.4425887265136</v>
      </c>
      <c r="J39" s="38">
        <v>-211.9</v>
      </c>
      <c r="K39" s="38">
        <v>1151.3</v>
      </c>
      <c r="L39" s="11">
        <f t="shared" si="25"/>
        <v>-543.3223218499292</v>
      </c>
      <c r="M39" s="80">
        <f t="shared" si="12"/>
        <v>-148.10000000000002</v>
      </c>
      <c r="N39" s="80">
        <f t="shared" si="13"/>
        <v>3457.8</v>
      </c>
      <c r="O39" s="11">
        <f t="shared" si="9"/>
        <v>-2334.7738014854826</v>
      </c>
      <c r="P39" s="38">
        <v>733.1</v>
      </c>
      <c r="Q39" s="38">
        <v>1010.2</v>
      </c>
      <c r="R39" s="11">
        <f t="shared" si="26"/>
        <v>137.79839039694448</v>
      </c>
      <c r="S39" s="38">
        <v>14286.7</v>
      </c>
      <c r="T39" s="38">
        <v>1318.9</v>
      </c>
      <c r="U39" s="11">
        <f t="shared" si="27"/>
        <v>9.231663015251948</v>
      </c>
      <c r="V39" s="38">
        <v>2027.5</v>
      </c>
      <c r="W39" s="38">
        <v>2219.8</v>
      </c>
      <c r="X39" s="11">
        <f t="shared" si="28"/>
        <v>109.48458692971641</v>
      </c>
      <c r="Y39" s="80">
        <f t="shared" si="29"/>
        <v>17047.300000000003</v>
      </c>
      <c r="Z39" s="80">
        <f t="shared" si="30"/>
        <v>4548.900000000001</v>
      </c>
      <c r="AA39" s="11">
        <f t="shared" si="33"/>
        <v>26.683991013239634</v>
      </c>
      <c r="AB39" s="38">
        <v>1879.6</v>
      </c>
      <c r="AC39" s="38">
        <v>2274.7</v>
      </c>
      <c r="AD39" s="11">
        <f t="shared" si="34"/>
        <v>121.02042987869758</v>
      </c>
      <c r="AE39" s="38">
        <v>2983.4</v>
      </c>
      <c r="AF39" s="38">
        <v>2429.2</v>
      </c>
      <c r="AG39" s="11">
        <f t="shared" si="31"/>
        <v>81.42387879600454</v>
      </c>
      <c r="AH39" s="38">
        <v>2741.8</v>
      </c>
      <c r="AI39" s="38">
        <v>2864.2</v>
      </c>
      <c r="AJ39" s="80">
        <f t="shared" si="16"/>
        <v>7604.8</v>
      </c>
      <c r="AK39" s="80">
        <f t="shared" si="17"/>
        <v>7568.099999999999</v>
      </c>
      <c r="AL39" s="11">
        <f t="shared" si="32"/>
        <v>99.51741005680623</v>
      </c>
      <c r="AM39" s="38">
        <v>5027</v>
      </c>
      <c r="AN39" s="38">
        <v>2955.6</v>
      </c>
      <c r="AO39" s="38">
        <v>531.9</v>
      </c>
      <c r="AP39" s="38">
        <v>2896.4</v>
      </c>
      <c r="AQ39" s="38">
        <v>3436</v>
      </c>
      <c r="AR39" s="38">
        <v>2214.4</v>
      </c>
      <c r="AS39" s="65">
        <f t="shared" si="18"/>
        <v>33498.90000000001</v>
      </c>
      <c r="AT39" s="65">
        <f t="shared" si="19"/>
        <v>23641.2</v>
      </c>
      <c r="AU39" s="11">
        <f t="shared" si="8"/>
        <v>70.57306359313289</v>
      </c>
      <c r="AV39" s="80">
        <f t="shared" si="20"/>
        <v>9857.700000000008</v>
      </c>
      <c r="AW39" s="81">
        <f t="shared" si="21"/>
        <v>13899.300000000007</v>
      </c>
      <c r="AX39" s="23"/>
      <c r="AY39" s="23"/>
      <c r="AZ39" s="78"/>
      <c r="BA39" s="39"/>
      <c r="BB39" s="40"/>
      <c r="BC39" s="40"/>
      <c r="BD39" s="39"/>
      <c r="BE39" s="40"/>
      <c r="BF39" s="40"/>
      <c r="BG39" s="40"/>
      <c r="BH39" s="40"/>
    </row>
    <row r="40" spans="1:60" ht="24.75" customHeight="1">
      <c r="A40" s="13" t="s">
        <v>42</v>
      </c>
      <c r="B40" s="15" t="s">
        <v>125</v>
      </c>
      <c r="C40" s="79">
        <v>772.8</v>
      </c>
      <c r="D40" s="38">
        <v>226.6</v>
      </c>
      <c r="E40" s="38">
        <v>322.3</v>
      </c>
      <c r="F40" s="11">
        <f t="shared" si="35"/>
        <v>142.23300970873788</v>
      </c>
      <c r="G40" s="38">
        <v>219.8</v>
      </c>
      <c r="H40" s="38">
        <v>263.4</v>
      </c>
      <c r="I40" s="11">
        <f t="shared" si="36"/>
        <v>119.83621474067331</v>
      </c>
      <c r="J40" s="38">
        <v>205.8</v>
      </c>
      <c r="K40" s="38">
        <v>276.8</v>
      </c>
      <c r="L40" s="11">
        <f t="shared" si="25"/>
        <v>134.49951409135082</v>
      </c>
      <c r="M40" s="80">
        <f t="shared" si="12"/>
        <v>652.2</v>
      </c>
      <c r="N40" s="80">
        <f t="shared" si="13"/>
        <v>862.5</v>
      </c>
      <c r="O40" s="11">
        <f t="shared" si="9"/>
        <v>132.24471021159152</v>
      </c>
      <c r="P40" s="38">
        <v>257.7</v>
      </c>
      <c r="Q40" s="38">
        <v>266.6</v>
      </c>
      <c r="R40" s="11">
        <f t="shared" si="26"/>
        <v>103.453628249903</v>
      </c>
      <c r="S40" s="38">
        <v>1068.2</v>
      </c>
      <c r="T40" s="38">
        <v>254.5</v>
      </c>
      <c r="U40" s="11">
        <f t="shared" si="27"/>
        <v>23.82512638082756</v>
      </c>
      <c r="V40" s="38">
        <v>588.3</v>
      </c>
      <c r="W40" s="38">
        <v>372.8</v>
      </c>
      <c r="X40" s="11">
        <f t="shared" si="28"/>
        <v>63.369029406765264</v>
      </c>
      <c r="Y40" s="80">
        <f t="shared" si="29"/>
        <v>1914.2</v>
      </c>
      <c r="Z40" s="80">
        <f t="shared" si="30"/>
        <v>893.9000000000001</v>
      </c>
      <c r="AA40" s="11">
        <f t="shared" si="33"/>
        <v>46.69835962804305</v>
      </c>
      <c r="AB40" s="38">
        <v>602.6</v>
      </c>
      <c r="AC40" s="38">
        <v>553.6</v>
      </c>
      <c r="AD40" s="11">
        <f t="shared" si="34"/>
        <v>91.86856953202788</v>
      </c>
      <c r="AE40" s="38">
        <v>582.7</v>
      </c>
      <c r="AF40" s="38">
        <v>482.2</v>
      </c>
      <c r="AG40" s="11">
        <f t="shared" si="31"/>
        <v>82.75270293461472</v>
      </c>
      <c r="AH40" s="38">
        <v>575.6</v>
      </c>
      <c r="AI40" s="38">
        <v>524.8</v>
      </c>
      <c r="AJ40" s="80">
        <f t="shared" si="16"/>
        <v>1760.9</v>
      </c>
      <c r="AK40" s="80">
        <f t="shared" si="17"/>
        <v>1560.6</v>
      </c>
      <c r="AL40" s="11">
        <f t="shared" si="32"/>
        <v>88.62513487421204</v>
      </c>
      <c r="AM40" s="38">
        <v>556</v>
      </c>
      <c r="AN40" s="38">
        <v>529.5</v>
      </c>
      <c r="AO40" s="38">
        <v>388.2</v>
      </c>
      <c r="AP40" s="38">
        <v>475.2</v>
      </c>
      <c r="AQ40" s="38">
        <v>393.7</v>
      </c>
      <c r="AR40" s="38">
        <v>433.9</v>
      </c>
      <c r="AS40" s="65">
        <f t="shared" si="18"/>
        <v>5665.2</v>
      </c>
      <c r="AT40" s="65">
        <f t="shared" si="19"/>
        <v>4755.599999999999</v>
      </c>
      <c r="AU40" s="11">
        <f t="shared" si="8"/>
        <v>83.94407964414319</v>
      </c>
      <c r="AV40" s="80">
        <f t="shared" si="20"/>
        <v>909.6000000000004</v>
      </c>
      <c r="AW40" s="81">
        <f t="shared" si="21"/>
        <v>1682.4000000000005</v>
      </c>
      <c r="AX40" s="23"/>
      <c r="AY40" s="23"/>
      <c r="AZ40" s="78"/>
      <c r="BA40" s="39"/>
      <c r="BB40" s="40"/>
      <c r="BC40" s="40"/>
      <c r="BD40" s="39"/>
      <c r="BE40" s="40"/>
      <c r="BF40" s="40"/>
      <c r="BG40" s="40"/>
      <c r="BH40" s="40"/>
    </row>
    <row r="41" spans="1:60" ht="23.25" customHeight="1">
      <c r="A41" s="13" t="s">
        <v>43</v>
      </c>
      <c r="B41" s="41" t="s">
        <v>126</v>
      </c>
      <c r="C41" s="82">
        <v>-3981.6</v>
      </c>
      <c r="D41" s="38">
        <v>231.1</v>
      </c>
      <c r="E41" s="38">
        <v>637</v>
      </c>
      <c r="F41" s="11">
        <f t="shared" si="35"/>
        <v>275.6382518390308</v>
      </c>
      <c r="G41" s="38">
        <v>63.7</v>
      </c>
      <c r="H41" s="38">
        <v>642.9</v>
      </c>
      <c r="I41" s="11">
        <f t="shared" si="36"/>
        <v>1009.2621664050234</v>
      </c>
      <c r="J41" s="38">
        <v>186.8</v>
      </c>
      <c r="K41" s="38">
        <v>647.5</v>
      </c>
      <c r="L41" s="11">
        <f t="shared" si="25"/>
        <v>346.627408993576</v>
      </c>
      <c r="M41" s="80">
        <f t="shared" si="12"/>
        <v>481.6</v>
      </c>
      <c r="N41" s="80">
        <f t="shared" si="13"/>
        <v>1927.4</v>
      </c>
      <c r="O41" s="11">
        <f t="shared" si="9"/>
        <v>400.20764119601336</v>
      </c>
      <c r="P41" s="38">
        <v>473.3</v>
      </c>
      <c r="Q41" s="38">
        <v>592.7</v>
      </c>
      <c r="R41" s="11">
        <f t="shared" si="26"/>
        <v>125.22712867103319</v>
      </c>
      <c r="S41" s="38">
        <v>4229.4</v>
      </c>
      <c r="T41" s="38">
        <v>709.4</v>
      </c>
      <c r="U41" s="11">
        <f t="shared" si="27"/>
        <v>16.773064737314986</v>
      </c>
      <c r="V41" s="38">
        <v>1763.8</v>
      </c>
      <c r="W41" s="38">
        <v>764.1</v>
      </c>
      <c r="X41" s="11">
        <f t="shared" si="28"/>
        <v>43.321238235627625</v>
      </c>
      <c r="Y41" s="80">
        <f t="shared" si="29"/>
        <v>6466.5</v>
      </c>
      <c r="Z41" s="80">
        <f t="shared" si="30"/>
        <v>2066.2</v>
      </c>
      <c r="AA41" s="11">
        <f t="shared" si="33"/>
        <v>31.952369906440886</v>
      </c>
      <c r="AB41" s="38">
        <v>2253.8</v>
      </c>
      <c r="AC41" s="38">
        <v>930.9</v>
      </c>
      <c r="AD41" s="11">
        <f t="shared" si="34"/>
        <v>41.303576182447415</v>
      </c>
      <c r="AE41" s="38">
        <v>1557.7</v>
      </c>
      <c r="AF41" s="38">
        <v>1005.1</v>
      </c>
      <c r="AG41" s="11">
        <f t="shared" si="31"/>
        <v>64.52461963150799</v>
      </c>
      <c r="AH41" s="38">
        <v>1226.5</v>
      </c>
      <c r="AI41" s="38">
        <v>1130.6</v>
      </c>
      <c r="AJ41" s="80">
        <f t="shared" si="16"/>
        <v>5038</v>
      </c>
      <c r="AK41" s="80">
        <f t="shared" si="17"/>
        <v>3066.6</v>
      </c>
      <c r="AL41" s="11">
        <f t="shared" si="32"/>
        <v>60.8693926161175</v>
      </c>
      <c r="AM41" s="38">
        <v>1361.3</v>
      </c>
      <c r="AN41" s="38">
        <v>1186</v>
      </c>
      <c r="AO41" s="38">
        <v>981.4</v>
      </c>
      <c r="AP41" s="38">
        <v>1042.7</v>
      </c>
      <c r="AQ41" s="38">
        <v>899.1</v>
      </c>
      <c r="AR41" s="38">
        <v>1035.8</v>
      </c>
      <c r="AS41" s="65">
        <f t="shared" si="18"/>
        <v>15227.9</v>
      </c>
      <c r="AT41" s="65">
        <f t="shared" si="19"/>
        <v>10324.7</v>
      </c>
      <c r="AU41" s="11">
        <f t="shared" si="8"/>
        <v>67.80120699505513</v>
      </c>
      <c r="AV41" s="80">
        <f t="shared" si="20"/>
        <v>4903.199999999999</v>
      </c>
      <c r="AW41" s="81">
        <f t="shared" si="21"/>
        <v>921.5999999999985</v>
      </c>
      <c r="AX41" s="23"/>
      <c r="AY41" s="23"/>
      <c r="AZ41" s="78"/>
      <c r="BA41" s="39"/>
      <c r="BB41" s="40"/>
      <c r="BC41" s="40"/>
      <c r="BD41" s="39"/>
      <c r="BE41" s="40"/>
      <c r="BF41" s="40"/>
      <c r="BG41" s="40"/>
      <c r="BH41" s="40"/>
    </row>
    <row r="42" spans="1:60" ht="24.75" customHeight="1">
      <c r="A42" s="13" t="s">
        <v>44</v>
      </c>
      <c r="B42" s="15" t="s">
        <v>118</v>
      </c>
      <c r="C42" s="79">
        <v>461.2</v>
      </c>
      <c r="D42" s="38">
        <v>802.5</v>
      </c>
      <c r="E42" s="38">
        <v>841.4</v>
      </c>
      <c r="F42" s="11">
        <f t="shared" si="35"/>
        <v>104.84735202492213</v>
      </c>
      <c r="G42" s="38">
        <v>685.2</v>
      </c>
      <c r="H42" s="38">
        <v>778.4</v>
      </c>
      <c r="I42" s="11">
        <f t="shared" si="36"/>
        <v>113.60186806771743</v>
      </c>
      <c r="J42" s="38">
        <v>713.3</v>
      </c>
      <c r="K42" s="38">
        <v>809.7</v>
      </c>
      <c r="L42" s="11">
        <f t="shared" si="25"/>
        <v>113.5146502172999</v>
      </c>
      <c r="M42" s="80">
        <f t="shared" si="12"/>
        <v>2201</v>
      </c>
      <c r="N42" s="80">
        <f t="shared" si="13"/>
        <v>2429.5</v>
      </c>
      <c r="O42" s="11">
        <f t="shared" si="9"/>
        <v>110.38164470695138</v>
      </c>
      <c r="P42" s="38">
        <v>882.6</v>
      </c>
      <c r="Q42" s="38">
        <v>763.2</v>
      </c>
      <c r="R42" s="11">
        <f t="shared" si="26"/>
        <v>86.47178789938818</v>
      </c>
      <c r="S42" s="38">
        <v>2427.2</v>
      </c>
      <c r="T42" s="38">
        <v>700.9</v>
      </c>
      <c r="U42" s="11">
        <f t="shared" si="27"/>
        <v>28.8768951878708</v>
      </c>
      <c r="V42" s="38">
        <v>1575.4</v>
      </c>
      <c r="W42" s="38">
        <v>959</v>
      </c>
      <c r="X42" s="11">
        <f t="shared" si="28"/>
        <v>60.87342897042021</v>
      </c>
      <c r="Y42" s="80">
        <f t="shared" si="29"/>
        <v>4885.2</v>
      </c>
      <c r="Z42" s="80">
        <f t="shared" si="30"/>
        <v>2423.1</v>
      </c>
      <c r="AA42" s="11">
        <f t="shared" si="33"/>
        <v>49.600835175632525</v>
      </c>
      <c r="AB42" s="38">
        <v>1438.5</v>
      </c>
      <c r="AC42" s="38">
        <v>1420.1</v>
      </c>
      <c r="AD42" s="11">
        <f t="shared" si="34"/>
        <v>98.72088981578032</v>
      </c>
      <c r="AE42" s="38">
        <v>1474.5</v>
      </c>
      <c r="AF42" s="38">
        <v>1437.3</v>
      </c>
      <c r="AG42" s="11">
        <f t="shared" si="31"/>
        <v>97.47711088504578</v>
      </c>
      <c r="AH42" s="38">
        <v>1413.4</v>
      </c>
      <c r="AI42" s="38">
        <v>1299.7</v>
      </c>
      <c r="AJ42" s="80">
        <f t="shared" si="16"/>
        <v>4326.4</v>
      </c>
      <c r="AK42" s="80">
        <f t="shared" si="17"/>
        <v>4157.099999999999</v>
      </c>
      <c r="AL42" s="11">
        <f t="shared" si="32"/>
        <v>96.08681582840237</v>
      </c>
      <c r="AM42" s="38">
        <v>1552</v>
      </c>
      <c r="AN42" s="38">
        <v>1287</v>
      </c>
      <c r="AO42" s="38">
        <v>1012.7</v>
      </c>
      <c r="AP42" s="38">
        <v>1276.8</v>
      </c>
      <c r="AQ42" s="38">
        <v>960.5</v>
      </c>
      <c r="AR42" s="38">
        <v>1090.7</v>
      </c>
      <c r="AS42" s="65">
        <f t="shared" si="18"/>
        <v>14937.8</v>
      </c>
      <c r="AT42" s="65">
        <f t="shared" si="19"/>
        <v>12664.2</v>
      </c>
      <c r="AU42" s="11">
        <f t="shared" si="8"/>
        <v>84.77955254455142</v>
      </c>
      <c r="AV42" s="80">
        <f t="shared" si="20"/>
        <v>2273.5999999999985</v>
      </c>
      <c r="AW42" s="81">
        <f t="shared" si="21"/>
        <v>2734.7999999999993</v>
      </c>
      <c r="AX42" s="23"/>
      <c r="AY42" s="23"/>
      <c r="AZ42" s="78"/>
      <c r="BA42" s="39"/>
      <c r="BB42" s="40"/>
      <c r="BC42" s="40"/>
      <c r="BD42" s="39"/>
      <c r="BE42" s="40"/>
      <c r="BF42" s="40"/>
      <c r="BG42" s="40"/>
      <c r="BH42" s="40"/>
    </row>
    <row r="43" spans="1:60" s="12" customFormat="1" ht="24.75" customHeight="1">
      <c r="A43" s="13" t="s">
        <v>45</v>
      </c>
      <c r="B43" s="16" t="s">
        <v>119</v>
      </c>
      <c r="C43" s="17">
        <f>SUM(C44:C44)</f>
        <v>227024.3</v>
      </c>
      <c r="D43" s="18">
        <f>SUM(D44:D44)</f>
        <v>55859.5</v>
      </c>
      <c r="E43" s="18">
        <f>SUM(E44:E44)</f>
        <v>56313.1</v>
      </c>
      <c r="F43" s="11">
        <f t="shared" si="35"/>
        <v>100.81203734369267</v>
      </c>
      <c r="G43" s="18">
        <f>SUM(G44:G44)</f>
        <v>57494.5</v>
      </c>
      <c r="H43" s="18">
        <f>SUM(H44:H44)</f>
        <v>52310.4</v>
      </c>
      <c r="I43" s="11">
        <f t="shared" si="36"/>
        <v>90.9833114471819</v>
      </c>
      <c r="J43" s="18">
        <f>SUM(J44:J44)</f>
        <v>56736.9</v>
      </c>
      <c r="K43" s="18">
        <f>SUM(K44:K44)</f>
        <v>53563.200000000004</v>
      </c>
      <c r="L43" s="11">
        <f t="shared" si="25"/>
        <v>94.40628585629457</v>
      </c>
      <c r="M43" s="18">
        <f>SUM(M44:M44)</f>
        <v>170090.9</v>
      </c>
      <c r="N43" s="18">
        <f>SUM(N44:N44)</f>
        <v>162186.7</v>
      </c>
      <c r="O43" s="11">
        <f t="shared" si="9"/>
        <v>95.35295539032366</v>
      </c>
      <c r="P43" s="18">
        <f>SUM(P44:P44)</f>
        <v>59458.7</v>
      </c>
      <c r="Q43" s="18">
        <f>SUM(Q44:Q44)</f>
        <v>49527</v>
      </c>
      <c r="R43" s="11">
        <f t="shared" si="26"/>
        <v>83.29647301404168</v>
      </c>
      <c r="S43" s="18">
        <f>SUM(S44:S44)</f>
        <v>90548.4</v>
      </c>
      <c r="T43" s="18">
        <f>SUM(T44:T44)</f>
        <v>59585.9</v>
      </c>
      <c r="U43" s="11">
        <f t="shared" si="27"/>
        <v>65.8055802200812</v>
      </c>
      <c r="V43" s="18">
        <f>SUM(V44:V44)</f>
        <v>76412.7</v>
      </c>
      <c r="W43" s="18">
        <f>SUM(W44:W44)</f>
        <v>58609</v>
      </c>
      <c r="X43" s="11">
        <f t="shared" si="28"/>
        <v>76.70060081635644</v>
      </c>
      <c r="Y43" s="18">
        <f>SUM(Y44:Y44)</f>
        <v>226419.8</v>
      </c>
      <c r="Z43" s="18">
        <f>SUM(Z44:Z44)</f>
        <v>167721.9</v>
      </c>
      <c r="AA43" s="11">
        <f t="shared" si="33"/>
        <v>74.07563296142828</v>
      </c>
      <c r="AB43" s="18">
        <f>SUM(AB44:AB44)</f>
        <v>75543.1</v>
      </c>
      <c r="AC43" s="18">
        <f>SUM(AC44:AC44)</f>
        <v>72223</v>
      </c>
      <c r="AD43" s="11">
        <f t="shared" si="34"/>
        <v>95.60502547552325</v>
      </c>
      <c r="AE43" s="18">
        <f>SUM(AE44:AE44)</f>
        <v>75897.1</v>
      </c>
      <c r="AF43" s="18">
        <f>SUM(AF44:AF44)</f>
        <v>71151.5</v>
      </c>
      <c r="AG43" s="11">
        <f t="shared" si="31"/>
        <v>93.74732367903384</v>
      </c>
      <c r="AH43" s="18">
        <f>SUM(AH44:AH44)</f>
        <v>76141.7</v>
      </c>
      <c r="AI43" s="18">
        <f>SUM(AI44:AI44)</f>
        <v>70578.7</v>
      </c>
      <c r="AJ43" s="18">
        <f>SUM(AJ44:AJ44)</f>
        <v>227581.90000000002</v>
      </c>
      <c r="AK43" s="18">
        <f>SUM(AK44:AK44)</f>
        <v>213953.2</v>
      </c>
      <c r="AL43" s="11">
        <f t="shared" si="32"/>
        <v>94.01151849070598</v>
      </c>
      <c r="AM43" s="18">
        <f aca="true" t="shared" si="37" ref="AM43:AR43">SUM(AM44:AM44)</f>
        <v>81937.3</v>
      </c>
      <c r="AN43" s="18">
        <f t="shared" si="37"/>
        <v>79905.8</v>
      </c>
      <c r="AO43" s="18">
        <f t="shared" si="37"/>
        <v>75465</v>
      </c>
      <c r="AP43" s="18">
        <f t="shared" si="37"/>
        <v>74762.9</v>
      </c>
      <c r="AQ43" s="18">
        <f t="shared" si="37"/>
        <v>75571.6</v>
      </c>
      <c r="AR43" s="18">
        <f t="shared" si="37"/>
        <v>63227.1</v>
      </c>
      <c r="AS43" s="129">
        <f>AS44</f>
        <v>857066.5</v>
      </c>
      <c r="AT43" s="129">
        <f>AT44</f>
        <v>761757.6000000001</v>
      </c>
      <c r="AU43" s="11">
        <f t="shared" si="8"/>
        <v>88.87963769439129</v>
      </c>
      <c r="AV43" s="10">
        <f>AV44</f>
        <v>95308.8999999999</v>
      </c>
      <c r="AW43" s="10">
        <f>AW44</f>
        <v>322333.19999999995</v>
      </c>
      <c r="AX43" s="23"/>
      <c r="AY43" s="23"/>
      <c r="AZ43" s="78"/>
      <c r="BA43" s="77"/>
      <c r="BB43" s="21"/>
      <c r="BC43" s="21"/>
      <c r="BD43" s="23"/>
      <c r="BE43" s="21"/>
      <c r="BF43" s="21"/>
      <c r="BG43" s="21"/>
      <c r="BH43" s="21"/>
    </row>
    <row r="44" spans="1:60" s="12" customFormat="1" ht="24.75" customHeight="1">
      <c r="A44" s="93"/>
      <c r="B44" s="41" t="s">
        <v>120</v>
      </c>
      <c r="C44" s="79">
        <f>226064.9+959.4</f>
        <v>227024.3</v>
      </c>
      <c r="D44" s="38">
        <f>55727.9+131.6</f>
        <v>55859.5</v>
      </c>
      <c r="E44" s="38">
        <v>56313.1</v>
      </c>
      <c r="F44" s="11">
        <f>E44/D44*100</f>
        <v>100.81203734369267</v>
      </c>
      <c r="G44" s="38">
        <f>57312.9+181.6</f>
        <v>57494.5</v>
      </c>
      <c r="H44" s="38">
        <f>52235.3+75.1</f>
        <v>52310.4</v>
      </c>
      <c r="I44" s="11">
        <f>H44/G44*100</f>
        <v>90.9833114471819</v>
      </c>
      <c r="J44" s="38">
        <f>56566.1+170.8</f>
        <v>56736.9</v>
      </c>
      <c r="K44" s="38">
        <f>53474.3+88.9</f>
        <v>53563.200000000004</v>
      </c>
      <c r="L44" s="11">
        <f t="shared" si="25"/>
        <v>94.40628585629457</v>
      </c>
      <c r="M44" s="80">
        <f t="shared" si="12"/>
        <v>170090.9</v>
      </c>
      <c r="N44" s="80">
        <f t="shared" si="13"/>
        <v>162186.7</v>
      </c>
      <c r="O44" s="11">
        <f t="shared" si="9"/>
        <v>95.35295539032366</v>
      </c>
      <c r="P44" s="38">
        <f>59275+183.7</f>
        <v>59458.7</v>
      </c>
      <c r="Q44" s="38">
        <f>49258.2+268.8</f>
        <v>49527</v>
      </c>
      <c r="R44" s="11">
        <f>Q44/P44*100</f>
        <v>83.29647301404168</v>
      </c>
      <c r="S44" s="38">
        <f>90309.9+238.5</f>
        <v>90548.4</v>
      </c>
      <c r="T44" s="38">
        <f>59484.5+101.4</f>
        <v>59585.9</v>
      </c>
      <c r="U44" s="11">
        <f>T44/S44*100</f>
        <v>65.8055802200812</v>
      </c>
      <c r="V44" s="38">
        <f>76161.2+251.5</f>
        <v>76412.7</v>
      </c>
      <c r="W44" s="38">
        <f>58552.9+56.1</f>
        <v>58609</v>
      </c>
      <c r="X44" s="11">
        <f>W44/V44*100</f>
        <v>76.70060081635644</v>
      </c>
      <c r="Y44" s="80">
        <f>P44+S44+V44</f>
        <v>226419.8</v>
      </c>
      <c r="Z44" s="80">
        <f>Q44+T44+W44</f>
        <v>167721.9</v>
      </c>
      <c r="AA44" s="11">
        <f t="shared" si="33"/>
        <v>74.07563296142828</v>
      </c>
      <c r="AB44" s="38">
        <f>75280.5+262.6</f>
        <v>75543.1</v>
      </c>
      <c r="AC44" s="38">
        <f>72178.4+44.6</f>
        <v>72223</v>
      </c>
      <c r="AD44" s="11">
        <f>AC44/AB44*100</f>
        <v>95.60502547552325</v>
      </c>
      <c r="AE44" s="38">
        <f>75624.3+272.8</f>
        <v>75897.1</v>
      </c>
      <c r="AF44" s="38">
        <f>71101.5+50</f>
        <v>71151.5</v>
      </c>
      <c r="AG44" s="11">
        <f>AF44/AE44*100</f>
        <v>93.74732367903384</v>
      </c>
      <c r="AH44" s="38">
        <f>75881.2+260.5</f>
        <v>76141.7</v>
      </c>
      <c r="AI44" s="38">
        <f>70578.7</f>
        <v>70578.7</v>
      </c>
      <c r="AJ44" s="80">
        <f>AB44+AE44+AH44</f>
        <v>227581.90000000002</v>
      </c>
      <c r="AK44" s="80">
        <f>AC44+AF44+AI44</f>
        <v>213953.2</v>
      </c>
      <c r="AL44" s="11">
        <f t="shared" si="32"/>
        <v>94.01151849070598</v>
      </c>
      <c r="AM44" s="38">
        <f>81662.8+274.5</f>
        <v>81937.3</v>
      </c>
      <c r="AN44" s="38">
        <f>78641.5+1264.3</f>
        <v>79905.8</v>
      </c>
      <c r="AO44" s="38">
        <f>75226.6+238.4</f>
        <v>75465</v>
      </c>
      <c r="AP44" s="38">
        <f>74628.5+134.4</f>
        <v>74762.9</v>
      </c>
      <c r="AQ44" s="38">
        <f>75172.8+398.8</f>
        <v>75571.6</v>
      </c>
      <c r="AR44" s="38">
        <f>63218.5+8.6</f>
        <v>63227.1</v>
      </c>
      <c r="AS44" s="65">
        <f>M44+Y44+AJ44+AM44+AO44+AQ44</f>
        <v>857066.5</v>
      </c>
      <c r="AT44" s="65">
        <f>N44+Z44+AK44+AN44+AP44+AR44</f>
        <v>761757.6000000001</v>
      </c>
      <c r="AU44" s="11">
        <f t="shared" si="8"/>
        <v>88.87963769439129</v>
      </c>
      <c r="AV44" s="80">
        <f t="shared" si="20"/>
        <v>95308.8999999999</v>
      </c>
      <c r="AW44" s="81">
        <f t="shared" si="21"/>
        <v>322333.19999999995</v>
      </c>
      <c r="AX44" s="23"/>
      <c r="AY44" s="23"/>
      <c r="AZ44" s="78"/>
      <c r="BA44" s="39"/>
      <c r="BB44" s="21"/>
      <c r="BC44" s="21"/>
      <c r="BD44" s="39"/>
      <c r="BE44" s="21"/>
      <c r="BF44" s="21"/>
      <c r="BG44" s="21"/>
      <c r="BH44" s="21"/>
    </row>
    <row r="45" spans="1:60" ht="27.75" customHeight="1">
      <c r="A45" s="13"/>
      <c r="B45" s="16" t="s">
        <v>121</v>
      </c>
      <c r="C45" s="17">
        <f>C43+C7</f>
        <v>209475.5</v>
      </c>
      <c r="D45" s="18">
        <f>D43+D7</f>
        <v>61494.4</v>
      </c>
      <c r="E45" s="18">
        <f>E43+E7</f>
        <v>66441.2</v>
      </c>
      <c r="F45" s="11">
        <f>E45/D45*100</f>
        <v>108.04430972576364</v>
      </c>
      <c r="G45" s="18">
        <f>G43+G7</f>
        <v>62800.4</v>
      </c>
      <c r="H45" s="18">
        <f>H43+H7</f>
        <v>62138.5</v>
      </c>
      <c r="I45" s="11">
        <f>H45/G45*100</f>
        <v>98.94602582149157</v>
      </c>
      <c r="J45" s="18">
        <f>J43+J7</f>
        <v>62045.8</v>
      </c>
      <c r="K45" s="18">
        <f>K43+K7</f>
        <v>64154.8</v>
      </c>
      <c r="L45" s="11">
        <f t="shared" si="25"/>
        <v>103.39910195371806</v>
      </c>
      <c r="M45" s="18">
        <f>M43+M7</f>
        <v>186340.6</v>
      </c>
      <c r="N45" s="18">
        <f>N43+N7</f>
        <v>192734.50000000003</v>
      </c>
      <c r="O45" s="11">
        <f t="shared" si="9"/>
        <v>103.43129731255563</v>
      </c>
      <c r="P45" s="18">
        <f>P43+P7</f>
        <v>69401.21799</v>
      </c>
      <c r="Q45" s="18">
        <f>Q43+Q7</f>
        <v>59035.31434</v>
      </c>
      <c r="R45" s="11">
        <f>Q45/P45*100</f>
        <v>85.06380154380918</v>
      </c>
      <c r="S45" s="18">
        <f>S43+S7</f>
        <v>149618.49172999998</v>
      </c>
      <c r="T45" s="18">
        <f>T43+T7</f>
        <v>69539.71372</v>
      </c>
      <c r="U45" s="11">
        <f>T45/S45*100</f>
        <v>46.47802080874513</v>
      </c>
      <c r="V45" s="18">
        <f>V43+V7</f>
        <v>100275.8967</v>
      </c>
      <c r="W45" s="18">
        <f>W43+W7</f>
        <v>72348.53199999999</v>
      </c>
      <c r="X45" s="11">
        <f>W45/V45*100</f>
        <v>72.14947398221571</v>
      </c>
      <c r="Y45" s="18">
        <f>Y43+Y7</f>
        <v>319295.60641999997</v>
      </c>
      <c r="Z45" s="18">
        <f>Z43+Z7</f>
        <v>200923.56006</v>
      </c>
      <c r="AA45" s="11">
        <f t="shared" si="33"/>
        <v>62.92712960030714</v>
      </c>
      <c r="AB45" s="18">
        <f>AB43+AB7</f>
        <v>96189.64435</v>
      </c>
      <c r="AC45" s="18">
        <f>AC43+AC7</f>
        <v>90172</v>
      </c>
      <c r="AD45" s="11">
        <f>AC45/AB45*100</f>
        <v>93.74397900037562</v>
      </c>
      <c r="AE45" s="18">
        <f>AE43+AE7</f>
        <v>96667.19821</v>
      </c>
      <c r="AF45" s="18">
        <f>AF43+AF7</f>
        <v>89710.80414</v>
      </c>
      <c r="AG45" s="11">
        <f>AF45/AE45*100</f>
        <v>92.80376984249826</v>
      </c>
      <c r="AH45" s="18">
        <f>AH43+AH7</f>
        <v>96508.38915</v>
      </c>
      <c r="AI45" s="18">
        <f>AI43+AI7</f>
        <v>90296.70882</v>
      </c>
      <c r="AJ45" s="18">
        <f>AJ43+AJ7</f>
        <v>289365.23171</v>
      </c>
      <c r="AK45" s="18">
        <f>AK43+AK7</f>
        <v>270179.51296</v>
      </c>
      <c r="AL45" s="11">
        <f t="shared" si="32"/>
        <v>93.3697221892823</v>
      </c>
      <c r="AM45" s="18">
        <f aca="true" t="shared" si="38" ref="AM45:AT45">AM43+AM7</f>
        <v>105654.2</v>
      </c>
      <c r="AN45" s="18">
        <f t="shared" si="38"/>
        <v>100056.4</v>
      </c>
      <c r="AO45" s="18">
        <f t="shared" si="38"/>
        <v>88017.5</v>
      </c>
      <c r="AP45" s="18">
        <f t="shared" si="38"/>
        <v>93637.29999999999</v>
      </c>
      <c r="AQ45" s="18">
        <f>AQ43+AQ7</f>
        <v>90022.20000000001</v>
      </c>
      <c r="AR45" s="18">
        <f>AR43+AR7</f>
        <v>79047.9</v>
      </c>
      <c r="AS45" s="129">
        <f t="shared" si="38"/>
        <v>1078695.33813</v>
      </c>
      <c r="AT45" s="129">
        <f t="shared" si="38"/>
        <v>936579.1730200001</v>
      </c>
      <c r="AU45" s="11">
        <f>AT45/AS45*100</f>
        <v>86.82518037425015</v>
      </c>
      <c r="AV45" s="18">
        <f>AV43+AV7</f>
        <v>142116.1651099999</v>
      </c>
      <c r="AW45" s="18">
        <f>AW43+AW7</f>
        <v>351591.66510999994</v>
      </c>
      <c r="AX45" s="23"/>
      <c r="AY45" s="23"/>
      <c r="AZ45" s="78"/>
      <c r="BA45" s="77"/>
      <c r="BB45" s="77"/>
      <c r="BC45" s="77"/>
      <c r="BD45" s="77"/>
      <c r="BE45" s="40"/>
      <c r="BF45" s="40"/>
      <c r="BG45" s="40"/>
      <c r="BH45" s="40"/>
    </row>
    <row r="46" spans="1:60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7"/>
      <c r="AT46" s="77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40"/>
      <c r="BF46" s="40"/>
      <c r="BG46" s="40"/>
      <c r="BH46" s="40"/>
    </row>
    <row r="47" spans="1:60" s="12" customFormat="1" ht="19.5" customHeight="1" hidden="1">
      <c r="A47" s="26"/>
      <c r="B47" s="12" t="s">
        <v>122</v>
      </c>
      <c r="C47" s="22"/>
      <c r="D47" s="23"/>
      <c r="E47" s="23"/>
      <c r="F47" s="24"/>
      <c r="G47" s="23"/>
      <c r="H47" s="23"/>
      <c r="I47" s="24"/>
      <c r="J47" s="23"/>
      <c r="K47" s="23"/>
      <c r="L47" s="24"/>
      <c r="M47" s="24"/>
      <c r="N47" s="24"/>
      <c r="O47" s="24"/>
      <c r="P47" s="23"/>
      <c r="Q47" s="23"/>
      <c r="R47" s="24"/>
      <c r="S47" s="23"/>
      <c r="T47" s="2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3"/>
      <c r="BC47" s="6"/>
      <c r="BD47" s="6"/>
      <c r="BE47" s="25"/>
      <c r="BF47" s="6"/>
      <c r="BH47" s="6"/>
    </row>
    <row r="48" spans="1:60" s="12" customFormat="1" ht="7.5" customHeight="1" hidden="1">
      <c r="A48" s="21"/>
      <c r="C48" s="22"/>
      <c r="D48" s="23"/>
      <c r="E48" s="23"/>
      <c r="F48" s="24"/>
      <c r="G48" s="23"/>
      <c r="H48" s="23"/>
      <c r="I48" s="24"/>
      <c r="J48" s="23"/>
      <c r="K48" s="23"/>
      <c r="L48" s="24"/>
      <c r="M48" s="24"/>
      <c r="N48" s="24"/>
      <c r="O48" s="24"/>
      <c r="P48" s="23"/>
      <c r="Q48" s="23"/>
      <c r="R48" s="24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3"/>
      <c r="BC48" s="6"/>
      <c r="BD48" s="6"/>
      <c r="BE48" s="25"/>
      <c r="BF48" s="6"/>
      <c r="BH48" s="6"/>
    </row>
    <row r="49" spans="1:60" s="12" customFormat="1" ht="19.5" customHeight="1" hidden="1">
      <c r="A49" s="26"/>
      <c r="B49" s="12" t="s">
        <v>123</v>
      </c>
      <c r="C49" s="22"/>
      <c r="D49" s="23"/>
      <c r="E49" s="23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6"/>
      <c r="BD49" s="6"/>
      <c r="BE49" s="25"/>
      <c r="BF49" s="6"/>
      <c r="BH49" s="6"/>
    </row>
    <row r="50" spans="1:60" ht="24.75" customHeight="1">
      <c r="A50" s="2"/>
      <c r="C50" s="27"/>
      <c r="D50" s="20"/>
      <c r="E50" s="20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0"/>
      <c r="Q50" s="20"/>
      <c r="R50" s="53"/>
      <c r="S50" s="20"/>
      <c r="T50" s="20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20"/>
      <c r="AT50" s="20"/>
      <c r="AU50" s="53"/>
      <c r="AV50" s="20"/>
      <c r="AW50" s="20"/>
      <c r="AX50" s="20"/>
      <c r="AY50" s="20"/>
      <c r="AZ50" s="20"/>
      <c r="BA50" s="20"/>
      <c r="BB50" s="20"/>
      <c r="BC50" s="7"/>
      <c r="BD50" s="7"/>
      <c r="BE50" s="28"/>
      <c r="BF50" s="7"/>
      <c r="BH50" s="7"/>
    </row>
    <row r="51" spans="1:49" s="32" customFormat="1" ht="96.75" customHeight="1">
      <c r="A51" s="29"/>
      <c r="B51" s="169" t="s">
        <v>137</v>
      </c>
      <c r="C51" s="169"/>
      <c r="D51" s="169"/>
      <c r="E51" s="169"/>
      <c r="F51" s="169"/>
      <c r="G51" s="30"/>
      <c r="H51" s="30"/>
      <c r="I51" s="54"/>
      <c r="J51" s="30"/>
      <c r="K51" s="30"/>
      <c r="L51" s="54"/>
      <c r="M51" s="54"/>
      <c r="N51" s="54"/>
      <c r="O51" s="54"/>
      <c r="P51" s="30"/>
      <c r="Q51" s="30"/>
      <c r="R51" s="54"/>
      <c r="S51" s="30"/>
      <c r="T51" s="30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30"/>
      <c r="AT51" s="30"/>
      <c r="AU51" s="54"/>
      <c r="AV51" s="170" t="s">
        <v>136</v>
      </c>
      <c r="AW51" s="170"/>
    </row>
    <row r="52" spans="1:49" ht="73.5" customHeight="1" hidden="1">
      <c r="A52" s="165" t="s">
        <v>133</v>
      </c>
      <c r="B52" s="165"/>
      <c r="C52" s="33"/>
      <c r="D52" s="33"/>
      <c r="E52" s="33"/>
      <c r="F52" s="33"/>
      <c r="G52" s="34"/>
      <c r="H52" s="34"/>
      <c r="I52" s="35"/>
      <c r="J52" s="34"/>
      <c r="K52" s="34"/>
      <c r="L52" s="35"/>
      <c r="M52" s="35"/>
      <c r="N52" s="35"/>
      <c r="O52" s="35"/>
      <c r="P52" s="34"/>
      <c r="Q52" s="34"/>
      <c r="R52" s="35"/>
      <c r="S52" s="34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4"/>
      <c r="AT52" s="34"/>
      <c r="AU52" s="35"/>
      <c r="AW52" s="4" t="s">
        <v>134</v>
      </c>
    </row>
    <row r="53" spans="50:60" ht="24.75" customHeight="1"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5" spans="50:60" ht="24.75" customHeight="1"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50:60" ht="24.75" customHeight="1"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50:60" ht="24.75" customHeight="1"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50:60" ht="24.75" customHeight="1"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50:60" ht="24.75" customHeight="1"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</row>
    <row r="60" spans="50:60" ht="18.75"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</row>
    <row r="61" spans="50:60" ht="18.75"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</row>
    <row r="62" spans="50:60" ht="18.75"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50:60" ht="18.75"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50:60" ht="18.75"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50:60" ht="18.75"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50:60" ht="18.75"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50:60" ht="18.75"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</row>
    <row r="68" spans="50:60" ht="18.75"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50:60" ht="18.75"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50:60" ht="18.75"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</row>
    <row r="71" spans="50:60" ht="18.75"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50:60" ht="18.75"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50:60" ht="18.75"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</row>
    <row r="74" spans="50:60" ht="18.75"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</row>
    <row r="75" spans="50:60" ht="18.75"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</row>
    <row r="76" spans="50:60" ht="18.75"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</row>
    <row r="77" spans="50:60" ht="18.75"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</row>
    <row r="78" spans="50:60" ht="18.75"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</row>
    <row r="79" spans="50:60" ht="18.75"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50:60" ht="18.75"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</row>
    <row r="81" spans="50:60" ht="18.75"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</row>
    <row r="82" spans="50:60" ht="18.75"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spans="50:60" ht="18.75"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</row>
    <row r="84" spans="50:60" ht="18.75"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</row>
    <row r="85" spans="50:60" ht="18.75"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50:60" ht="18.75"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</row>
    <row r="87" spans="50:60" ht="18.75"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50:60" ht="18.75"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50:60" ht="18.75"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50:60" ht="18.75"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</row>
    <row r="91" spans="50:60" ht="18.75"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</row>
    <row r="92" spans="50:60" ht="18.75"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</row>
    <row r="93" spans="50:60" ht="18.75"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50:60" ht="18.75"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</row>
    <row r="95" spans="50:60" ht="18.75"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</sheetData>
  <sheetProtection/>
  <mergeCells count="25">
    <mergeCell ref="B51:F51"/>
    <mergeCell ref="AE5:AG5"/>
    <mergeCell ref="AJ5:AL5"/>
    <mergeCell ref="AO5:AP5"/>
    <mergeCell ref="AV5:AV6"/>
    <mergeCell ref="G5:I5"/>
    <mergeCell ref="J5:L5"/>
    <mergeCell ref="AS5:AU5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I1:AW1"/>
    <mergeCell ref="B4:F4"/>
    <mergeCell ref="B2:AW2"/>
    <mergeCell ref="B3:AW3"/>
    <mergeCell ref="D5:F5"/>
    <mergeCell ref="AH5:AI5"/>
    <mergeCell ref="AW5:AW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80" zoomScaleNormal="50" zoomScaleSheetLayoutView="80" zoomScalePageLayoutView="0" workbookViewId="0" topLeftCell="A1">
      <pane xSplit="6" ySplit="8" topLeftCell="AN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7" sqref="AS27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97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customWidth="1"/>
    <col min="26" max="26" width="12.875" style="12" customWidth="1"/>
    <col min="27" max="27" width="11.125" style="12" customWidth="1"/>
    <col min="28" max="28" width="14.875" style="12" hidden="1" customWidth="1"/>
    <col min="29" max="29" width="13.1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875" style="12" hidden="1" customWidth="1"/>
    <col min="36" max="36" width="13.75390625" style="12" customWidth="1"/>
    <col min="37" max="37" width="12.875" style="12" customWidth="1"/>
    <col min="38" max="38" width="11.125" style="12" customWidth="1"/>
    <col min="39" max="39" width="13.125" style="12" customWidth="1"/>
    <col min="40" max="40" width="11.875" style="12" customWidth="1"/>
    <col min="41" max="41" width="13.125" style="12" customWidth="1"/>
    <col min="42" max="42" width="11.875" style="12" customWidth="1"/>
    <col min="43" max="43" width="13.125" style="12" customWidth="1"/>
    <col min="44" max="44" width="11.875" style="12" customWidth="1"/>
    <col min="45" max="46" width="14.75390625" style="2" customWidth="1"/>
    <col min="47" max="47" width="11.125" style="12" customWidth="1"/>
    <col min="48" max="48" width="17.75390625" style="2" customWidth="1"/>
    <col min="49" max="49" width="18.25390625" style="2" customWidth="1"/>
    <col min="50" max="50" width="13.00390625" style="2" customWidth="1"/>
    <col min="51" max="51" width="18.875" style="2" customWidth="1"/>
    <col min="52" max="52" width="11.375" style="2" customWidth="1"/>
    <col min="53" max="16384" width="7.875" style="2" customWidth="1"/>
  </cols>
  <sheetData>
    <row r="1" spans="9:49" ht="18.75">
      <c r="I1" s="162" t="s">
        <v>49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56" customFormat="1" ht="42" customHeight="1">
      <c r="A2" s="61"/>
      <c r="B2" s="163" t="s">
        <v>53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56" customFormat="1" ht="42" customHeight="1">
      <c r="A3" s="55"/>
      <c r="B3" s="163" t="s">
        <v>161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8.75">
      <c r="B4" s="174"/>
      <c r="C4" s="174"/>
      <c r="D4" s="174"/>
      <c r="E4" s="174"/>
      <c r="F4" s="174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58" t="s">
        <v>139</v>
      </c>
      <c r="E5" s="159"/>
      <c r="F5" s="160"/>
      <c r="G5" s="153" t="s">
        <v>140</v>
      </c>
      <c r="H5" s="154"/>
      <c r="I5" s="155"/>
      <c r="J5" s="153" t="s">
        <v>142</v>
      </c>
      <c r="K5" s="154"/>
      <c r="L5" s="155"/>
      <c r="M5" s="153" t="s">
        <v>156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159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160</v>
      </c>
      <c r="AK5" s="154"/>
      <c r="AL5" s="155"/>
      <c r="AM5" s="153" t="s">
        <v>150</v>
      </c>
      <c r="AN5" s="155"/>
      <c r="AO5" s="153" t="s">
        <v>151</v>
      </c>
      <c r="AP5" s="155"/>
      <c r="AQ5" s="153" t="s">
        <v>152</v>
      </c>
      <c r="AR5" s="155"/>
      <c r="AS5" s="158" t="s">
        <v>153</v>
      </c>
      <c r="AT5" s="159"/>
      <c r="AU5" s="160"/>
      <c r="AV5" s="156" t="s">
        <v>162</v>
      </c>
      <c r="AW5" s="156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7"/>
      <c r="AW6" s="157"/>
    </row>
    <row r="7" spans="1:52" s="12" customFormat="1" ht="36" customHeight="1">
      <c r="A7" s="52"/>
      <c r="B7" s="62" t="s">
        <v>8</v>
      </c>
      <c r="C7" s="60">
        <f>SUM(C8:C42)</f>
        <v>1799.8</v>
      </c>
      <c r="D7" s="11">
        <f>SUM(D8:D42)</f>
        <v>733.1999999999999</v>
      </c>
      <c r="E7" s="11">
        <f>SUM(E8:E42)</f>
        <v>0</v>
      </c>
      <c r="F7" s="11">
        <f aca="true" t="shared" si="0" ref="F7:F45">E7/D7*100</f>
        <v>0</v>
      </c>
      <c r="G7" s="11">
        <f>SUM(G8:G42)</f>
        <v>747.8</v>
      </c>
      <c r="H7" s="11">
        <f>SUM(H8:H42)</f>
        <v>1004.9999999999999</v>
      </c>
      <c r="I7" s="11">
        <f aca="true" t="shared" si="1" ref="I7:I22">H7/G7*100</f>
        <v>134.39422305429258</v>
      </c>
      <c r="J7" s="11">
        <f>SUM(J8:J42)</f>
        <v>776.7000000000002</v>
      </c>
      <c r="K7" s="11">
        <f>SUM(K8:K42)</f>
        <v>854.6</v>
      </c>
      <c r="L7" s="11">
        <f aca="true" t="shared" si="2" ref="L7:L16">K7/J7*100</f>
        <v>110.02961246298439</v>
      </c>
      <c r="M7" s="11">
        <f>SUM(M8:M42)</f>
        <v>2257.7</v>
      </c>
      <c r="N7" s="11">
        <f>SUM(N8:N42)</f>
        <v>1859.6000000000001</v>
      </c>
      <c r="O7" s="11">
        <f>N7/M7*100</f>
        <v>82.36701067458034</v>
      </c>
      <c r="P7" s="11">
        <f>SUM(P8:P42)</f>
        <v>772.8</v>
      </c>
      <c r="Q7" s="11">
        <f>SUM(Q8:Q42)</f>
        <v>1028.1999999999998</v>
      </c>
      <c r="R7" s="11">
        <f aca="true" t="shared" si="3" ref="R7:R28">Q7/P7*100</f>
        <v>133.04865424430642</v>
      </c>
      <c r="S7" s="11">
        <f>SUM(S8:S42)</f>
        <v>829.4</v>
      </c>
      <c r="T7" s="11">
        <f>SUM(T8:T42)</f>
        <v>761.2</v>
      </c>
      <c r="U7" s="11">
        <f aca="true" t="shared" si="4" ref="U7:U28">T7/S7*100</f>
        <v>91.77718832891247</v>
      </c>
      <c r="V7" s="11">
        <f>SUM(V8:V42)</f>
        <v>1125.3</v>
      </c>
      <c r="W7" s="11">
        <f>SUM(W8:W42)</f>
        <v>1107.2</v>
      </c>
      <c r="X7" s="11">
        <f aca="true" t="shared" si="5" ref="X7:X28">W7/V7*100</f>
        <v>98.39154003376878</v>
      </c>
      <c r="Y7" s="11">
        <f>SUM(Y8:Y42)</f>
        <v>2727.5</v>
      </c>
      <c r="Z7" s="11">
        <f>SUM(Z8:Z42)</f>
        <v>2896.5999999999995</v>
      </c>
      <c r="AA7" s="11">
        <f>Z7/Y7*100</f>
        <v>106.19981668194316</v>
      </c>
      <c r="AB7" s="11">
        <f>SUM(AB8:AB42)</f>
        <v>1098.8</v>
      </c>
      <c r="AC7" s="11">
        <f>SUM(AC8:AC42)</f>
        <v>1655.7000000000003</v>
      </c>
      <c r="AD7" s="11">
        <f aca="true" t="shared" si="6" ref="AD7:AD28">AC7/AB7*100</f>
        <v>150.68256279577724</v>
      </c>
      <c r="AE7" s="11">
        <f>SUM(AE8:AE42)</f>
        <v>1135.5</v>
      </c>
      <c r="AF7" s="11">
        <f>SUM(AF8:AF42)</f>
        <v>906.6999999999999</v>
      </c>
      <c r="AG7" s="11">
        <f>AF7/AE7*100</f>
        <v>79.85028621752531</v>
      </c>
      <c r="AH7" s="11">
        <f>SUM(AH8:AH42)</f>
        <v>1263.1</v>
      </c>
      <c r="AI7" s="11">
        <f>SUM(AI8:AI42)</f>
        <v>950.0999999999998</v>
      </c>
      <c r="AJ7" s="11">
        <f>SUM(AJ8:AJ42)</f>
        <v>3497.4</v>
      </c>
      <c r="AK7" s="11">
        <f>SUM(AK8:AK42)</f>
        <v>3512.500000000001</v>
      </c>
      <c r="AL7" s="11">
        <f>AK7/AJ7*100</f>
        <v>100.43174929947965</v>
      </c>
      <c r="AM7" s="11">
        <f aca="true" t="shared" si="7" ref="AM7:AT7">SUM(AM8:AM42)</f>
        <v>1085.8999999999999</v>
      </c>
      <c r="AN7" s="11">
        <f t="shared" si="7"/>
        <v>1167.5999999999997</v>
      </c>
      <c r="AO7" s="11">
        <f t="shared" si="7"/>
        <v>1104.7</v>
      </c>
      <c r="AP7" s="11">
        <f t="shared" si="7"/>
        <v>875.4999999999999</v>
      </c>
      <c r="AQ7" s="11">
        <f>SUM(AQ8:AQ42)</f>
        <v>1040.7000000000003</v>
      </c>
      <c r="AR7" s="11">
        <f>SUM(AR8:AR42)</f>
        <v>1364.8000000000002</v>
      </c>
      <c r="AS7" s="60">
        <f t="shared" si="7"/>
        <v>11713.900000000003</v>
      </c>
      <c r="AT7" s="60">
        <f t="shared" si="7"/>
        <v>11676.599999999997</v>
      </c>
      <c r="AU7" s="11">
        <f aca="true" t="shared" si="8" ref="AU7:AU44">AT7/AS7*100</f>
        <v>99.68157488112408</v>
      </c>
      <c r="AV7" s="11">
        <f>SUM(AV8:AV42)</f>
        <v>37.29999999999998</v>
      </c>
      <c r="AW7" s="11">
        <f>SUM(AW8:AW42)</f>
        <v>1837.0999999999997</v>
      </c>
      <c r="AX7" s="23">
        <f>M7+Y7+AJ7+AM7</f>
        <v>9568.5</v>
      </c>
      <c r="AY7" s="23">
        <f>N7+Z7+AK7+AN7</f>
        <v>9436.300000000001</v>
      </c>
      <c r="AZ7" s="42">
        <f>C7+AX7-AY7</f>
        <v>1931.9999999999982</v>
      </c>
    </row>
    <row r="8" spans="1:52" ht="24.75" customHeight="1">
      <c r="A8" s="63">
        <v>1</v>
      </c>
      <c r="B8" s="64" t="s">
        <v>59</v>
      </c>
      <c r="C8" s="98">
        <v>59.2</v>
      </c>
      <c r="D8" s="38">
        <v>64.6</v>
      </c>
      <c r="E8" s="38">
        <v>0</v>
      </c>
      <c r="F8" s="11">
        <f>E8/D8*100</f>
        <v>0</v>
      </c>
      <c r="G8" s="38">
        <v>61.9</v>
      </c>
      <c r="H8" s="38">
        <v>59.2</v>
      </c>
      <c r="I8" s="11">
        <f t="shared" si="1"/>
        <v>95.63812600969305</v>
      </c>
      <c r="J8" s="38">
        <v>64.7</v>
      </c>
      <c r="K8" s="38">
        <v>0</v>
      </c>
      <c r="L8" s="11">
        <f t="shared" si="2"/>
        <v>0</v>
      </c>
      <c r="M8" s="80">
        <f>D8+G8+J8</f>
        <v>191.2</v>
      </c>
      <c r="N8" s="80">
        <f>E8+H8+K8</f>
        <v>59.2</v>
      </c>
      <c r="O8" s="11">
        <f aca="true" t="shared" si="9" ref="O8:O45">N8/M8*100</f>
        <v>30.962343096234314</v>
      </c>
      <c r="P8" s="38">
        <v>73.2</v>
      </c>
      <c r="Q8" s="38">
        <v>64</v>
      </c>
      <c r="R8" s="11">
        <f t="shared" si="3"/>
        <v>87.43169398907104</v>
      </c>
      <c r="S8" s="38">
        <v>76.9</v>
      </c>
      <c r="T8" s="38">
        <v>127.2</v>
      </c>
      <c r="U8" s="11">
        <f t="shared" si="4"/>
        <v>165.40962288686606</v>
      </c>
      <c r="V8" s="38">
        <v>81</v>
      </c>
      <c r="W8" s="38">
        <v>0</v>
      </c>
      <c r="X8" s="11">
        <f t="shared" si="5"/>
        <v>0</v>
      </c>
      <c r="Y8" s="80">
        <f>P8+S8+V8</f>
        <v>231.10000000000002</v>
      </c>
      <c r="Z8" s="80">
        <f>Q8+T8+W8</f>
        <v>191.2</v>
      </c>
      <c r="AA8" s="11">
        <f aca="true" t="shared" si="10" ref="AA8:AA28">Z8/Y8*100</f>
        <v>82.73474686282994</v>
      </c>
      <c r="AB8" s="38">
        <v>92.9</v>
      </c>
      <c r="AC8" s="38">
        <v>228.3</v>
      </c>
      <c r="AD8" s="11">
        <f t="shared" si="6"/>
        <v>245.7481162540366</v>
      </c>
      <c r="AE8" s="38">
        <v>101.4</v>
      </c>
      <c r="AF8" s="38">
        <v>96.3</v>
      </c>
      <c r="AG8" s="11">
        <f>AF8/AE8*100</f>
        <v>94.97041420118343</v>
      </c>
      <c r="AH8" s="38">
        <v>96.6</v>
      </c>
      <c r="AI8" s="38">
        <v>100.8</v>
      </c>
      <c r="AJ8" s="80">
        <f>AB8+AE8+AH8</f>
        <v>290.9</v>
      </c>
      <c r="AK8" s="80">
        <f>AC8+AF8+AI8</f>
        <v>425.40000000000003</v>
      </c>
      <c r="AL8" s="11">
        <f aca="true" t="shared" si="11" ref="AL8:AL28">AK8/AJ8*100</f>
        <v>146.23581986937094</v>
      </c>
      <c r="AM8" s="38">
        <v>94.2</v>
      </c>
      <c r="AN8" s="38">
        <v>96.7</v>
      </c>
      <c r="AO8" s="38">
        <v>90.5</v>
      </c>
      <c r="AP8" s="38">
        <v>94.1</v>
      </c>
      <c r="AQ8" s="38">
        <v>69.8</v>
      </c>
      <c r="AR8" s="38">
        <v>90.5</v>
      </c>
      <c r="AS8" s="65">
        <f>M8+Y8+AJ8+AM8+AO8+AQ8</f>
        <v>967.7</v>
      </c>
      <c r="AT8" s="65">
        <f>N8+Z8+AK8+AN8+AP8+AR8</f>
        <v>957.1</v>
      </c>
      <c r="AU8" s="11">
        <f t="shared" si="8"/>
        <v>98.90461920016533</v>
      </c>
      <c r="AV8" s="65">
        <f>AS8-AT8</f>
        <v>10.600000000000023</v>
      </c>
      <c r="AW8" s="18">
        <f aca="true" t="shared" si="12" ref="AW8:AW28">C8+AS8-AT8</f>
        <v>69.80000000000007</v>
      </c>
      <c r="AX8" s="99"/>
      <c r="AY8" s="19"/>
      <c r="AZ8" s="19"/>
    </row>
    <row r="9" spans="1:52" ht="24.75" customHeight="1">
      <c r="A9" s="63">
        <v>2</v>
      </c>
      <c r="B9" s="66" t="s">
        <v>79</v>
      </c>
      <c r="C9" s="98">
        <f>40.4+26.9</f>
        <v>67.3</v>
      </c>
      <c r="D9" s="38">
        <v>11.4</v>
      </c>
      <c r="E9" s="38">
        <v>0</v>
      </c>
      <c r="F9" s="11">
        <f>E9/D9*100</f>
        <v>0</v>
      </c>
      <c r="G9" s="38">
        <v>11.1</v>
      </c>
      <c r="H9" s="38">
        <v>26.9</v>
      </c>
      <c r="I9" s="11">
        <f t="shared" si="1"/>
        <v>242.34234234234236</v>
      </c>
      <c r="J9" s="38">
        <v>11.5</v>
      </c>
      <c r="K9" s="38">
        <v>0</v>
      </c>
      <c r="L9" s="11">
        <f t="shared" si="2"/>
        <v>0</v>
      </c>
      <c r="M9" s="80">
        <f aca="true" t="shared" si="13" ref="M9:M44">D9+G9+J9</f>
        <v>34</v>
      </c>
      <c r="N9" s="80">
        <f aca="true" t="shared" si="14" ref="N9:N44">E9+H9+K9</f>
        <v>26.9</v>
      </c>
      <c r="O9" s="11">
        <f t="shared" si="9"/>
        <v>79.11764705882352</v>
      </c>
      <c r="P9" s="38">
        <v>10.8</v>
      </c>
      <c r="Q9" s="38">
        <v>22.6</v>
      </c>
      <c r="R9" s="11">
        <f t="shared" si="3"/>
        <v>209.25925925925927</v>
      </c>
      <c r="S9" s="38">
        <v>10</v>
      </c>
      <c r="T9" s="38">
        <v>0</v>
      </c>
      <c r="U9" s="11">
        <f t="shared" si="4"/>
        <v>0</v>
      </c>
      <c r="V9" s="38">
        <v>12.7</v>
      </c>
      <c r="W9" s="38">
        <v>32.3</v>
      </c>
      <c r="X9" s="11">
        <f t="shared" si="5"/>
        <v>254.3307086614173</v>
      </c>
      <c r="Y9" s="80">
        <f aca="true" t="shared" si="15" ref="Y9:Y28">P9+S9+V9</f>
        <v>33.5</v>
      </c>
      <c r="Z9" s="80">
        <f aca="true" t="shared" si="16" ref="Z9:Z28">Q9+T9+W9</f>
        <v>54.9</v>
      </c>
      <c r="AA9" s="11">
        <f t="shared" si="10"/>
        <v>163.88059701492537</v>
      </c>
      <c r="AB9" s="38">
        <v>13.3</v>
      </c>
      <c r="AC9" s="38">
        <v>12.7</v>
      </c>
      <c r="AD9" s="11">
        <f t="shared" si="6"/>
        <v>95.48872180451127</v>
      </c>
      <c r="AE9" s="38">
        <v>16.3</v>
      </c>
      <c r="AF9" s="38">
        <v>0</v>
      </c>
      <c r="AG9" s="11">
        <f>AF9/AE9*100</f>
        <v>0</v>
      </c>
      <c r="AH9" s="38">
        <v>17.2</v>
      </c>
      <c r="AI9" s="38">
        <v>0</v>
      </c>
      <c r="AJ9" s="80">
        <f aca="true" t="shared" si="17" ref="AJ9:AJ42">AB9+AE9+AH9</f>
        <v>46.8</v>
      </c>
      <c r="AK9" s="80">
        <f aca="true" t="shared" si="18" ref="AK9:AK42">AC9+AF9+AI9</f>
        <v>12.7</v>
      </c>
      <c r="AL9" s="11">
        <f t="shared" si="11"/>
        <v>27.136752136752136</v>
      </c>
      <c r="AM9" s="38">
        <v>13.1</v>
      </c>
      <c r="AN9" s="38">
        <v>0</v>
      </c>
      <c r="AO9" s="38">
        <v>15.6</v>
      </c>
      <c r="AP9" s="38">
        <v>0</v>
      </c>
      <c r="AQ9" s="38">
        <v>9</v>
      </c>
      <c r="AR9" s="38">
        <v>29.6</v>
      </c>
      <c r="AS9" s="65">
        <f aca="true" t="shared" si="19" ref="AS9:AS42">M9+Y9+AJ9+AM9+AO9+AQ9</f>
        <v>152</v>
      </c>
      <c r="AT9" s="65">
        <f aca="true" t="shared" si="20" ref="AT9:AT42">N9+Z9+AK9+AN9+AP9+AR9</f>
        <v>124.1</v>
      </c>
      <c r="AU9" s="11">
        <f t="shared" si="8"/>
        <v>81.64473684210526</v>
      </c>
      <c r="AV9" s="65">
        <f aca="true" t="shared" si="21" ref="AV9:AV44">AS9-AT9</f>
        <v>27.900000000000006</v>
      </c>
      <c r="AW9" s="18">
        <f t="shared" si="12"/>
        <v>95.20000000000002</v>
      </c>
      <c r="AX9" s="100"/>
      <c r="AY9" s="19"/>
      <c r="AZ9" s="19"/>
    </row>
    <row r="10" spans="1:52" ht="24.75" customHeight="1">
      <c r="A10" s="63">
        <v>3</v>
      </c>
      <c r="B10" s="67" t="s">
        <v>132</v>
      </c>
      <c r="C10" s="98">
        <v>8.4</v>
      </c>
      <c r="D10" s="38">
        <v>0</v>
      </c>
      <c r="E10" s="38">
        <v>0</v>
      </c>
      <c r="F10" s="11">
        <v>0</v>
      </c>
      <c r="G10" s="38">
        <v>4.4</v>
      </c>
      <c r="H10" s="38">
        <v>8.4</v>
      </c>
      <c r="I10" s="11">
        <f t="shared" si="1"/>
        <v>190.9090909090909</v>
      </c>
      <c r="J10" s="38">
        <v>3.1</v>
      </c>
      <c r="K10" s="38">
        <v>0</v>
      </c>
      <c r="L10" s="11">
        <f t="shared" si="2"/>
        <v>0</v>
      </c>
      <c r="M10" s="80">
        <f t="shared" si="13"/>
        <v>7.5</v>
      </c>
      <c r="N10" s="80">
        <f t="shared" si="14"/>
        <v>8.4</v>
      </c>
      <c r="O10" s="11">
        <f t="shared" si="9"/>
        <v>112.00000000000001</v>
      </c>
      <c r="P10" s="38">
        <v>2.6</v>
      </c>
      <c r="Q10" s="38">
        <v>2.9</v>
      </c>
      <c r="R10" s="129">
        <f t="shared" si="3"/>
        <v>111.53846153846155</v>
      </c>
      <c r="S10" s="38">
        <v>2.9</v>
      </c>
      <c r="T10" s="38">
        <v>1.5</v>
      </c>
      <c r="U10" s="129">
        <f t="shared" si="4"/>
        <v>51.724137931034484</v>
      </c>
      <c r="V10" s="38">
        <v>2.9</v>
      </c>
      <c r="W10" s="38">
        <v>5.7</v>
      </c>
      <c r="X10" s="129">
        <f t="shared" si="5"/>
        <v>196.55172413793105</v>
      </c>
      <c r="Y10" s="80">
        <f t="shared" si="15"/>
        <v>8.4</v>
      </c>
      <c r="Z10" s="80">
        <f t="shared" si="16"/>
        <v>10.100000000000001</v>
      </c>
      <c r="AA10" s="11">
        <f t="shared" si="10"/>
        <v>120.23809523809526</v>
      </c>
      <c r="AB10" s="38">
        <v>2.9</v>
      </c>
      <c r="AC10" s="38">
        <v>5.7</v>
      </c>
      <c r="AD10" s="129">
        <f t="shared" si="6"/>
        <v>196.55172413793105</v>
      </c>
      <c r="AE10" s="38">
        <v>15.5</v>
      </c>
      <c r="AF10" s="38">
        <v>2.9</v>
      </c>
      <c r="AG10" s="11">
        <f>AF10/AE10*100</f>
        <v>18.70967741935484</v>
      </c>
      <c r="AH10" s="38">
        <v>0</v>
      </c>
      <c r="AI10" s="38">
        <v>0</v>
      </c>
      <c r="AJ10" s="80">
        <f t="shared" si="17"/>
        <v>18.4</v>
      </c>
      <c r="AK10" s="80">
        <f t="shared" si="18"/>
        <v>8.6</v>
      </c>
      <c r="AL10" s="11">
        <f t="shared" si="11"/>
        <v>46.73913043478261</v>
      </c>
      <c r="AM10" s="38">
        <v>0</v>
      </c>
      <c r="AN10" s="38">
        <v>0</v>
      </c>
      <c r="AO10" s="38">
        <v>4.4</v>
      </c>
      <c r="AP10" s="38">
        <v>8.4</v>
      </c>
      <c r="AQ10" s="38"/>
      <c r="AR10" s="38"/>
      <c r="AS10" s="65">
        <f t="shared" si="19"/>
        <v>38.699999999999996</v>
      </c>
      <c r="AT10" s="65">
        <f t="shared" si="20"/>
        <v>35.5</v>
      </c>
      <c r="AU10" s="11">
        <f t="shared" si="8"/>
        <v>91.73126614987082</v>
      </c>
      <c r="AV10" s="65">
        <f t="shared" si="21"/>
        <v>3.1999999999999957</v>
      </c>
      <c r="AW10" s="18">
        <f t="shared" si="12"/>
        <v>11.599999999999994</v>
      </c>
      <c r="AX10" s="99"/>
      <c r="AY10" s="19"/>
      <c r="AZ10" s="19"/>
    </row>
    <row r="11" spans="1:52" ht="24.75" customHeight="1">
      <c r="A11" s="63">
        <v>4</v>
      </c>
      <c r="B11" s="64" t="s">
        <v>61</v>
      </c>
      <c r="C11" s="98">
        <v>76.2</v>
      </c>
      <c r="D11" s="38">
        <v>18.1</v>
      </c>
      <c r="E11" s="38">
        <v>0</v>
      </c>
      <c r="F11" s="11">
        <f>E11/D11*100</f>
        <v>0</v>
      </c>
      <c r="G11" s="38">
        <v>17.8</v>
      </c>
      <c r="H11" s="38">
        <v>0</v>
      </c>
      <c r="I11" s="11">
        <f t="shared" si="1"/>
        <v>0</v>
      </c>
      <c r="J11" s="38">
        <v>15.7</v>
      </c>
      <c r="K11" s="38">
        <v>68.5</v>
      </c>
      <c r="L11" s="11">
        <f t="shared" si="2"/>
        <v>436.30573248407643</v>
      </c>
      <c r="M11" s="80">
        <f t="shared" si="13"/>
        <v>51.60000000000001</v>
      </c>
      <c r="N11" s="80">
        <f t="shared" si="14"/>
        <v>68.5</v>
      </c>
      <c r="O11" s="11">
        <f t="shared" si="9"/>
        <v>132.7519379844961</v>
      </c>
      <c r="P11" s="38">
        <v>18.3</v>
      </c>
      <c r="Q11" s="38">
        <v>36.5</v>
      </c>
      <c r="R11" s="129">
        <f t="shared" si="3"/>
        <v>199.45355191256832</v>
      </c>
      <c r="S11" s="38">
        <v>20.7</v>
      </c>
      <c r="T11" s="38">
        <v>0</v>
      </c>
      <c r="U11" s="129">
        <f t="shared" si="4"/>
        <v>0</v>
      </c>
      <c r="V11" s="38">
        <v>19.1</v>
      </c>
      <c r="W11" s="38">
        <v>34.5</v>
      </c>
      <c r="X11" s="129">
        <f t="shared" si="5"/>
        <v>180.62827225130889</v>
      </c>
      <c r="Y11" s="80">
        <f t="shared" si="15"/>
        <v>58.1</v>
      </c>
      <c r="Z11" s="80">
        <f t="shared" si="16"/>
        <v>71</v>
      </c>
      <c r="AA11" s="11">
        <f t="shared" si="10"/>
        <v>122.20309810671257</v>
      </c>
      <c r="AB11" s="38">
        <v>26.6</v>
      </c>
      <c r="AC11" s="38">
        <v>14.1</v>
      </c>
      <c r="AD11" s="129">
        <f t="shared" si="6"/>
        <v>53.00751879699248</v>
      </c>
      <c r="AE11" s="38">
        <v>24.3</v>
      </c>
      <c r="AF11" s="38">
        <v>3.8</v>
      </c>
      <c r="AG11" s="11">
        <f>AF11/AE11*100</f>
        <v>15.637860082304526</v>
      </c>
      <c r="AH11" s="38">
        <v>25.7</v>
      </c>
      <c r="AI11" s="38">
        <v>12.2</v>
      </c>
      <c r="AJ11" s="80">
        <f t="shared" si="17"/>
        <v>76.60000000000001</v>
      </c>
      <c r="AK11" s="80">
        <f t="shared" si="18"/>
        <v>30.099999999999998</v>
      </c>
      <c r="AL11" s="11">
        <f t="shared" si="11"/>
        <v>39.29503916449085</v>
      </c>
      <c r="AM11" s="38">
        <v>26.1</v>
      </c>
      <c r="AN11" s="38">
        <v>63.7</v>
      </c>
      <c r="AO11" s="38">
        <v>29.9</v>
      </c>
      <c r="AP11" s="38">
        <v>25.7</v>
      </c>
      <c r="AQ11" s="38">
        <v>25.4</v>
      </c>
      <c r="AR11" s="38">
        <v>21</v>
      </c>
      <c r="AS11" s="65">
        <f t="shared" si="19"/>
        <v>267.7</v>
      </c>
      <c r="AT11" s="65">
        <f t="shared" si="20"/>
        <v>280</v>
      </c>
      <c r="AU11" s="11">
        <f t="shared" si="8"/>
        <v>104.59469555472545</v>
      </c>
      <c r="AV11" s="65">
        <f t="shared" si="21"/>
        <v>-12.300000000000011</v>
      </c>
      <c r="AW11" s="18">
        <f t="shared" si="12"/>
        <v>63.89999999999998</v>
      </c>
      <c r="AX11" s="99"/>
      <c r="AY11" s="19"/>
      <c r="AZ11" s="19"/>
    </row>
    <row r="12" spans="1:52" ht="24.75" customHeight="1">
      <c r="A12" s="63">
        <v>5</v>
      </c>
      <c r="B12" s="64" t="s">
        <v>62</v>
      </c>
      <c r="C12" s="98">
        <v>5.1</v>
      </c>
      <c r="D12" s="38">
        <v>4.8</v>
      </c>
      <c r="E12" s="38">
        <v>0</v>
      </c>
      <c r="F12" s="11">
        <f>E12/D12*100</f>
        <v>0</v>
      </c>
      <c r="G12" s="38">
        <v>5.2</v>
      </c>
      <c r="H12" s="38">
        <v>9.9</v>
      </c>
      <c r="I12" s="11">
        <f t="shared" si="1"/>
        <v>190.3846153846154</v>
      </c>
      <c r="J12" s="38">
        <v>4.9</v>
      </c>
      <c r="K12" s="38">
        <v>-6.5</v>
      </c>
      <c r="L12" s="11">
        <f t="shared" si="2"/>
        <v>-132.6530612244898</v>
      </c>
      <c r="M12" s="80">
        <f t="shared" si="13"/>
        <v>14.9</v>
      </c>
      <c r="N12" s="80">
        <f t="shared" si="14"/>
        <v>3.4000000000000004</v>
      </c>
      <c r="O12" s="11">
        <f t="shared" si="9"/>
        <v>22.81879194630873</v>
      </c>
      <c r="P12" s="38">
        <v>5</v>
      </c>
      <c r="Q12" s="38">
        <v>11.8</v>
      </c>
      <c r="R12" s="11">
        <f t="shared" si="3"/>
        <v>236.00000000000003</v>
      </c>
      <c r="S12" s="38">
        <v>9</v>
      </c>
      <c r="T12" s="38">
        <v>4.8</v>
      </c>
      <c r="U12" s="11">
        <f t="shared" si="4"/>
        <v>53.333333333333336</v>
      </c>
      <c r="V12" s="38">
        <v>6.8</v>
      </c>
      <c r="W12" s="38">
        <v>5</v>
      </c>
      <c r="X12" s="11">
        <f t="shared" si="5"/>
        <v>73.52941176470588</v>
      </c>
      <c r="Y12" s="80">
        <f t="shared" si="15"/>
        <v>20.8</v>
      </c>
      <c r="Z12" s="80">
        <f t="shared" si="16"/>
        <v>21.6</v>
      </c>
      <c r="AA12" s="11">
        <f t="shared" si="10"/>
        <v>103.84615384615385</v>
      </c>
      <c r="AB12" s="38">
        <v>7.5</v>
      </c>
      <c r="AC12" s="38">
        <v>15.8</v>
      </c>
      <c r="AD12" s="11">
        <f t="shared" si="6"/>
        <v>210.66666666666669</v>
      </c>
      <c r="AE12" s="38">
        <v>7.2</v>
      </c>
      <c r="AF12" s="38">
        <v>7.5</v>
      </c>
      <c r="AG12" s="129">
        <f aca="true" t="shared" si="22" ref="AG12:AG24">AF12/AE12*100</f>
        <v>104.16666666666667</v>
      </c>
      <c r="AH12" s="38">
        <v>7.6</v>
      </c>
      <c r="AI12" s="38">
        <v>7.2</v>
      </c>
      <c r="AJ12" s="80">
        <f t="shared" si="17"/>
        <v>22.299999999999997</v>
      </c>
      <c r="AK12" s="80">
        <f t="shared" si="18"/>
        <v>30.5</v>
      </c>
      <c r="AL12" s="11">
        <f t="shared" si="11"/>
        <v>136.7713004484305</v>
      </c>
      <c r="AM12" s="38">
        <v>8.4</v>
      </c>
      <c r="AN12" s="38">
        <v>7.6</v>
      </c>
      <c r="AO12" s="38">
        <v>7.3</v>
      </c>
      <c r="AP12" s="38">
        <v>8.4</v>
      </c>
      <c r="AQ12" s="38">
        <v>7.9</v>
      </c>
      <c r="AR12" s="38">
        <v>7.3</v>
      </c>
      <c r="AS12" s="65">
        <f t="shared" si="19"/>
        <v>81.60000000000001</v>
      </c>
      <c r="AT12" s="65">
        <f t="shared" si="20"/>
        <v>78.8</v>
      </c>
      <c r="AU12" s="11">
        <f t="shared" si="8"/>
        <v>96.56862745098039</v>
      </c>
      <c r="AV12" s="65">
        <f t="shared" si="21"/>
        <v>2.8000000000000114</v>
      </c>
      <c r="AW12" s="18">
        <f t="shared" si="12"/>
        <v>7.900000000000006</v>
      </c>
      <c r="AX12" s="99"/>
      <c r="AY12" s="19"/>
      <c r="AZ12" s="19"/>
    </row>
    <row r="13" spans="1:52" ht="24.75" customHeight="1">
      <c r="A13" s="63">
        <v>6</v>
      </c>
      <c r="B13" s="64" t="s">
        <v>63</v>
      </c>
      <c r="C13" s="98">
        <v>29.5</v>
      </c>
      <c r="D13" s="38">
        <v>16.4</v>
      </c>
      <c r="E13" s="38">
        <v>0</v>
      </c>
      <c r="F13" s="11">
        <f t="shared" si="0"/>
        <v>0</v>
      </c>
      <c r="G13" s="38">
        <v>13.6</v>
      </c>
      <c r="H13" s="38">
        <v>29.5</v>
      </c>
      <c r="I13" s="11">
        <f t="shared" si="1"/>
        <v>216.91176470588235</v>
      </c>
      <c r="J13" s="38">
        <v>13.4</v>
      </c>
      <c r="K13" s="38">
        <v>0</v>
      </c>
      <c r="L13" s="11">
        <f t="shared" si="2"/>
        <v>0</v>
      </c>
      <c r="M13" s="80">
        <f t="shared" si="13"/>
        <v>43.4</v>
      </c>
      <c r="N13" s="80">
        <f t="shared" si="14"/>
        <v>29.5</v>
      </c>
      <c r="O13" s="11">
        <f t="shared" si="9"/>
        <v>67.97235023041475</v>
      </c>
      <c r="P13" s="38">
        <v>14</v>
      </c>
      <c r="Q13" s="38">
        <v>30</v>
      </c>
      <c r="R13" s="129">
        <f t="shared" si="3"/>
        <v>214.28571428571428</v>
      </c>
      <c r="S13" s="38">
        <v>16.1</v>
      </c>
      <c r="T13" s="38">
        <v>0</v>
      </c>
      <c r="U13" s="129">
        <f t="shared" si="4"/>
        <v>0</v>
      </c>
      <c r="V13" s="38">
        <v>17.8</v>
      </c>
      <c r="W13" s="38">
        <v>19</v>
      </c>
      <c r="X13" s="129">
        <f t="shared" si="5"/>
        <v>106.74157303370787</v>
      </c>
      <c r="Y13" s="80">
        <f t="shared" si="15"/>
        <v>47.900000000000006</v>
      </c>
      <c r="Z13" s="80">
        <f t="shared" si="16"/>
        <v>49</v>
      </c>
      <c r="AA13" s="11">
        <f t="shared" si="10"/>
        <v>102.29645093945719</v>
      </c>
      <c r="AB13" s="38">
        <v>24.9</v>
      </c>
      <c r="AC13" s="38">
        <v>24.6</v>
      </c>
      <c r="AD13" s="129">
        <f t="shared" si="6"/>
        <v>98.79518072289157</v>
      </c>
      <c r="AE13" s="38">
        <v>20.2</v>
      </c>
      <c r="AF13" s="38">
        <v>17.8</v>
      </c>
      <c r="AG13" s="11">
        <f t="shared" si="22"/>
        <v>88.11881188118814</v>
      </c>
      <c r="AH13" s="38">
        <v>24.3</v>
      </c>
      <c r="AI13" s="38">
        <v>24.9</v>
      </c>
      <c r="AJ13" s="80">
        <f t="shared" si="17"/>
        <v>69.39999999999999</v>
      </c>
      <c r="AK13" s="80">
        <f t="shared" si="18"/>
        <v>67.30000000000001</v>
      </c>
      <c r="AL13" s="11">
        <f t="shared" si="11"/>
        <v>96.9740634005764</v>
      </c>
      <c r="AM13" s="38">
        <v>20.3</v>
      </c>
      <c r="AN13" s="38">
        <v>20.2</v>
      </c>
      <c r="AO13" s="38">
        <v>21.3</v>
      </c>
      <c r="AP13" s="38">
        <v>24.3</v>
      </c>
      <c r="AQ13" s="38">
        <v>19.4</v>
      </c>
      <c r="AR13" s="38">
        <v>20.3</v>
      </c>
      <c r="AS13" s="65">
        <f t="shared" si="19"/>
        <v>221.70000000000002</v>
      </c>
      <c r="AT13" s="65">
        <f t="shared" si="20"/>
        <v>210.60000000000002</v>
      </c>
      <c r="AU13" s="11">
        <f t="shared" si="8"/>
        <v>94.99323410013533</v>
      </c>
      <c r="AV13" s="65">
        <f t="shared" si="21"/>
        <v>11.099999999999994</v>
      </c>
      <c r="AW13" s="18">
        <f t="shared" si="12"/>
        <v>40.599999999999994</v>
      </c>
      <c r="AX13" s="99"/>
      <c r="AY13" s="19"/>
      <c r="AZ13" s="19"/>
    </row>
    <row r="14" spans="1:52" ht="24.75" customHeight="1">
      <c r="A14" s="63">
        <v>7</v>
      </c>
      <c r="B14" s="64" t="s">
        <v>64</v>
      </c>
      <c r="C14" s="98">
        <v>4.2</v>
      </c>
      <c r="D14" s="38">
        <v>4.2</v>
      </c>
      <c r="E14" s="38">
        <v>0</v>
      </c>
      <c r="F14" s="11">
        <f t="shared" si="0"/>
        <v>0</v>
      </c>
      <c r="G14" s="38">
        <v>4.2</v>
      </c>
      <c r="H14" s="38">
        <v>8.4</v>
      </c>
      <c r="I14" s="11">
        <f t="shared" si="1"/>
        <v>200</v>
      </c>
      <c r="J14" s="38">
        <v>4.4</v>
      </c>
      <c r="K14" s="38">
        <v>0</v>
      </c>
      <c r="L14" s="11">
        <f t="shared" si="2"/>
        <v>0</v>
      </c>
      <c r="M14" s="80">
        <f t="shared" si="13"/>
        <v>12.8</v>
      </c>
      <c r="N14" s="80">
        <f t="shared" si="14"/>
        <v>8.4</v>
      </c>
      <c r="O14" s="11">
        <f t="shared" si="9"/>
        <v>65.625</v>
      </c>
      <c r="P14" s="38">
        <v>4.2</v>
      </c>
      <c r="Q14" s="38">
        <v>7.3</v>
      </c>
      <c r="R14" s="11">
        <f t="shared" si="3"/>
        <v>173.8095238095238</v>
      </c>
      <c r="S14" s="38">
        <v>4.1</v>
      </c>
      <c r="T14" s="38">
        <v>8.4</v>
      </c>
      <c r="U14" s="11">
        <f t="shared" si="4"/>
        <v>204.8780487804878</v>
      </c>
      <c r="V14" s="38">
        <v>4.8</v>
      </c>
      <c r="W14" s="38">
        <v>1.2</v>
      </c>
      <c r="X14" s="11">
        <f t="shared" si="5"/>
        <v>25</v>
      </c>
      <c r="Y14" s="80">
        <f t="shared" si="15"/>
        <v>13.100000000000001</v>
      </c>
      <c r="Z14" s="80">
        <f t="shared" si="16"/>
        <v>16.9</v>
      </c>
      <c r="AA14" s="11">
        <f t="shared" si="10"/>
        <v>129.00763358778624</v>
      </c>
      <c r="AB14" s="38">
        <v>5.1</v>
      </c>
      <c r="AC14" s="38">
        <v>4.8</v>
      </c>
      <c r="AD14" s="11">
        <f t="shared" si="6"/>
        <v>94.11764705882352</v>
      </c>
      <c r="AE14" s="38">
        <v>6.1</v>
      </c>
      <c r="AF14" s="38">
        <v>5.1</v>
      </c>
      <c r="AG14" s="11">
        <f t="shared" si="22"/>
        <v>83.60655737704919</v>
      </c>
      <c r="AH14" s="38">
        <v>6.1</v>
      </c>
      <c r="AI14" s="38">
        <v>6.1</v>
      </c>
      <c r="AJ14" s="80">
        <f t="shared" si="17"/>
        <v>17.299999999999997</v>
      </c>
      <c r="AK14" s="80">
        <f t="shared" si="18"/>
        <v>15.999999999999998</v>
      </c>
      <c r="AL14" s="11">
        <f t="shared" si="11"/>
        <v>92.48554913294798</v>
      </c>
      <c r="AM14" s="38">
        <v>5.4</v>
      </c>
      <c r="AN14" s="38">
        <v>6.2</v>
      </c>
      <c r="AO14" s="38">
        <v>5</v>
      </c>
      <c r="AP14" s="38">
        <v>0</v>
      </c>
      <c r="AQ14" s="38">
        <v>5.2</v>
      </c>
      <c r="AR14" s="38">
        <v>10.5</v>
      </c>
      <c r="AS14" s="65">
        <f t="shared" si="19"/>
        <v>58.800000000000004</v>
      </c>
      <c r="AT14" s="65">
        <f t="shared" si="20"/>
        <v>58</v>
      </c>
      <c r="AU14" s="11">
        <f t="shared" si="8"/>
        <v>98.63945578231291</v>
      </c>
      <c r="AV14" s="65">
        <f t="shared" si="21"/>
        <v>0.8000000000000043</v>
      </c>
      <c r="AW14" s="18">
        <f t="shared" si="12"/>
        <v>5.000000000000007</v>
      </c>
      <c r="AX14" s="99"/>
      <c r="AY14" s="19"/>
      <c r="AZ14" s="19"/>
    </row>
    <row r="15" spans="1:52" ht="24.75" customHeight="1">
      <c r="A15" s="63">
        <v>8</v>
      </c>
      <c r="B15" s="64" t="s">
        <v>65</v>
      </c>
      <c r="C15" s="98">
        <v>277.4</v>
      </c>
      <c r="D15" s="38">
        <v>62.3</v>
      </c>
      <c r="E15" s="38">
        <v>0</v>
      </c>
      <c r="F15" s="11">
        <f t="shared" si="0"/>
        <v>0</v>
      </c>
      <c r="G15" s="38">
        <v>61.3</v>
      </c>
      <c r="H15" s="38">
        <v>64.8</v>
      </c>
      <c r="I15" s="11">
        <f t="shared" si="1"/>
        <v>105.70962479608484</v>
      </c>
      <c r="J15" s="38">
        <v>64.4</v>
      </c>
      <c r="K15" s="38">
        <v>230.6</v>
      </c>
      <c r="L15" s="11">
        <f t="shared" si="2"/>
        <v>358.07453416149065</v>
      </c>
      <c r="M15" s="80">
        <f t="shared" si="13"/>
        <v>188</v>
      </c>
      <c r="N15" s="80">
        <f t="shared" si="14"/>
        <v>295.4</v>
      </c>
      <c r="O15" s="11">
        <f t="shared" si="9"/>
        <v>157.12765957446808</v>
      </c>
      <c r="P15" s="38">
        <v>65.8</v>
      </c>
      <c r="Q15" s="38">
        <v>48.5</v>
      </c>
      <c r="R15" s="129">
        <f t="shared" si="3"/>
        <v>73.70820668693008</v>
      </c>
      <c r="S15" s="38">
        <v>88.6</v>
      </c>
      <c r="T15" s="38">
        <v>73.8</v>
      </c>
      <c r="U15" s="129">
        <f t="shared" si="4"/>
        <v>83.29571106094808</v>
      </c>
      <c r="V15" s="38">
        <v>128.7</v>
      </c>
      <c r="W15" s="38">
        <v>0</v>
      </c>
      <c r="X15" s="129">
        <f t="shared" si="5"/>
        <v>0</v>
      </c>
      <c r="Y15" s="80">
        <f t="shared" si="15"/>
        <v>283.09999999999997</v>
      </c>
      <c r="Z15" s="80">
        <f t="shared" si="16"/>
        <v>122.3</v>
      </c>
      <c r="AA15" s="11">
        <f t="shared" si="10"/>
        <v>43.20028258565878</v>
      </c>
      <c r="AB15" s="38">
        <v>115.8</v>
      </c>
      <c r="AC15" s="38">
        <v>221.6</v>
      </c>
      <c r="AD15" s="129">
        <f t="shared" si="6"/>
        <v>191.36442141623488</v>
      </c>
      <c r="AE15" s="38">
        <v>116.3</v>
      </c>
      <c r="AF15" s="38">
        <v>139.7</v>
      </c>
      <c r="AG15" s="11">
        <f t="shared" si="22"/>
        <v>120.12037833190026</v>
      </c>
      <c r="AH15" s="38">
        <v>105.7</v>
      </c>
      <c r="AI15" s="38">
        <v>119.3</v>
      </c>
      <c r="AJ15" s="80">
        <f t="shared" si="17"/>
        <v>337.8</v>
      </c>
      <c r="AK15" s="80">
        <f t="shared" si="18"/>
        <v>480.59999999999997</v>
      </c>
      <c r="AL15" s="11">
        <f t="shared" si="11"/>
        <v>142.2735346358792</v>
      </c>
      <c r="AM15" s="38">
        <v>94.5</v>
      </c>
      <c r="AN15" s="38">
        <v>115.9</v>
      </c>
      <c r="AO15" s="38">
        <v>102.9</v>
      </c>
      <c r="AP15" s="38">
        <v>115.5</v>
      </c>
      <c r="AQ15" s="38">
        <v>89.1</v>
      </c>
      <c r="AR15" s="38">
        <v>96.3</v>
      </c>
      <c r="AS15" s="65">
        <f t="shared" si="19"/>
        <v>1095.3999999999999</v>
      </c>
      <c r="AT15" s="65">
        <f t="shared" si="20"/>
        <v>1225.9999999999998</v>
      </c>
      <c r="AU15" s="11">
        <f t="shared" si="8"/>
        <v>111.92258535694724</v>
      </c>
      <c r="AV15" s="65">
        <f t="shared" si="21"/>
        <v>-130.5999999999999</v>
      </c>
      <c r="AW15" s="18">
        <f t="shared" si="12"/>
        <v>146.79999999999995</v>
      </c>
      <c r="AX15" s="99"/>
      <c r="AY15" s="19"/>
      <c r="AZ15" s="19"/>
    </row>
    <row r="16" spans="1:52" ht="24.75" customHeight="1">
      <c r="A16" s="63">
        <v>9</v>
      </c>
      <c r="B16" s="64" t="s">
        <v>66</v>
      </c>
      <c r="C16" s="98">
        <v>1.3</v>
      </c>
      <c r="D16" s="38">
        <v>0.6</v>
      </c>
      <c r="E16" s="38">
        <v>0</v>
      </c>
      <c r="F16" s="11">
        <f t="shared" si="0"/>
        <v>0</v>
      </c>
      <c r="G16" s="38">
        <v>0.6</v>
      </c>
      <c r="H16" s="38">
        <v>1.8</v>
      </c>
      <c r="I16" s="11">
        <f t="shared" si="1"/>
        <v>300</v>
      </c>
      <c r="J16" s="38">
        <v>0.6</v>
      </c>
      <c r="K16" s="38">
        <v>0</v>
      </c>
      <c r="L16" s="11">
        <f t="shared" si="2"/>
        <v>0</v>
      </c>
      <c r="M16" s="80">
        <f t="shared" si="13"/>
        <v>1.7999999999999998</v>
      </c>
      <c r="N16" s="80">
        <f t="shared" si="14"/>
        <v>1.8</v>
      </c>
      <c r="O16" s="11">
        <f t="shared" si="9"/>
        <v>100.00000000000003</v>
      </c>
      <c r="P16" s="38">
        <v>0.6</v>
      </c>
      <c r="Q16" s="38">
        <v>0</v>
      </c>
      <c r="R16" s="11">
        <f t="shared" si="3"/>
        <v>0</v>
      </c>
      <c r="S16" s="38">
        <v>1</v>
      </c>
      <c r="T16" s="38">
        <v>0</v>
      </c>
      <c r="U16" s="11">
        <f t="shared" si="4"/>
        <v>0</v>
      </c>
      <c r="V16" s="38">
        <v>1</v>
      </c>
      <c r="W16" s="38">
        <v>2.4</v>
      </c>
      <c r="X16" s="11">
        <f t="shared" si="5"/>
        <v>240</v>
      </c>
      <c r="Y16" s="80">
        <f t="shared" si="15"/>
        <v>2.6</v>
      </c>
      <c r="Z16" s="80">
        <f t="shared" si="16"/>
        <v>2.4</v>
      </c>
      <c r="AA16" s="11">
        <f t="shared" si="10"/>
        <v>92.3076923076923</v>
      </c>
      <c r="AB16" s="38">
        <v>1</v>
      </c>
      <c r="AC16" s="38">
        <v>0</v>
      </c>
      <c r="AD16" s="11">
        <f t="shared" si="6"/>
        <v>0</v>
      </c>
      <c r="AE16" s="38">
        <v>1.1</v>
      </c>
      <c r="AF16" s="38">
        <v>1.5</v>
      </c>
      <c r="AG16" s="11">
        <f t="shared" si="22"/>
        <v>136.36363636363635</v>
      </c>
      <c r="AH16" s="38">
        <v>1.3</v>
      </c>
      <c r="AI16" s="38">
        <v>1</v>
      </c>
      <c r="AJ16" s="80">
        <f t="shared" si="17"/>
        <v>3.4000000000000004</v>
      </c>
      <c r="AK16" s="80">
        <f t="shared" si="18"/>
        <v>2.5</v>
      </c>
      <c r="AL16" s="11">
        <f t="shared" si="11"/>
        <v>73.52941176470587</v>
      </c>
      <c r="AM16" s="38">
        <v>1.1</v>
      </c>
      <c r="AN16" s="38">
        <v>1.1</v>
      </c>
      <c r="AO16" s="38">
        <v>1</v>
      </c>
      <c r="AP16" s="38">
        <v>1.3</v>
      </c>
      <c r="AQ16" s="38">
        <v>0.9</v>
      </c>
      <c r="AR16" s="38">
        <v>1.1</v>
      </c>
      <c r="AS16" s="65">
        <f t="shared" si="19"/>
        <v>10.8</v>
      </c>
      <c r="AT16" s="65">
        <f t="shared" si="20"/>
        <v>10.200000000000001</v>
      </c>
      <c r="AU16" s="11">
        <f t="shared" si="8"/>
        <v>94.44444444444446</v>
      </c>
      <c r="AV16" s="65">
        <f t="shared" si="21"/>
        <v>0.5999999999999996</v>
      </c>
      <c r="AW16" s="18">
        <f t="shared" si="12"/>
        <v>1.9000000000000004</v>
      </c>
      <c r="AX16" s="99"/>
      <c r="AY16" s="19"/>
      <c r="AZ16" s="19"/>
    </row>
    <row r="17" spans="1:52" ht="24.75" customHeight="1">
      <c r="A17" s="63">
        <v>10</v>
      </c>
      <c r="B17" s="69" t="s">
        <v>2</v>
      </c>
      <c r="C17" s="98">
        <f>22.4+79.2</f>
        <v>101.6</v>
      </c>
      <c r="D17" s="38">
        <f>4.7</f>
        <v>4.7</v>
      </c>
      <c r="E17" s="38">
        <v>0</v>
      </c>
      <c r="F17" s="11">
        <f t="shared" si="0"/>
        <v>0</v>
      </c>
      <c r="G17" s="38">
        <f>7.2+20.3</f>
        <v>27.5</v>
      </c>
      <c r="H17" s="38">
        <f>15.9+20.3</f>
        <v>36.2</v>
      </c>
      <c r="I17" s="11">
        <f t="shared" si="1"/>
        <v>131.63636363636363</v>
      </c>
      <c r="J17" s="38">
        <f>7+41.6</f>
        <v>48.6</v>
      </c>
      <c r="K17" s="38">
        <f>58.9</f>
        <v>58.9</v>
      </c>
      <c r="L17" s="11">
        <f aca="true" t="shared" si="23" ref="L17:L28">K17/J17*100</f>
        <v>121.19341563786008</v>
      </c>
      <c r="M17" s="80">
        <f t="shared" si="13"/>
        <v>80.80000000000001</v>
      </c>
      <c r="N17" s="80">
        <f t="shared" si="14"/>
        <v>95.1</v>
      </c>
      <c r="O17" s="11">
        <f t="shared" si="9"/>
        <v>117.69801980198018</v>
      </c>
      <c r="P17" s="38">
        <f>6.3+0</f>
        <v>6.3</v>
      </c>
      <c r="Q17" s="38">
        <f>18.4+61.9</f>
        <v>80.3</v>
      </c>
      <c r="R17" s="11">
        <f t="shared" si="3"/>
        <v>1274.6031746031745</v>
      </c>
      <c r="S17" s="38">
        <v>6.7</v>
      </c>
      <c r="T17" s="38">
        <f>0+0</f>
        <v>0</v>
      </c>
      <c r="U17" s="11">
        <f t="shared" si="4"/>
        <v>0</v>
      </c>
      <c r="V17" s="38">
        <f>9.9+91.9</f>
        <v>101.80000000000001</v>
      </c>
      <c r="W17" s="38">
        <v>0</v>
      </c>
      <c r="X17" s="11">
        <f t="shared" si="5"/>
        <v>0</v>
      </c>
      <c r="Y17" s="80">
        <f t="shared" si="15"/>
        <v>114.80000000000001</v>
      </c>
      <c r="Z17" s="80">
        <f t="shared" si="16"/>
        <v>80.3</v>
      </c>
      <c r="AA17" s="11">
        <f t="shared" si="10"/>
        <v>69.94773519163762</v>
      </c>
      <c r="AB17" s="38">
        <f>8.2+0</f>
        <v>8.2</v>
      </c>
      <c r="AC17" s="38">
        <f>20+91.9</f>
        <v>111.9</v>
      </c>
      <c r="AD17" s="11">
        <f t="shared" si="6"/>
        <v>1364.6341463414635</v>
      </c>
      <c r="AE17" s="38">
        <v>6.3</v>
      </c>
      <c r="AF17" s="38">
        <v>0</v>
      </c>
      <c r="AG17" s="11">
        <f t="shared" si="22"/>
        <v>0</v>
      </c>
      <c r="AH17" s="38">
        <f>63.5+10.5</f>
        <v>74</v>
      </c>
      <c r="AI17" s="38">
        <v>0</v>
      </c>
      <c r="AJ17" s="80">
        <f t="shared" si="17"/>
        <v>88.5</v>
      </c>
      <c r="AK17" s="80">
        <f t="shared" si="18"/>
        <v>111.9</v>
      </c>
      <c r="AL17" s="11">
        <f t="shared" si="11"/>
        <v>126.4406779661017</v>
      </c>
      <c r="AM17" s="38">
        <f>6.9</f>
        <v>6.9</v>
      </c>
      <c r="AN17" s="38">
        <v>63.5</v>
      </c>
      <c r="AO17" s="38">
        <f>41.3+5.7</f>
        <v>47</v>
      </c>
      <c r="AP17" s="38">
        <v>0</v>
      </c>
      <c r="AQ17" s="38">
        <f>7.6+95.7</f>
        <v>103.3</v>
      </c>
      <c r="AR17" s="38">
        <f>41.3</f>
        <v>41.3</v>
      </c>
      <c r="AS17" s="65">
        <f t="shared" si="19"/>
        <v>441.3</v>
      </c>
      <c r="AT17" s="65">
        <f t="shared" si="20"/>
        <v>392.09999999999997</v>
      </c>
      <c r="AU17" s="11">
        <f t="shared" si="8"/>
        <v>88.85112168592792</v>
      </c>
      <c r="AV17" s="65">
        <f t="shared" si="21"/>
        <v>49.200000000000045</v>
      </c>
      <c r="AW17" s="18">
        <f t="shared" si="12"/>
        <v>150.8</v>
      </c>
      <c r="AX17" s="99"/>
      <c r="AY17" s="19"/>
      <c r="AZ17" s="19"/>
    </row>
    <row r="18" spans="1:52" ht="24.75" customHeight="1">
      <c r="A18" s="63">
        <v>11</v>
      </c>
      <c r="B18" s="69" t="s">
        <v>67</v>
      </c>
      <c r="C18" s="98">
        <v>6</v>
      </c>
      <c r="D18" s="38">
        <v>6.2</v>
      </c>
      <c r="E18" s="38">
        <v>0</v>
      </c>
      <c r="F18" s="11">
        <f t="shared" si="0"/>
        <v>0</v>
      </c>
      <c r="G18" s="38">
        <v>6.6</v>
      </c>
      <c r="H18" s="38">
        <v>12.1</v>
      </c>
      <c r="I18" s="11">
        <f t="shared" si="1"/>
        <v>183.33333333333334</v>
      </c>
      <c r="J18" s="38">
        <v>6.4</v>
      </c>
      <c r="K18" s="38">
        <v>2.4</v>
      </c>
      <c r="L18" s="11">
        <f t="shared" si="23"/>
        <v>37.49999999999999</v>
      </c>
      <c r="M18" s="80">
        <f t="shared" si="13"/>
        <v>19.200000000000003</v>
      </c>
      <c r="N18" s="80">
        <f t="shared" si="14"/>
        <v>14.5</v>
      </c>
      <c r="O18" s="11">
        <f t="shared" si="9"/>
        <v>75.52083333333333</v>
      </c>
      <c r="P18" s="38">
        <v>7.5</v>
      </c>
      <c r="Q18" s="38">
        <v>0</v>
      </c>
      <c r="R18" s="11">
        <f t="shared" si="3"/>
        <v>0</v>
      </c>
      <c r="S18" s="38">
        <v>9.4</v>
      </c>
      <c r="T18" s="38">
        <v>0</v>
      </c>
      <c r="U18" s="11">
        <f t="shared" si="4"/>
        <v>0</v>
      </c>
      <c r="V18" s="38">
        <v>10.1</v>
      </c>
      <c r="W18" s="38">
        <v>18.2</v>
      </c>
      <c r="X18" s="11">
        <f t="shared" si="5"/>
        <v>180.1980198019802</v>
      </c>
      <c r="Y18" s="80">
        <f t="shared" si="15"/>
        <v>27</v>
      </c>
      <c r="Z18" s="80">
        <f t="shared" si="16"/>
        <v>18.2</v>
      </c>
      <c r="AA18" s="11">
        <f t="shared" si="10"/>
        <v>67.4074074074074</v>
      </c>
      <c r="AB18" s="38">
        <v>11</v>
      </c>
      <c r="AC18" s="38">
        <v>19.5</v>
      </c>
      <c r="AD18" s="11">
        <f t="shared" si="6"/>
        <v>177.27272727272728</v>
      </c>
      <c r="AE18" s="38">
        <v>11.4</v>
      </c>
      <c r="AF18" s="38">
        <v>11</v>
      </c>
      <c r="AG18" s="11">
        <f t="shared" si="22"/>
        <v>96.49122807017544</v>
      </c>
      <c r="AH18" s="38">
        <v>11.3</v>
      </c>
      <c r="AI18" s="38">
        <v>11.4</v>
      </c>
      <c r="AJ18" s="80">
        <f t="shared" si="17"/>
        <v>33.7</v>
      </c>
      <c r="AK18" s="80">
        <f t="shared" si="18"/>
        <v>41.9</v>
      </c>
      <c r="AL18" s="11">
        <f t="shared" si="11"/>
        <v>124.33234421364985</v>
      </c>
      <c r="AM18" s="38">
        <v>10.7</v>
      </c>
      <c r="AN18" s="38">
        <v>11.3</v>
      </c>
      <c r="AO18" s="38">
        <v>11.1</v>
      </c>
      <c r="AP18" s="38">
        <v>10.7</v>
      </c>
      <c r="AQ18" s="38">
        <v>10.3</v>
      </c>
      <c r="AR18" s="38">
        <v>11.1</v>
      </c>
      <c r="AS18" s="65">
        <f t="shared" si="19"/>
        <v>112</v>
      </c>
      <c r="AT18" s="65">
        <f t="shared" si="20"/>
        <v>107.69999999999999</v>
      </c>
      <c r="AU18" s="11">
        <f t="shared" si="8"/>
        <v>96.16071428571428</v>
      </c>
      <c r="AV18" s="65">
        <f t="shared" si="21"/>
        <v>4.300000000000011</v>
      </c>
      <c r="AW18" s="18">
        <f t="shared" si="12"/>
        <v>10.300000000000011</v>
      </c>
      <c r="AX18" s="99"/>
      <c r="AY18" s="19"/>
      <c r="AZ18" s="19"/>
    </row>
    <row r="19" spans="1:52" ht="24.75" customHeight="1">
      <c r="A19" s="63">
        <v>12</v>
      </c>
      <c r="B19" s="64" t="s">
        <v>68</v>
      </c>
      <c r="C19" s="98">
        <v>-34.6</v>
      </c>
      <c r="D19" s="38">
        <v>21.9</v>
      </c>
      <c r="E19" s="38">
        <v>0</v>
      </c>
      <c r="F19" s="11">
        <f t="shared" si="0"/>
        <v>0</v>
      </c>
      <c r="G19" s="38">
        <v>21</v>
      </c>
      <c r="H19" s="38">
        <v>0</v>
      </c>
      <c r="I19" s="11">
        <f t="shared" si="1"/>
        <v>0</v>
      </c>
      <c r="J19" s="38">
        <v>20.5</v>
      </c>
      <c r="K19" s="38">
        <v>0</v>
      </c>
      <c r="L19" s="11">
        <f t="shared" si="23"/>
        <v>0</v>
      </c>
      <c r="M19" s="80">
        <f t="shared" si="13"/>
        <v>63.4</v>
      </c>
      <c r="N19" s="80">
        <f t="shared" si="14"/>
        <v>0</v>
      </c>
      <c r="O19" s="11">
        <f t="shared" si="9"/>
        <v>0</v>
      </c>
      <c r="P19" s="38">
        <v>21.7</v>
      </c>
      <c r="Q19" s="38">
        <v>0</v>
      </c>
      <c r="R19" s="129">
        <f t="shared" si="3"/>
        <v>0</v>
      </c>
      <c r="S19" s="38">
        <v>23.1</v>
      </c>
      <c r="T19" s="38">
        <v>8.4</v>
      </c>
      <c r="U19" s="129">
        <f t="shared" si="4"/>
        <v>36.36363636363637</v>
      </c>
      <c r="V19" s="38">
        <v>22.6</v>
      </c>
      <c r="W19" s="38">
        <v>65.3</v>
      </c>
      <c r="X19" s="129">
        <f t="shared" si="5"/>
        <v>288.9380530973451</v>
      </c>
      <c r="Y19" s="80">
        <f t="shared" si="15"/>
        <v>67.4</v>
      </c>
      <c r="Z19" s="80">
        <f t="shared" si="16"/>
        <v>73.7</v>
      </c>
      <c r="AA19" s="11">
        <f t="shared" si="10"/>
        <v>109.34718100890206</v>
      </c>
      <c r="AB19" s="38">
        <v>32.1</v>
      </c>
      <c r="AC19" s="38">
        <v>22.5</v>
      </c>
      <c r="AD19" s="129">
        <f t="shared" si="6"/>
        <v>70.09345794392523</v>
      </c>
      <c r="AE19" s="38">
        <v>32.2</v>
      </c>
      <c r="AF19" s="38">
        <v>32.1</v>
      </c>
      <c r="AG19" s="129">
        <f t="shared" si="22"/>
        <v>99.6894409937888</v>
      </c>
      <c r="AH19" s="38">
        <v>37.7</v>
      </c>
      <c r="AI19" s="38">
        <v>32.2</v>
      </c>
      <c r="AJ19" s="80">
        <f t="shared" si="17"/>
        <v>102.00000000000001</v>
      </c>
      <c r="AK19" s="80">
        <f t="shared" si="18"/>
        <v>86.80000000000001</v>
      </c>
      <c r="AL19" s="11">
        <f t="shared" si="11"/>
        <v>85.09803921568627</v>
      </c>
      <c r="AM19" s="38">
        <v>31.7</v>
      </c>
      <c r="AN19" s="38">
        <v>37.7</v>
      </c>
      <c r="AO19" s="38">
        <v>25.1</v>
      </c>
      <c r="AP19" s="38">
        <v>31.7</v>
      </c>
      <c r="AQ19" s="38">
        <v>26.3</v>
      </c>
      <c r="AR19" s="38">
        <v>27.8</v>
      </c>
      <c r="AS19" s="65">
        <f t="shared" si="19"/>
        <v>315.90000000000003</v>
      </c>
      <c r="AT19" s="65">
        <f t="shared" si="20"/>
        <v>257.7</v>
      </c>
      <c r="AU19" s="11">
        <f t="shared" si="8"/>
        <v>81.5764482431149</v>
      </c>
      <c r="AV19" s="65">
        <f t="shared" si="21"/>
        <v>58.200000000000045</v>
      </c>
      <c r="AW19" s="18">
        <f t="shared" si="12"/>
        <v>23.600000000000023</v>
      </c>
      <c r="AX19" s="99"/>
      <c r="AY19" s="19"/>
      <c r="AZ19" s="19"/>
    </row>
    <row r="20" spans="1:52" ht="24.75" customHeight="1">
      <c r="A20" s="63">
        <v>13</v>
      </c>
      <c r="B20" s="69" t="s">
        <v>69</v>
      </c>
      <c r="C20" s="98">
        <v>34</v>
      </c>
      <c r="D20" s="38">
        <v>4</v>
      </c>
      <c r="E20" s="38">
        <v>0</v>
      </c>
      <c r="F20" s="11">
        <v>0</v>
      </c>
      <c r="G20" s="38">
        <v>9.4</v>
      </c>
      <c r="H20" s="38">
        <v>8.4</v>
      </c>
      <c r="I20" s="11">
        <f t="shared" si="1"/>
        <v>89.36170212765957</v>
      </c>
      <c r="J20" s="38">
        <v>8.8</v>
      </c>
      <c r="K20" s="38">
        <v>18.7</v>
      </c>
      <c r="L20" s="11">
        <f t="shared" si="23"/>
        <v>212.49999999999994</v>
      </c>
      <c r="M20" s="80">
        <f t="shared" si="13"/>
        <v>22.200000000000003</v>
      </c>
      <c r="N20" s="80">
        <f t="shared" si="14"/>
        <v>27.1</v>
      </c>
      <c r="O20" s="11">
        <f t="shared" si="9"/>
        <v>122.07207207207207</v>
      </c>
      <c r="P20" s="38">
        <v>6.2</v>
      </c>
      <c r="Q20" s="38">
        <v>15.7</v>
      </c>
      <c r="R20" s="129">
        <f t="shared" si="3"/>
        <v>253.2258064516129</v>
      </c>
      <c r="S20" s="38">
        <v>0.3</v>
      </c>
      <c r="T20" s="38">
        <v>2.4</v>
      </c>
      <c r="U20" s="129">
        <f t="shared" si="4"/>
        <v>800</v>
      </c>
      <c r="V20" s="38">
        <v>3.3</v>
      </c>
      <c r="W20" s="38">
        <v>17.4</v>
      </c>
      <c r="X20" s="129">
        <f t="shared" si="5"/>
        <v>527.2727272727273</v>
      </c>
      <c r="Y20" s="80">
        <f t="shared" si="15"/>
        <v>9.8</v>
      </c>
      <c r="Z20" s="80">
        <f t="shared" si="16"/>
        <v>35.5</v>
      </c>
      <c r="AA20" s="11">
        <f t="shared" si="10"/>
        <v>362.2448979591836</v>
      </c>
      <c r="AB20" s="38">
        <v>16.4</v>
      </c>
      <c r="AC20" s="38">
        <v>7.3</v>
      </c>
      <c r="AD20" s="129">
        <f t="shared" si="6"/>
        <v>44.51219512195122</v>
      </c>
      <c r="AE20" s="38">
        <v>11.3</v>
      </c>
      <c r="AF20" s="38">
        <v>0</v>
      </c>
      <c r="AG20" s="129">
        <f t="shared" si="22"/>
        <v>0</v>
      </c>
      <c r="AH20" s="38">
        <v>36</v>
      </c>
      <c r="AI20" s="38">
        <v>24</v>
      </c>
      <c r="AJ20" s="80">
        <f t="shared" si="17"/>
        <v>63.7</v>
      </c>
      <c r="AK20" s="80">
        <f t="shared" si="18"/>
        <v>31.3</v>
      </c>
      <c r="AL20" s="11">
        <f t="shared" si="11"/>
        <v>49.13657770800628</v>
      </c>
      <c r="AM20" s="38">
        <v>-13.4</v>
      </c>
      <c r="AN20" s="38">
        <v>0</v>
      </c>
      <c r="AO20" s="38">
        <v>10.4</v>
      </c>
      <c r="AP20" s="38">
        <v>1.5</v>
      </c>
      <c r="AQ20" s="38">
        <v>15.2</v>
      </c>
      <c r="AR20" s="38">
        <v>33.1</v>
      </c>
      <c r="AS20" s="65">
        <f t="shared" si="19"/>
        <v>107.9</v>
      </c>
      <c r="AT20" s="65">
        <f t="shared" si="20"/>
        <v>128.5</v>
      </c>
      <c r="AU20" s="11">
        <f t="shared" si="8"/>
        <v>119.09175162187209</v>
      </c>
      <c r="AV20" s="65">
        <f t="shared" si="21"/>
        <v>-20.599999999999994</v>
      </c>
      <c r="AW20" s="18">
        <f t="shared" si="12"/>
        <v>13.400000000000006</v>
      </c>
      <c r="AX20" s="99"/>
      <c r="AY20" s="19"/>
      <c r="AZ20" s="19"/>
    </row>
    <row r="21" spans="1:52" ht="24.75" customHeight="1">
      <c r="A21" s="63">
        <v>14</v>
      </c>
      <c r="B21" s="69" t="s">
        <v>70</v>
      </c>
      <c r="C21" s="98">
        <v>1.6</v>
      </c>
      <c r="D21" s="38">
        <v>1.3</v>
      </c>
      <c r="E21" s="38">
        <v>0</v>
      </c>
      <c r="F21" s="60">
        <f t="shared" si="0"/>
        <v>0</v>
      </c>
      <c r="G21" s="38">
        <v>1.4</v>
      </c>
      <c r="H21" s="38">
        <v>2.7</v>
      </c>
      <c r="I21" s="11">
        <f t="shared" si="1"/>
        <v>192.8571428571429</v>
      </c>
      <c r="J21" s="38">
        <v>1.6</v>
      </c>
      <c r="K21" s="38">
        <v>0</v>
      </c>
      <c r="L21" s="11">
        <f t="shared" si="23"/>
        <v>0</v>
      </c>
      <c r="M21" s="80">
        <f t="shared" si="13"/>
        <v>4.300000000000001</v>
      </c>
      <c r="N21" s="80">
        <f t="shared" si="14"/>
        <v>2.7</v>
      </c>
      <c r="O21" s="11">
        <f t="shared" si="9"/>
        <v>62.790697674418595</v>
      </c>
      <c r="P21" s="38">
        <v>1.6</v>
      </c>
      <c r="Q21" s="38">
        <v>1.4</v>
      </c>
      <c r="R21" s="129">
        <f t="shared" si="3"/>
        <v>87.49999999999999</v>
      </c>
      <c r="S21" s="38">
        <v>2.1</v>
      </c>
      <c r="T21" s="38">
        <v>0</v>
      </c>
      <c r="U21" s="129">
        <f t="shared" si="4"/>
        <v>0</v>
      </c>
      <c r="V21" s="38">
        <v>3</v>
      </c>
      <c r="W21" s="38">
        <v>3.2</v>
      </c>
      <c r="X21" s="129">
        <f t="shared" si="5"/>
        <v>106.66666666666667</v>
      </c>
      <c r="Y21" s="80">
        <f t="shared" si="15"/>
        <v>6.7</v>
      </c>
      <c r="Z21" s="80">
        <f t="shared" si="16"/>
        <v>4.6</v>
      </c>
      <c r="AA21" s="11">
        <f t="shared" si="10"/>
        <v>68.65671641791045</v>
      </c>
      <c r="AB21" s="38">
        <v>3.1</v>
      </c>
      <c r="AC21" s="38">
        <v>2.1</v>
      </c>
      <c r="AD21" s="129">
        <f t="shared" si="6"/>
        <v>67.74193548387098</v>
      </c>
      <c r="AE21" s="38">
        <v>3.4</v>
      </c>
      <c r="AF21" s="38">
        <v>3</v>
      </c>
      <c r="AG21" s="11">
        <f t="shared" si="22"/>
        <v>88.23529411764706</v>
      </c>
      <c r="AH21" s="38">
        <v>3.4</v>
      </c>
      <c r="AI21" s="38">
        <v>3.1</v>
      </c>
      <c r="AJ21" s="80">
        <f t="shared" si="17"/>
        <v>9.9</v>
      </c>
      <c r="AK21" s="80">
        <f t="shared" si="18"/>
        <v>8.2</v>
      </c>
      <c r="AL21" s="11">
        <f t="shared" si="11"/>
        <v>82.82828282828282</v>
      </c>
      <c r="AM21" s="38">
        <v>3.2</v>
      </c>
      <c r="AN21" s="38">
        <v>3.4</v>
      </c>
      <c r="AO21" s="38">
        <v>3.1</v>
      </c>
      <c r="AP21" s="38">
        <v>3.4</v>
      </c>
      <c r="AQ21" s="38">
        <v>3.3</v>
      </c>
      <c r="AR21" s="38">
        <v>3.2</v>
      </c>
      <c r="AS21" s="65">
        <f t="shared" si="19"/>
        <v>30.5</v>
      </c>
      <c r="AT21" s="65">
        <f t="shared" si="20"/>
        <v>25.499999999999996</v>
      </c>
      <c r="AU21" s="11">
        <f t="shared" si="8"/>
        <v>83.60655737704917</v>
      </c>
      <c r="AV21" s="65">
        <f t="shared" si="21"/>
        <v>5.0000000000000036</v>
      </c>
      <c r="AW21" s="18">
        <f t="shared" si="12"/>
        <v>6.600000000000005</v>
      </c>
      <c r="AX21" s="99"/>
      <c r="AY21" s="19"/>
      <c r="AZ21" s="19"/>
    </row>
    <row r="22" spans="1:52" ht="24.75" customHeight="1">
      <c r="A22" s="63">
        <v>15</v>
      </c>
      <c r="B22" s="69" t="s">
        <v>48</v>
      </c>
      <c r="C22" s="98">
        <v>10.9</v>
      </c>
      <c r="D22" s="38">
        <v>6.7</v>
      </c>
      <c r="E22" s="38">
        <v>0</v>
      </c>
      <c r="F22" s="11">
        <f t="shared" si="0"/>
        <v>0</v>
      </c>
      <c r="G22" s="38">
        <v>7.5</v>
      </c>
      <c r="H22" s="38">
        <v>16.9</v>
      </c>
      <c r="I22" s="11">
        <f t="shared" si="1"/>
        <v>225.3333333333333</v>
      </c>
      <c r="J22" s="38">
        <v>7.7</v>
      </c>
      <c r="K22" s="38">
        <v>0</v>
      </c>
      <c r="L22" s="11">
        <f t="shared" si="23"/>
        <v>0</v>
      </c>
      <c r="M22" s="80">
        <f t="shared" si="13"/>
        <v>21.9</v>
      </c>
      <c r="N22" s="80">
        <f t="shared" si="14"/>
        <v>16.9</v>
      </c>
      <c r="O22" s="11">
        <f t="shared" si="9"/>
        <v>77.1689497716895</v>
      </c>
      <c r="P22" s="38">
        <v>7.9</v>
      </c>
      <c r="Q22" s="38">
        <v>9</v>
      </c>
      <c r="R22" s="129">
        <f t="shared" si="3"/>
        <v>113.92405063291137</v>
      </c>
      <c r="S22" s="38">
        <v>10.7</v>
      </c>
      <c r="T22" s="38">
        <v>8.4</v>
      </c>
      <c r="U22" s="129">
        <f t="shared" si="4"/>
        <v>78.50467289719627</v>
      </c>
      <c r="V22" s="38">
        <v>13.5</v>
      </c>
      <c r="W22" s="38">
        <v>-0.6</v>
      </c>
      <c r="X22" s="129">
        <f t="shared" si="5"/>
        <v>-4.444444444444445</v>
      </c>
      <c r="Y22" s="80">
        <f t="shared" si="15"/>
        <v>32.1</v>
      </c>
      <c r="Z22" s="80">
        <f t="shared" si="16"/>
        <v>16.799999999999997</v>
      </c>
      <c r="AA22" s="11">
        <f t="shared" si="10"/>
        <v>52.33644859813082</v>
      </c>
      <c r="AB22" s="38">
        <v>11.1</v>
      </c>
      <c r="AC22" s="38">
        <v>32.1</v>
      </c>
      <c r="AD22" s="129">
        <f t="shared" si="6"/>
        <v>289.1891891891892</v>
      </c>
      <c r="AE22" s="38">
        <v>2.4</v>
      </c>
      <c r="AF22" s="38">
        <v>3.5</v>
      </c>
      <c r="AG22" s="130">
        <f t="shared" si="22"/>
        <v>145.83333333333334</v>
      </c>
      <c r="AH22" s="38">
        <v>4.4</v>
      </c>
      <c r="AI22" s="38">
        <v>5.7</v>
      </c>
      <c r="AJ22" s="80">
        <f t="shared" si="17"/>
        <v>17.9</v>
      </c>
      <c r="AK22" s="80">
        <f t="shared" si="18"/>
        <v>41.300000000000004</v>
      </c>
      <c r="AL22" s="11">
        <f t="shared" si="11"/>
        <v>230.72625698324026</v>
      </c>
      <c r="AM22" s="38">
        <v>7.9</v>
      </c>
      <c r="AN22" s="38">
        <v>7</v>
      </c>
      <c r="AO22" s="38">
        <v>8.9</v>
      </c>
      <c r="AP22" s="38">
        <v>12.5</v>
      </c>
      <c r="AQ22" s="38">
        <v>8.2</v>
      </c>
      <c r="AR22" s="38">
        <v>8.7</v>
      </c>
      <c r="AS22" s="65">
        <f t="shared" si="19"/>
        <v>96.90000000000002</v>
      </c>
      <c r="AT22" s="65">
        <f t="shared" si="20"/>
        <v>103.2</v>
      </c>
      <c r="AU22" s="11">
        <f t="shared" si="8"/>
        <v>106.50154798761608</v>
      </c>
      <c r="AV22" s="65">
        <f t="shared" si="21"/>
        <v>-6.299999999999983</v>
      </c>
      <c r="AW22" s="18">
        <f t="shared" si="12"/>
        <v>4.600000000000023</v>
      </c>
      <c r="AX22" s="99"/>
      <c r="AY22" s="19"/>
      <c r="AZ22" s="19"/>
    </row>
    <row r="23" spans="1:52" ht="24.75" customHeight="1">
      <c r="A23" s="63">
        <v>16</v>
      </c>
      <c r="B23" s="69" t="s">
        <v>11</v>
      </c>
      <c r="C23" s="98">
        <v>3.8</v>
      </c>
      <c r="D23" s="38">
        <v>1.4</v>
      </c>
      <c r="E23" s="38">
        <v>0</v>
      </c>
      <c r="F23" s="11">
        <v>584.2</v>
      </c>
      <c r="G23" s="38">
        <v>1.4</v>
      </c>
      <c r="H23" s="38">
        <v>4.2</v>
      </c>
      <c r="I23" s="11">
        <f>H23/G23*100</f>
        <v>300.00000000000006</v>
      </c>
      <c r="J23" s="38">
        <v>1.2</v>
      </c>
      <c r="K23" s="38">
        <v>0</v>
      </c>
      <c r="L23" s="11">
        <f t="shared" si="23"/>
        <v>0</v>
      </c>
      <c r="M23" s="80">
        <f t="shared" si="13"/>
        <v>4</v>
      </c>
      <c r="N23" s="80">
        <f t="shared" si="14"/>
        <v>4.2</v>
      </c>
      <c r="O23" s="11">
        <f t="shared" si="9"/>
        <v>105</v>
      </c>
      <c r="P23" s="38">
        <v>1.2</v>
      </c>
      <c r="Q23" s="38">
        <v>1</v>
      </c>
      <c r="R23" s="11">
        <f t="shared" si="3"/>
        <v>83.33333333333334</v>
      </c>
      <c r="S23" s="38">
        <v>1.3</v>
      </c>
      <c r="T23" s="38">
        <v>2.6</v>
      </c>
      <c r="U23" s="11">
        <f t="shared" si="4"/>
        <v>200</v>
      </c>
      <c r="V23" s="38">
        <v>1.6</v>
      </c>
      <c r="W23" s="38">
        <v>1.2</v>
      </c>
      <c r="X23" s="11">
        <f t="shared" si="5"/>
        <v>74.99999999999999</v>
      </c>
      <c r="Y23" s="80">
        <f t="shared" si="15"/>
        <v>4.1</v>
      </c>
      <c r="Z23" s="80">
        <f t="shared" si="16"/>
        <v>4.8</v>
      </c>
      <c r="AA23" s="11">
        <f t="shared" si="10"/>
        <v>117.07317073170734</v>
      </c>
      <c r="AB23" s="38">
        <v>2</v>
      </c>
      <c r="AC23" s="38">
        <v>3</v>
      </c>
      <c r="AD23" s="11">
        <f t="shared" si="6"/>
        <v>150</v>
      </c>
      <c r="AE23" s="38">
        <v>2</v>
      </c>
      <c r="AF23" s="38">
        <v>2</v>
      </c>
      <c r="AG23" s="130">
        <f t="shared" si="22"/>
        <v>100</v>
      </c>
      <c r="AH23" s="38">
        <v>2.1</v>
      </c>
      <c r="AI23" s="38">
        <v>1.9</v>
      </c>
      <c r="AJ23" s="80">
        <f t="shared" si="17"/>
        <v>6.1</v>
      </c>
      <c r="AK23" s="80">
        <f t="shared" si="18"/>
        <v>6.9</v>
      </c>
      <c r="AL23" s="11">
        <f t="shared" si="11"/>
        <v>113.11475409836066</v>
      </c>
      <c r="AM23" s="38">
        <v>1.6</v>
      </c>
      <c r="AN23" s="38">
        <v>2.1</v>
      </c>
      <c r="AO23" s="38">
        <v>1.8</v>
      </c>
      <c r="AP23" s="38">
        <v>1.6</v>
      </c>
      <c r="AQ23" s="38">
        <v>1</v>
      </c>
      <c r="AR23" s="38">
        <v>1.8</v>
      </c>
      <c r="AS23" s="65">
        <f t="shared" si="19"/>
        <v>18.599999999999998</v>
      </c>
      <c r="AT23" s="65">
        <f t="shared" si="20"/>
        <v>21.400000000000002</v>
      </c>
      <c r="AU23" s="11">
        <f t="shared" si="8"/>
        <v>115.05376344086025</v>
      </c>
      <c r="AV23" s="65">
        <f t="shared" si="21"/>
        <v>-2.8000000000000043</v>
      </c>
      <c r="AW23" s="18">
        <f t="shared" si="12"/>
        <v>0.9999999999999964</v>
      </c>
      <c r="AX23" s="99"/>
      <c r="AY23" s="19"/>
      <c r="AZ23" s="19"/>
    </row>
    <row r="24" spans="1:52" ht="24.75" customHeight="1">
      <c r="A24" s="63">
        <v>17</v>
      </c>
      <c r="B24" s="69" t="s">
        <v>47</v>
      </c>
      <c r="C24" s="98">
        <v>108.2</v>
      </c>
      <c r="D24" s="38">
        <v>34.1</v>
      </c>
      <c r="E24" s="38">
        <v>0</v>
      </c>
      <c r="F24" s="11">
        <f t="shared" si="0"/>
        <v>0</v>
      </c>
      <c r="G24" s="38">
        <v>29.3</v>
      </c>
      <c r="H24" s="38">
        <v>108.2</v>
      </c>
      <c r="I24" s="11">
        <f>H24/G24*100</f>
        <v>369.28327645051195</v>
      </c>
      <c r="J24" s="38">
        <v>33.1</v>
      </c>
      <c r="K24" s="38">
        <v>0</v>
      </c>
      <c r="L24" s="11">
        <f t="shared" si="23"/>
        <v>0</v>
      </c>
      <c r="M24" s="80">
        <f t="shared" si="13"/>
        <v>96.5</v>
      </c>
      <c r="N24" s="80">
        <f t="shared" si="14"/>
        <v>108.2</v>
      </c>
      <c r="O24" s="11">
        <f t="shared" si="9"/>
        <v>112.12435233160622</v>
      </c>
      <c r="P24" s="38">
        <v>35.9</v>
      </c>
      <c r="Q24" s="38">
        <v>34.1</v>
      </c>
      <c r="R24" s="11">
        <f t="shared" si="3"/>
        <v>94.98607242339834</v>
      </c>
      <c r="S24" s="38">
        <v>36.8</v>
      </c>
      <c r="T24" s="38">
        <v>29.3</v>
      </c>
      <c r="U24" s="11">
        <f t="shared" si="4"/>
        <v>79.61956521739131</v>
      </c>
      <c r="V24" s="38">
        <v>47.3</v>
      </c>
      <c r="W24" s="38">
        <v>22.7</v>
      </c>
      <c r="X24" s="11">
        <f t="shared" si="5"/>
        <v>47.99154334038055</v>
      </c>
      <c r="Y24" s="80">
        <f t="shared" si="15"/>
        <v>119.99999999999999</v>
      </c>
      <c r="Z24" s="80">
        <f t="shared" si="16"/>
        <v>86.10000000000001</v>
      </c>
      <c r="AA24" s="11">
        <f t="shared" si="10"/>
        <v>71.75000000000001</v>
      </c>
      <c r="AB24" s="38">
        <v>50.1</v>
      </c>
      <c r="AC24" s="38">
        <v>130.3</v>
      </c>
      <c r="AD24" s="11">
        <f t="shared" si="6"/>
        <v>260.07984031936127</v>
      </c>
      <c r="AE24" s="38">
        <v>48.3</v>
      </c>
      <c r="AF24" s="38">
        <v>50.2</v>
      </c>
      <c r="AG24" s="130">
        <f t="shared" si="22"/>
        <v>103.93374741200829</v>
      </c>
      <c r="AH24" s="38">
        <v>50.8</v>
      </c>
      <c r="AI24" s="38">
        <v>48.4</v>
      </c>
      <c r="AJ24" s="80">
        <f t="shared" si="17"/>
        <v>149.2</v>
      </c>
      <c r="AK24" s="80">
        <f t="shared" si="18"/>
        <v>228.9</v>
      </c>
      <c r="AL24" s="11">
        <f t="shared" si="11"/>
        <v>153.4182305630027</v>
      </c>
      <c r="AM24" s="38">
        <v>46.3</v>
      </c>
      <c r="AN24" s="38">
        <v>50.7</v>
      </c>
      <c r="AO24" s="38">
        <v>43.1</v>
      </c>
      <c r="AP24" s="38">
        <v>46.4</v>
      </c>
      <c r="AQ24" s="38">
        <v>30</v>
      </c>
      <c r="AR24" s="38">
        <v>1</v>
      </c>
      <c r="AS24" s="65">
        <f t="shared" si="19"/>
        <v>485.1</v>
      </c>
      <c r="AT24" s="65">
        <f t="shared" si="20"/>
        <v>521.3000000000001</v>
      </c>
      <c r="AU24" s="11">
        <f t="shared" si="8"/>
        <v>107.46237889095033</v>
      </c>
      <c r="AV24" s="65">
        <f t="shared" si="21"/>
        <v>-36.200000000000045</v>
      </c>
      <c r="AW24" s="18">
        <f t="shared" si="12"/>
        <v>72</v>
      </c>
      <c r="AX24" s="99"/>
      <c r="AY24" s="19"/>
      <c r="AZ24" s="19"/>
    </row>
    <row r="25" spans="1:52" ht="24.75" customHeight="1">
      <c r="A25" s="63">
        <v>18</v>
      </c>
      <c r="B25" s="64" t="s">
        <v>50</v>
      </c>
      <c r="C25" s="98">
        <v>17.3</v>
      </c>
      <c r="D25" s="38">
        <v>9.4</v>
      </c>
      <c r="E25" s="38">
        <v>0</v>
      </c>
      <c r="F25" s="11">
        <f t="shared" si="0"/>
        <v>0</v>
      </c>
      <c r="G25" s="38">
        <v>9.1</v>
      </c>
      <c r="H25" s="38">
        <v>17.3</v>
      </c>
      <c r="I25" s="11">
        <f aca="true" t="shared" si="24" ref="I25:I44">H25/G25*100</f>
        <v>190.10989010989013</v>
      </c>
      <c r="J25" s="38">
        <v>9.2</v>
      </c>
      <c r="K25" s="38">
        <v>0</v>
      </c>
      <c r="L25" s="11">
        <f t="shared" si="23"/>
        <v>0</v>
      </c>
      <c r="M25" s="80">
        <f t="shared" si="13"/>
        <v>27.7</v>
      </c>
      <c r="N25" s="80">
        <f t="shared" si="14"/>
        <v>17.3</v>
      </c>
      <c r="O25" s="11">
        <f t="shared" si="9"/>
        <v>62.454873646209386</v>
      </c>
      <c r="P25" s="38">
        <v>9.6</v>
      </c>
      <c r="Q25" s="38">
        <v>21.2</v>
      </c>
      <c r="R25" s="11">
        <f t="shared" si="3"/>
        <v>220.83333333333334</v>
      </c>
      <c r="S25" s="38">
        <v>9.5</v>
      </c>
      <c r="T25" s="38">
        <v>0</v>
      </c>
      <c r="U25" s="11">
        <f t="shared" si="4"/>
        <v>0</v>
      </c>
      <c r="V25" s="38">
        <v>12.7</v>
      </c>
      <c r="W25" s="38">
        <v>9.6</v>
      </c>
      <c r="X25" s="11">
        <f t="shared" si="5"/>
        <v>75.59055118110236</v>
      </c>
      <c r="Y25" s="80">
        <f t="shared" si="15"/>
        <v>31.8</v>
      </c>
      <c r="Z25" s="80">
        <f t="shared" si="16"/>
        <v>30.799999999999997</v>
      </c>
      <c r="AA25" s="11">
        <f t="shared" si="10"/>
        <v>96.85534591194967</v>
      </c>
      <c r="AB25" s="38">
        <v>17.9</v>
      </c>
      <c r="AC25" s="38">
        <v>0</v>
      </c>
      <c r="AD25" s="11">
        <f t="shared" si="6"/>
        <v>0</v>
      </c>
      <c r="AE25" s="38">
        <v>13.8</v>
      </c>
      <c r="AF25" s="38">
        <v>0</v>
      </c>
      <c r="AG25" s="11">
        <f>AF25/AE25*100</f>
        <v>0</v>
      </c>
      <c r="AH25" s="38">
        <v>13.9</v>
      </c>
      <c r="AI25" s="38">
        <v>0</v>
      </c>
      <c r="AJ25" s="80">
        <f t="shared" si="17"/>
        <v>45.6</v>
      </c>
      <c r="AK25" s="80">
        <f t="shared" si="18"/>
        <v>0</v>
      </c>
      <c r="AL25" s="11">
        <f t="shared" si="11"/>
        <v>0</v>
      </c>
      <c r="AM25" s="38">
        <v>13.6</v>
      </c>
      <c r="AN25" s="38">
        <v>74.3</v>
      </c>
      <c r="AO25" s="38">
        <v>10.8</v>
      </c>
      <c r="AP25" s="38">
        <v>2.2</v>
      </c>
      <c r="AQ25" s="38">
        <v>12.3</v>
      </c>
      <c r="AR25" s="38">
        <v>22.2</v>
      </c>
      <c r="AS25" s="65">
        <f t="shared" si="19"/>
        <v>141.8</v>
      </c>
      <c r="AT25" s="65">
        <f t="shared" si="20"/>
        <v>146.79999999999998</v>
      </c>
      <c r="AU25" s="11">
        <f t="shared" si="8"/>
        <v>103.52609308885752</v>
      </c>
      <c r="AV25" s="65">
        <f t="shared" si="21"/>
        <v>-4.999999999999972</v>
      </c>
      <c r="AW25" s="18">
        <f t="shared" si="12"/>
        <v>12.30000000000004</v>
      </c>
      <c r="AX25" s="99"/>
      <c r="AY25" s="19"/>
      <c r="AZ25" s="19"/>
    </row>
    <row r="26" spans="1:52" ht="24.75" customHeight="1">
      <c r="A26" s="63">
        <v>19</v>
      </c>
      <c r="B26" s="69" t="s">
        <v>71</v>
      </c>
      <c r="C26" s="98">
        <v>4.1</v>
      </c>
      <c r="D26" s="38">
        <v>3.9</v>
      </c>
      <c r="E26" s="38">
        <v>0</v>
      </c>
      <c r="F26" s="11">
        <f t="shared" si="0"/>
        <v>0</v>
      </c>
      <c r="G26" s="38">
        <v>3.5</v>
      </c>
      <c r="H26" s="38">
        <v>7.5</v>
      </c>
      <c r="I26" s="11">
        <f t="shared" si="24"/>
        <v>214.28571428571428</v>
      </c>
      <c r="J26" s="38">
        <v>3.9</v>
      </c>
      <c r="K26" s="38">
        <v>2.1</v>
      </c>
      <c r="L26" s="11">
        <f t="shared" si="23"/>
        <v>53.846153846153854</v>
      </c>
      <c r="M26" s="80">
        <f t="shared" si="13"/>
        <v>11.3</v>
      </c>
      <c r="N26" s="80">
        <f t="shared" si="14"/>
        <v>9.6</v>
      </c>
      <c r="O26" s="11">
        <f t="shared" si="9"/>
        <v>84.95575221238937</v>
      </c>
      <c r="P26" s="38">
        <v>4.1</v>
      </c>
      <c r="Q26" s="38">
        <v>0</v>
      </c>
      <c r="R26" s="11">
        <f t="shared" si="3"/>
        <v>0</v>
      </c>
      <c r="S26" s="38">
        <v>4.6</v>
      </c>
      <c r="T26" s="38">
        <v>0</v>
      </c>
      <c r="U26" s="11">
        <f t="shared" si="4"/>
        <v>0</v>
      </c>
      <c r="V26" s="38">
        <v>5</v>
      </c>
      <c r="W26" s="38">
        <v>14.5</v>
      </c>
      <c r="X26" s="11">
        <f t="shared" si="5"/>
        <v>290</v>
      </c>
      <c r="Y26" s="80">
        <f t="shared" si="15"/>
        <v>13.7</v>
      </c>
      <c r="Z26" s="80">
        <f t="shared" si="16"/>
        <v>14.5</v>
      </c>
      <c r="AA26" s="11">
        <f t="shared" si="10"/>
        <v>105.83941605839418</v>
      </c>
      <c r="AB26" s="38">
        <v>5.4</v>
      </c>
      <c r="AC26" s="38">
        <v>0</v>
      </c>
      <c r="AD26" s="11">
        <f t="shared" si="6"/>
        <v>0</v>
      </c>
      <c r="AE26" s="38">
        <v>5.7</v>
      </c>
      <c r="AF26" s="38">
        <v>10.4</v>
      </c>
      <c r="AG26" s="11">
        <f>AF26/AE26*100</f>
        <v>182.45614035087718</v>
      </c>
      <c r="AH26" s="38">
        <v>5.5</v>
      </c>
      <c r="AI26" s="38">
        <v>5.7</v>
      </c>
      <c r="AJ26" s="80">
        <f t="shared" si="17"/>
        <v>16.6</v>
      </c>
      <c r="AK26" s="80">
        <f t="shared" si="18"/>
        <v>16.1</v>
      </c>
      <c r="AL26" s="11">
        <f t="shared" si="11"/>
        <v>96.98795180722891</v>
      </c>
      <c r="AM26" s="38">
        <v>6.7</v>
      </c>
      <c r="AN26" s="38">
        <v>5.5</v>
      </c>
      <c r="AO26" s="38">
        <v>3.9</v>
      </c>
      <c r="AP26" s="38">
        <v>6.7</v>
      </c>
      <c r="AQ26" s="38">
        <v>3.1</v>
      </c>
      <c r="AR26" s="38">
        <v>3.9</v>
      </c>
      <c r="AS26" s="65">
        <f t="shared" si="19"/>
        <v>55.300000000000004</v>
      </c>
      <c r="AT26" s="65">
        <f t="shared" si="20"/>
        <v>56.300000000000004</v>
      </c>
      <c r="AU26" s="11">
        <f t="shared" si="8"/>
        <v>101.80831826401446</v>
      </c>
      <c r="AV26" s="65">
        <f t="shared" si="21"/>
        <v>-1</v>
      </c>
      <c r="AW26" s="18">
        <f t="shared" si="12"/>
        <v>3.1000000000000014</v>
      </c>
      <c r="AX26" s="99"/>
      <c r="AY26" s="19"/>
      <c r="AZ26" s="19"/>
    </row>
    <row r="27" spans="1:52" ht="24.75" customHeight="1">
      <c r="A27" s="63">
        <v>20</v>
      </c>
      <c r="B27" s="69" t="s">
        <v>72</v>
      </c>
      <c r="C27" s="98">
        <v>42</v>
      </c>
      <c r="D27" s="38">
        <v>13.9</v>
      </c>
      <c r="E27" s="38">
        <v>0</v>
      </c>
      <c r="F27" s="11">
        <f t="shared" si="0"/>
        <v>0</v>
      </c>
      <c r="G27" s="38">
        <v>13.9</v>
      </c>
      <c r="H27" s="38">
        <v>55.9</v>
      </c>
      <c r="I27" s="11">
        <f t="shared" si="24"/>
        <v>402.158273381295</v>
      </c>
      <c r="J27" s="38">
        <v>15.8</v>
      </c>
      <c r="K27" s="38">
        <v>0</v>
      </c>
      <c r="L27" s="11">
        <f t="shared" si="23"/>
        <v>0</v>
      </c>
      <c r="M27" s="80">
        <f t="shared" si="13"/>
        <v>43.6</v>
      </c>
      <c r="N27" s="80">
        <f t="shared" si="14"/>
        <v>55.9</v>
      </c>
      <c r="O27" s="11">
        <f t="shared" si="9"/>
        <v>128.21100917431193</v>
      </c>
      <c r="P27" s="38">
        <v>15.5</v>
      </c>
      <c r="Q27" s="38">
        <v>29.7</v>
      </c>
      <c r="R27" s="11">
        <f t="shared" si="3"/>
        <v>191.61290322580643</v>
      </c>
      <c r="S27" s="38">
        <v>15.5</v>
      </c>
      <c r="T27" s="38">
        <v>15.5</v>
      </c>
      <c r="U27" s="11">
        <f t="shared" si="4"/>
        <v>100</v>
      </c>
      <c r="V27" s="38">
        <v>17</v>
      </c>
      <c r="W27" s="38">
        <v>0</v>
      </c>
      <c r="X27" s="11">
        <f t="shared" si="5"/>
        <v>0</v>
      </c>
      <c r="Y27" s="80">
        <f t="shared" si="15"/>
        <v>48</v>
      </c>
      <c r="Z27" s="80">
        <f t="shared" si="16"/>
        <v>45.2</v>
      </c>
      <c r="AA27" s="11">
        <f t="shared" si="10"/>
        <v>94.16666666666667</v>
      </c>
      <c r="AB27" s="38">
        <v>21.2</v>
      </c>
      <c r="AC27" s="38">
        <v>32.5</v>
      </c>
      <c r="AD27" s="11">
        <f t="shared" si="6"/>
        <v>153.30188679245285</v>
      </c>
      <c r="AE27" s="38">
        <v>24.8</v>
      </c>
      <c r="AF27" s="38">
        <v>21.2</v>
      </c>
      <c r="AG27" s="11">
        <f>AF27/AE27*100</f>
        <v>85.48387096774192</v>
      </c>
      <c r="AH27" s="38">
        <v>22.4</v>
      </c>
      <c r="AI27" s="38">
        <v>24.9</v>
      </c>
      <c r="AJ27" s="80">
        <f t="shared" si="17"/>
        <v>68.4</v>
      </c>
      <c r="AK27" s="80">
        <f t="shared" si="18"/>
        <v>78.6</v>
      </c>
      <c r="AL27" s="11">
        <f t="shared" si="11"/>
        <v>114.91228070175437</v>
      </c>
      <c r="AM27" s="38">
        <v>20.4</v>
      </c>
      <c r="AN27" s="38">
        <v>22.1</v>
      </c>
      <c r="AO27" s="38">
        <v>18.5</v>
      </c>
      <c r="AP27" s="38">
        <v>20.4</v>
      </c>
      <c r="AQ27" s="38">
        <v>19</v>
      </c>
      <c r="AR27" s="38">
        <v>18.5</v>
      </c>
      <c r="AS27" s="65">
        <f t="shared" si="19"/>
        <v>217.9</v>
      </c>
      <c r="AT27" s="65">
        <f t="shared" si="20"/>
        <v>240.7</v>
      </c>
      <c r="AU27" s="11">
        <f t="shared" si="8"/>
        <v>110.46351537402477</v>
      </c>
      <c r="AV27" s="65">
        <f t="shared" si="21"/>
        <v>-22.799999999999983</v>
      </c>
      <c r="AW27" s="18">
        <f t="shared" si="12"/>
        <v>19.19999999999999</v>
      </c>
      <c r="AX27" s="99"/>
      <c r="AY27" s="19"/>
      <c r="AZ27" s="19"/>
    </row>
    <row r="28" spans="1:52" ht="24.75" customHeight="1">
      <c r="A28" s="63">
        <v>21</v>
      </c>
      <c r="B28" s="64" t="s">
        <v>73</v>
      </c>
      <c r="C28" s="98">
        <v>23.4</v>
      </c>
      <c r="D28" s="38">
        <v>7.2</v>
      </c>
      <c r="E28" s="38">
        <v>0</v>
      </c>
      <c r="F28" s="11">
        <f t="shared" si="0"/>
        <v>0</v>
      </c>
      <c r="G28" s="38">
        <v>7.4</v>
      </c>
      <c r="H28" s="38">
        <v>8.3</v>
      </c>
      <c r="I28" s="11">
        <f t="shared" si="24"/>
        <v>112.16216216216218</v>
      </c>
      <c r="J28" s="38">
        <v>7.2</v>
      </c>
      <c r="K28" s="38">
        <v>22.3</v>
      </c>
      <c r="L28" s="11">
        <f t="shared" si="23"/>
        <v>309.72222222222223</v>
      </c>
      <c r="M28" s="80">
        <f t="shared" si="13"/>
        <v>21.8</v>
      </c>
      <c r="N28" s="80">
        <f t="shared" si="14"/>
        <v>30.6</v>
      </c>
      <c r="O28" s="11">
        <f t="shared" si="9"/>
        <v>140.36697247706422</v>
      </c>
      <c r="P28" s="38">
        <v>7.3</v>
      </c>
      <c r="Q28" s="38">
        <v>3.5</v>
      </c>
      <c r="R28" s="11">
        <f t="shared" si="3"/>
        <v>47.945205479452056</v>
      </c>
      <c r="S28" s="38">
        <v>8.4</v>
      </c>
      <c r="T28" s="38">
        <v>14.2</v>
      </c>
      <c r="U28" s="11">
        <f t="shared" si="4"/>
        <v>169.04761904761904</v>
      </c>
      <c r="V28" s="38">
        <v>8.6</v>
      </c>
      <c r="W28" s="38">
        <v>0</v>
      </c>
      <c r="X28" s="11">
        <f t="shared" si="5"/>
        <v>0</v>
      </c>
      <c r="Y28" s="80">
        <f t="shared" si="15"/>
        <v>24.299999999999997</v>
      </c>
      <c r="Z28" s="80">
        <f t="shared" si="16"/>
        <v>17.7</v>
      </c>
      <c r="AA28" s="11">
        <f t="shared" si="10"/>
        <v>72.8395061728395</v>
      </c>
      <c r="AB28" s="38">
        <v>9.3</v>
      </c>
      <c r="AC28" s="38">
        <v>0</v>
      </c>
      <c r="AD28" s="11">
        <f t="shared" si="6"/>
        <v>0</v>
      </c>
      <c r="AE28" s="38">
        <v>9.1</v>
      </c>
      <c r="AF28" s="90">
        <v>30.5</v>
      </c>
      <c r="AG28" s="85">
        <f>AF28/AE28*100</f>
        <v>335.16483516483515</v>
      </c>
      <c r="AH28" s="38">
        <v>22.4</v>
      </c>
      <c r="AI28" s="90">
        <v>0</v>
      </c>
      <c r="AJ28" s="80">
        <f t="shared" si="17"/>
        <v>40.8</v>
      </c>
      <c r="AK28" s="80">
        <f t="shared" si="18"/>
        <v>30.5</v>
      </c>
      <c r="AL28" s="11">
        <f t="shared" si="11"/>
        <v>74.75490196078431</v>
      </c>
      <c r="AM28" s="38">
        <v>9.2</v>
      </c>
      <c r="AN28" s="90">
        <v>0</v>
      </c>
      <c r="AO28" s="38">
        <v>10.8</v>
      </c>
      <c r="AP28" s="90">
        <v>0</v>
      </c>
      <c r="AQ28" s="38">
        <v>11.7</v>
      </c>
      <c r="AR28" s="90">
        <v>41.7</v>
      </c>
      <c r="AS28" s="65">
        <f t="shared" si="19"/>
        <v>118.6</v>
      </c>
      <c r="AT28" s="65">
        <f t="shared" si="20"/>
        <v>120.5</v>
      </c>
      <c r="AU28" s="11">
        <f t="shared" si="8"/>
        <v>101.60202360876897</v>
      </c>
      <c r="AV28" s="65">
        <f t="shared" si="21"/>
        <v>-1.9000000000000057</v>
      </c>
      <c r="AW28" s="18">
        <f t="shared" si="12"/>
        <v>21.5</v>
      </c>
      <c r="AX28" s="99"/>
      <c r="AY28" s="19"/>
      <c r="AZ28" s="19"/>
    </row>
    <row r="29" spans="1:52" ht="24.75" customHeight="1">
      <c r="A29" s="63">
        <v>22</v>
      </c>
      <c r="B29" s="64" t="s">
        <v>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0"/>
      <c r="N29" s="80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0"/>
      <c r="Z29" s="80"/>
      <c r="AA29" s="11"/>
      <c r="AB29" s="59"/>
      <c r="AC29" s="59"/>
      <c r="AD29" s="59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65"/>
      <c r="AW29" s="102"/>
      <c r="AX29" s="99"/>
      <c r="AY29" s="19"/>
      <c r="AZ29" s="19"/>
    </row>
    <row r="30" spans="1:52" ht="24.75" customHeight="1">
      <c r="A30" s="63">
        <v>23</v>
      </c>
      <c r="B30" s="69" t="s">
        <v>46</v>
      </c>
      <c r="C30" s="98">
        <v>16.8</v>
      </c>
      <c r="D30" s="38">
        <v>4.3</v>
      </c>
      <c r="E30" s="38">
        <v>0</v>
      </c>
      <c r="F30" s="11">
        <f t="shared" si="0"/>
        <v>0</v>
      </c>
      <c r="G30" s="38">
        <v>4.2</v>
      </c>
      <c r="H30" s="38">
        <v>0</v>
      </c>
      <c r="I30" s="68">
        <f t="shared" si="24"/>
        <v>0</v>
      </c>
      <c r="J30" s="38">
        <v>3.9</v>
      </c>
      <c r="K30" s="38">
        <v>15.9</v>
      </c>
      <c r="L30" s="68">
        <f aca="true" t="shared" si="25" ref="L30:L45">K30/J30*100</f>
        <v>407.69230769230774</v>
      </c>
      <c r="M30" s="80">
        <f t="shared" si="13"/>
        <v>12.4</v>
      </c>
      <c r="N30" s="80">
        <f t="shared" si="14"/>
        <v>15.9</v>
      </c>
      <c r="O30" s="11">
        <f t="shared" si="9"/>
        <v>128.2258064516129</v>
      </c>
      <c r="P30" s="38">
        <v>4.5</v>
      </c>
      <c r="Q30" s="38">
        <v>13.3</v>
      </c>
      <c r="R30" s="129">
        <f aca="true" t="shared" si="26" ref="R30:R45">Q30/P30*100</f>
        <v>295.55555555555554</v>
      </c>
      <c r="S30" s="38">
        <v>3.8</v>
      </c>
      <c r="T30" s="38">
        <v>4.5</v>
      </c>
      <c r="U30" s="129">
        <f aca="true" t="shared" si="27" ref="U30:U45">T30/S30*100</f>
        <v>118.42105263157896</v>
      </c>
      <c r="V30" s="38">
        <v>5.7</v>
      </c>
      <c r="W30" s="38">
        <v>3.8</v>
      </c>
      <c r="X30" s="129">
        <f aca="true" t="shared" si="28" ref="X30:X45">W30/V30*100</f>
        <v>66.66666666666666</v>
      </c>
      <c r="Y30" s="80">
        <f aca="true" t="shared" si="29" ref="Y30:Y42">P30+S30+V30</f>
        <v>14</v>
      </c>
      <c r="Z30" s="80">
        <f aca="true" t="shared" si="30" ref="Z30:Z42">Q30+T30+W30</f>
        <v>21.6</v>
      </c>
      <c r="AA30" s="11">
        <f aca="true" t="shared" si="31" ref="AA30:AA45">Z30/Y30*100</f>
        <v>154.2857142857143</v>
      </c>
      <c r="AB30" s="38">
        <v>4.9</v>
      </c>
      <c r="AC30" s="38">
        <v>5.7</v>
      </c>
      <c r="AD30" s="129">
        <f aca="true" t="shared" si="32" ref="AD30:AD45">AC30/AB30*100</f>
        <v>116.3265306122449</v>
      </c>
      <c r="AE30" s="38">
        <v>9</v>
      </c>
      <c r="AF30" s="38">
        <v>4.9</v>
      </c>
      <c r="AG30" s="129">
        <f aca="true" t="shared" si="33" ref="AG30:AG43">AF30/AE30*100</f>
        <v>54.44444444444445</v>
      </c>
      <c r="AH30" s="38">
        <v>5.2</v>
      </c>
      <c r="AI30" s="38">
        <v>9</v>
      </c>
      <c r="AJ30" s="80">
        <f t="shared" si="17"/>
        <v>19.1</v>
      </c>
      <c r="AK30" s="80">
        <f t="shared" si="18"/>
        <v>19.6</v>
      </c>
      <c r="AL30" s="11">
        <f aca="true" t="shared" si="34" ref="AL30:AL45">AK30/AJ30*100</f>
        <v>102.61780104712042</v>
      </c>
      <c r="AM30" s="38">
        <v>4.7</v>
      </c>
      <c r="AN30" s="38">
        <v>5.2</v>
      </c>
      <c r="AO30" s="38">
        <v>5.9</v>
      </c>
      <c r="AP30" s="38">
        <v>4.7</v>
      </c>
      <c r="AQ30" s="38">
        <v>3</v>
      </c>
      <c r="AR30" s="38">
        <v>5.9</v>
      </c>
      <c r="AS30" s="65">
        <f t="shared" si="19"/>
        <v>59.1</v>
      </c>
      <c r="AT30" s="65">
        <f t="shared" si="20"/>
        <v>72.9</v>
      </c>
      <c r="AU30" s="11">
        <f t="shared" si="8"/>
        <v>123.3502538071066</v>
      </c>
      <c r="AV30" s="65">
        <f t="shared" si="21"/>
        <v>-13.800000000000004</v>
      </c>
      <c r="AW30" s="18">
        <f aca="true" t="shared" si="35" ref="AW30:AW42">C30+AS30-AT30</f>
        <v>3</v>
      </c>
      <c r="AX30" s="99"/>
      <c r="AY30" s="19"/>
      <c r="AZ30" s="19"/>
    </row>
    <row r="31" spans="1:52" ht="24.75" customHeight="1">
      <c r="A31" s="63">
        <v>24</v>
      </c>
      <c r="B31" s="69" t="s">
        <v>4</v>
      </c>
      <c r="C31" s="98">
        <v>4.4</v>
      </c>
      <c r="D31" s="38">
        <v>6</v>
      </c>
      <c r="E31" s="38">
        <v>0</v>
      </c>
      <c r="F31" s="11">
        <f t="shared" si="0"/>
        <v>0</v>
      </c>
      <c r="G31" s="38">
        <v>6.5</v>
      </c>
      <c r="H31" s="38">
        <v>0</v>
      </c>
      <c r="I31" s="11">
        <f t="shared" si="24"/>
        <v>0</v>
      </c>
      <c r="J31" s="38">
        <v>6.1</v>
      </c>
      <c r="K31" s="38">
        <v>10.3</v>
      </c>
      <c r="L31" s="11">
        <f t="shared" si="25"/>
        <v>168.85245901639348</v>
      </c>
      <c r="M31" s="80">
        <f t="shared" si="13"/>
        <v>18.6</v>
      </c>
      <c r="N31" s="80">
        <f t="shared" si="14"/>
        <v>10.3</v>
      </c>
      <c r="O31" s="11">
        <f t="shared" si="9"/>
        <v>55.376344086021504</v>
      </c>
      <c r="P31" s="38">
        <v>5.7</v>
      </c>
      <c r="Q31" s="38">
        <v>12.7</v>
      </c>
      <c r="R31" s="11">
        <f t="shared" si="26"/>
        <v>222.80701754385964</v>
      </c>
      <c r="S31" s="38">
        <v>6</v>
      </c>
      <c r="T31" s="38">
        <v>0</v>
      </c>
      <c r="U31" s="11">
        <f t="shared" si="27"/>
        <v>0</v>
      </c>
      <c r="V31" s="38">
        <v>11</v>
      </c>
      <c r="W31" s="38">
        <v>11.8</v>
      </c>
      <c r="X31" s="11">
        <f t="shared" si="28"/>
        <v>107.27272727272728</v>
      </c>
      <c r="Y31" s="80">
        <f t="shared" si="29"/>
        <v>22.7</v>
      </c>
      <c r="Z31" s="80">
        <f t="shared" si="30"/>
        <v>24.5</v>
      </c>
      <c r="AA31" s="11">
        <f t="shared" si="31"/>
        <v>107.92951541850219</v>
      </c>
      <c r="AB31" s="38">
        <v>11.5</v>
      </c>
      <c r="AC31" s="38">
        <v>11</v>
      </c>
      <c r="AD31" s="11">
        <f t="shared" si="32"/>
        <v>95.65217391304348</v>
      </c>
      <c r="AE31" s="38">
        <v>10.8</v>
      </c>
      <c r="AF31" s="38">
        <v>11.5</v>
      </c>
      <c r="AG31" s="129">
        <f t="shared" si="33"/>
        <v>106.48148148148147</v>
      </c>
      <c r="AH31" s="38">
        <v>9.8</v>
      </c>
      <c r="AI31" s="38">
        <v>10.7</v>
      </c>
      <c r="AJ31" s="80">
        <f t="shared" si="17"/>
        <v>32.1</v>
      </c>
      <c r="AK31" s="80">
        <f t="shared" si="18"/>
        <v>33.2</v>
      </c>
      <c r="AL31" s="11">
        <f t="shared" si="34"/>
        <v>103.42679127725857</v>
      </c>
      <c r="AM31" s="38">
        <v>9.5</v>
      </c>
      <c r="AN31" s="38">
        <v>9.9</v>
      </c>
      <c r="AO31" s="38">
        <v>9.6</v>
      </c>
      <c r="AP31" s="38">
        <v>9.5</v>
      </c>
      <c r="AQ31" s="38">
        <v>8.6</v>
      </c>
      <c r="AR31" s="38">
        <v>9.6</v>
      </c>
      <c r="AS31" s="65">
        <f t="shared" si="19"/>
        <v>101.1</v>
      </c>
      <c r="AT31" s="65">
        <f t="shared" si="20"/>
        <v>97</v>
      </c>
      <c r="AU31" s="11">
        <f t="shared" si="8"/>
        <v>95.94460929772502</v>
      </c>
      <c r="AV31" s="65">
        <f t="shared" si="21"/>
        <v>4.099999999999994</v>
      </c>
      <c r="AW31" s="18">
        <f t="shared" si="35"/>
        <v>8.5</v>
      </c>
      <c r="AX31" s="99"/>
      <c r="AY31" s="19"/>
      <c r="AZ31" s="19"/>
    </row>
    <row r="32" spans="1:52" ht="24.75" customHeight="1">
      <c r="A32" s="63">
        <v>25</v>
      </c>
      <c r="B32" s="15" t="s">
        <v>112</v>
      </c>
      <c r="C32" s="98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99"/>
      <c r="AY32" s="19"/>
      <c r="AZ32" s="19"/>
    </row>
    <row r="33" spans="1:52" ht="24.75" customHeight="1">
      <c r="A33" s="63"/>
      <c r="B33" s="69" t="s">
        <v>158</v>
      </c>
      <c r="C33" s="98">
        <v>72.5</v>
      </c>
      <c r="D33" s="38">
        <v>37.2</v>
      </c>
      <c r="E33" s="38">
        <v>0</v>
      </c>
      <c r="F33" s="11">
        <f t="shared" si="0"/>
        <v>0</v>
      </c>
      <c r="G33" s="38">
        <v>32.2</v>
      </c>
      <c r="H33" s="38">
        <v>39.1</v>
      </c>
      <c r="I33" s="11">
        <f t="shared" si="24"/>
        <v>121.42857142857142</v>
      </c>
      <c r="J33" s="38">
        <v>33.4</v>
      </c>
      <c r="K33" s="38">
        <v>0</v>
      </c>
      <c r="L33" s="11">
        <f t="shared" si="25"/>
        <v>0</v>
      </c>
      <c r="M33" s="80">
        <f t="shared" si="13"/>
        <v>102.80000000000001</v>
      </c>
      <c r="N33" s="80">
        <f t="shared" si="14"/>
        <v>39.1</v>
      </c>
      <c r="O33" s="11">
        <f t="shared" si="9"/>
        <v>38.035019455252915</v>
      </c>
      <c r="P33" s="38">
        <v>41.6</v>
      </c>
      <c r="Q33" s="38">
        <v>102.5</v>
      </c>
      <c r="R33" s="11">
        <f t="shared" si="26"/>
        <v>246.39423076923075</v>
      </c>
      <c r="S33" s="38">
        <v>45.3</v>
      </c>
      <c r="T33" s="38">
        <v>0</v>
      </c>
      <c r="U33" s="11">
        <f t="shared" si="27"/>
        <v>0</v>
      </c>
      <c r="V33" s="38">
        <v>76.8</v>
      </c>
      <c r="W33" s="38">
        <v>194.3</v>
      </c>
      <c r="X33" s="11">
        <f t="shared" si="28"/>
        <v>252.99479166666669</v>
      </c>
      <c r="Y33" s="80">
        <f t="shared" si="29"/>
        <v>163.7</v>
      </c>
      <c r="Z33" s="80">
        <f t="shared" si="30"/>
        <v>296.8</v>
      </c>
      <c r="AA33" s="11">
        <f t="shared" si="31"/>
        <v>181.3072693952352</v>
      </c>
      <c r="AB33" s="38">
        <v>58.8</v>
      </c>
      <c r="AC33" s="38">
        <v>0</v>
      </c>
      <c r="AD33" s="11">
        <f t="shared" si="32"/>
        <v>0</v>
      </c>
      <c r="AE33" s="38">
        <v>60.9</v>
      </c>
      <c r="AF33" s="38">
        <v>3.1</v>
      </c>
      <c r="AG33" s="11">
        <f t="shared" si="33"/>
        <v>5.0903119868637114</v>
      </c>
      <c r="AH33" s="38">
        <v>60.9</v>
      </c>
      <c r="AI33" s="38">
        <v>58.8</v>
      </c>
      <c r="AJ33" s="80">
        <f t="shared" si="17"/>
        <v>180.6</v>
      </c>
      <c r="AK33" s="80">
        <f t="shared" si="18"/>
        <v>61.9</v>
      </c>
      <c r="AL33" s="11">
        <f t="shared" si="34"/>
        <v>34.27464008859358</v>
      </c>
      <c r="AM33" s="38">
        <v>57.2</v>
      </c>
      <c r="AN33" s="38">
        <v>60.9</v>
      </c>
      <c r="AO33" s="38">
        <v>59.3</v>
      </c>
      <c r="AP33" s="38">
        <v>57.2</v>
      </c>
      <c r="AQ33" s="38">
        <v>58.9</v>
      </c>
      <c r="AR33" s="38">
        <v>59.3</v>
      </c>
      <c r="AS33" s="65">
        <f t="shared" si="19"/>
        <v>622.5</v>
      </c>
      <c r="AT33" s="65">
        <f t="shared" si="20"/>
        <v>575.1999999999999</v>
      </c>
      <c r="AU33" s="11">
        <f t="shared" si="8"/>
        <v>92.4016064257028</v>
      </c>
      <c r="AV33" s="65">
        <f t="shared" si="21"/>
        <v>47.30000000000007</v>
      </c>
      <c r="AW33" s="18">
        <f t="shared" si="35"/>
        <v>119.80000000000007</v>
      </c>
      <c r="AX33" s="99"/>
      <c r="AY33" s="19"/>
      <c r="AZ33" s="19"/>
    </row>
    <row r="34" spans="1:52" ht="24.75" customHeight="1">
      <c r="A34" s="63"/>
      <c r="B34" s="69" t="s">
        <v>157</v>
      </c>
      <c r="C34" s="104">
        <v>54.7</v>
      </c>
      <c r="D34" s="38">
        <v>10.8</v>
      </c>
      <c r="E34" s="38">
        <v>0</v>
      </c>
      <c r="F34" s="11">
        <f t="shared" si="0"/>
        <v>0</v>
      </c>
      <c r="G34" s="38">
        <v>10.2</v>
      </c>
      <c r="H34" s="38">
        <v>53.9</v>
      </c>
      <c r="I34" s="11">
        <f t="shared" si="24"/>
        <v>528.4313725490196</v>
      </c>
      <c r="J34" s="38">
        <v>12.5</v>
      </c>
      <c r="K34" s="38">
        <v>0</v>
      </c>
      <c r="L34" s="11">
        <f t="shared" si="25"/>
        <v>0</v>
      </c>
      <c r="M34" s="80">
        <f t="shared" si="13"/>
        <v>33.5</v>
      </c>
      <c r="N34" s="80">
        <f t="shared" si="14"/>
        <v>53.9</v>
      </c>
      <c r="O34" s="11">
        <f t="shared" si="9"/>
        <v>160.89552238805967</v>
      </c>
      <c r="P34" s="38">
        <v>11.5</v>
      </c>
      <c r="Q34" s="38">
        <v>0</v>
      </c>
      <c r="R34" s="11">
        <f t="shared" si="26"/>
        <v>0</v>
      </c>
      <c r="S34" s="38">
        <v>10.5</v>
      </c>
      <c r="T34" s="38">
        <v>32</v>
      </c>
      <c r="U34" s="11">
        <f t="shared" si="27"/>
        <v>304.76190476190476</v>
      </c>
      <c r="V34" s="38">
        <v>12.9</v>
      </c>
      <c r="W34" s="38">
        <v>32.7</v>
      </c>
      <c r="X34" s="11">
        <f t="shared" si="28"/>
        <v>253.48837209302326</v>
      </c>
      <c r="Y34" s="80">
        <f>P34+S34+V34</f>
        <v>34.9</v>
      </c>
      <c r="Z34" s="80">
        <f>Q34+T34+W34</f>
        <v>64.7</v>
      </c>
      <c r="AA34" s="11">
        <f>Z34/Y34*100</f>
        <v>185.3868194842407</v>
      </c>
      <c r="AB34" s="38">
        <v>11.6</v>
      </c>
      <c r="AC34" s="38">
        <v>0</v>
      </c>
      <c r="AD34" s="11">
        <f t="shared" si="32"/>
        <v>0</v>
      </c>
      <c r="AE34" s="38">
        <v>12.6</v>
      </c>
      <c r="AF34" s="38">
        <v>2.5</v>
      </c>
      <c r="AG34" s="11">
        <f t="shared" si="33"/>
        <v>19.841269841269842</v>
      </c>
      <c r="AH34" s="38">
        <v>12.4</v>
      </c>
      <c r="AI34" s="38">
        <v>11.6</v>
      </c>
      <c r="AJ34" s="80">
        <f t="shared" si="17"/>
        <v>36.6</v>
      </c>
      <c r="AK34" s="80">
        <f t="shared" si="18"/>
        <v>14.1</v>
      </c>
      <c r="AL34" s="11">
        <f t="shared" si="34"/>
        <v>38.52459016393443</v>
      </c>
      <c r="AM34" s="38">
        <v>13.2</v>
      </c>
      <c r="AN34" s="38">
        <v>12.8</v>
      </c>
      <c r="AO34" s="38">
        <v>12.7</v>
      </c>
      <c r="AP34" s="38">
        <v>12.4</v>
      </c>
      <c r="AQ34" s="38">
        <v>11.9</v>
      </c>
      <c r="AR34" s="38">
        <v>13</v>
      </c>
      <c r="AS34" s="65">
        <f t="shared" si="19"/>
        <v>142.8</v>
      </c>
      <c r="AT34" s="65">
        <f t="shared" si="20"/>
        <v>170.9</v>
      </c>
      <c r="AU34" s="11">
        <f t="shared" si="8"/>
        <v>119.67787114845937</v>
      </c>
      <c r="AV34" s="65">
        <f t="shared" si="21"/>
        <v>-28.099999999999994</v>
      </c>
      <c r="AW34" s="18">
        <f t="shared" si="35"/>
        <v>26.599999999999994</v>
      </c>
      <c r="AX34" s="99">
        <f>M34+Y34+AB34+AE34+AH34</f>
        <v>105</v>
      </c>
      <c r="AY34" s="99">
        <f>N34+Z34+AC34+AF34+AI34</f>
        <v>132.7</v>
      </c>
      <c r="AZ34" s="19"/>
    </row>
    <row r="35" spans="1:52" ht="24.75" customHeight="1">
      <c r="A35" s="63">
        <v>26</v>
      </c>
      <c r="B35" s="69" t="s">
        <v>74</v>
      </c>
      <c r="C35" s="104">
        <v>23.8</v>
      </c>
      <c r="D35" s="37">
        <v>23.1</v>
      </c>
      <c r="E35" s="37">
        <v>0</v>
      </c>
      <c r="F35" s="11">
        <f>E35/D35*100</f>
        <v>0</v>
      </c>
      <c r="G35" s="38">
        <v>24.5</v>
      </c>
      <c r="H35" s="38">
        <v>0</v>
      </c>
      <c r="I35" s="11">
        <f t="shared" si="24"/>
        <v>0</v>
      </c>
      <c r="J35" s="38">
        <v>25.6</v>
      </c>
      <c r="K35" s="38">
        <v>15.5</v>
      </c>
      <c r="L35" s="11">
        <f t="shared" si="25"/>
        <v>60.546875</v>
      </c>
      <c r="M35" s="80">
        <f t="shared" si="13"/>
        <v>73.2</v>
      </c>
      <c r="N35" s="80">
        <f t="shared" si="14"/>
        <v>15.5</v>
      </c>
      <c r="O35" s="11">
        <f t="shared" si="9"/>
        <v>21.174863387978142</v>
      </c>
      <c r="P35" s="38">
        <v>27.2</v>
      </c>
      <c r="Q35" s="38">
        <v>65.3</v>
      </c>
      <c r="R35" s="11">
        <f t="shared" si="26"/>
        <v>240.07352941176472</v>
      </c>
      <c r="S35" s="38">
        <v>31.5</v>
      </c>
      <c r="T35" s="38">
        <v>25</v>
      </c>
      <c r="U35" s="11">
        <f t="shared" si="27"/>
        <v>79.36507936507937</v>
      </c>
      <c r="V35" s="38">
        <v>34.5</v>
      </c>
      <c r="W35" s="38">
        <v>54.5</v>
      </c>
      <c r="X35" s="11">
        <f t="shared" si="28"/>
        <v>157.97101449275362</v>
      </c>
      <c r="Y35" s="80">
        <f t="shared" si="29"/>
        <v>93.2</v>
      </c>
      <c r="Z35" s="80">
        <f t="shared" si="30"/>
        <v>144.8</v>
      </c>
      <c r="AA35" s="11">
        <f t="shared" si="31"/>
        <v>155.3648068669528</v>
      </c>
      <c r="AB35" s="38">
        <v>32.1</v>
      </c>
      <c r="AC35" s="38">
        <v>6.7</v>
      </c>
      <c r="AD35" s="11">
        <f t="shared" si="32"/>
        <v>20.87227414330218</v>
      </c>
      <c r="AE35" s="38">
        <v>32.9</v>
      </c>
      <c r="AF35" s="38">
        <v>33.7</v>
      </c>
      <c r="AG35" s="11">
        <f t="shared" si="33"/>
        <v>102.43161094224926</v>
      </c>
      <c r="AH35" s="38">
        <v>32.2</v>
      </c>
      <c r="AI35" s="38">
        <v>32</v>
      </c>
      <c r="AJ35" s="80">
        <f t="shared" si="17"/>
        <v>97.2</v>
      </c>
      <c r="AK35" s="80">
        <f t="shared" si="18"/>
        <v>72.4</v>
      </c>
      <c r="AL35" s="11">
        <f t="shared" si="34"/>
        <v>74.48559670781893</v>
      </c>
      <c r="AM35" s="38">
        <v>32.1</v>
      </c>
      <c r="AN35" s="38">
        <v>32.8</v>
      </c>
      <c r="AO35" s="38">
        <v>30.1</v>
      </c>
      <c r="AP35" s="38">
        <v>25.1</v>
      </c>
      <c r="AQ35" s="38">
        <v>27.8</v>
      </c>
      <c r="AR35" s="38">
        <v>29.1</v>
      </c>
      <c r="AS35" s="65">
        <f t="shared" si="19"/>
        <v>353.6000000000001</v>
      </c>
      <c r="AT35" s="65">
        <f t="shared" si="20"/>
        <v>319.70000000000005</v>
      </c>
      <c r="AU35" s="11">
        <f t="shared" si="8"/>
        <v>90.4128959276018</v>
      </c>
      <c r="AV35" s="65">
        <f t="shared" si="21"/>
        <v>33.900000000000034</v>
      </c>
      <c r="AW35" s="18">
        <f t="shared" si="35"/>
        <v>57.700000000000045</v>
      </c>
      <c r="AX35" s="99"/>
      <c r="AY35" s="19"/>
      <c r="AZ35" s="19"/>
    </row>
    <row r="36" spans="1:52" ht="24.75" customHeight="1">
      <c r="A36" s="63">
        <v>27</v>
      </c>
      <c r="B36" s="64" t="s">
        <v>75</v>
      </c>
      <c r="C36" s="98">
        <f>15.2+29.3</f>
        <v>44.5</v>
      </c>
      <c r="D36" s="72">
        <v>7.5</v>
      </c>
      <c r="E36" s="72">
        <v>0</v>
      </c>
      <c r="F36" s="11">
        <f t="shared" si="0"/>
        <v>0</v>
      </c>
      <c r="G36" s="38">
        <v>7.9</v>
      </c>
      <c r="H36" s="38">
        <v>29.7</v>
      </c>
      <c r="I36" s="11">
        <f t="shared" si="24"/>
        <v>375.9493670886076</v>
      </c>
      <c r="J36" s="38">
        <v>7.8</v>
      </c>
      <c r="K36" s="38">
        <v>0</v>
      </c>
      <c r="L36" s="68">
        <f t="shared" si="25"/>
        <v>0</v>
      </c>
      <c r="M36" s="80">
        <f t="shared" si="13"/>
        <v>23.2</v>
      </c>
      <c r="N36" s="80">
        <f t="shared" si="14"/>
        <v>29.7</v>
      </c>
      <c r="O36" s="11">
        <f t="shared" si="9"/>
        <v>128.01724137931035</v>
      </c>
      <c r="P36" s="38">
        <v>9.4</v>
      </c>
      <c r="Q36" s="38">
        <v>22.9</v>
      </c>
      <c r="R36" s="129">
        <f t="shared" si="26"/>
        <v>243.6170212765957</v>
      </c>
      <c r="S36" s="38">
        <v>15.4</v>
      </c>
      <c r="T36" s="38">
        <v>9.4</v>
      </c>
      <c r="U36" s="129">
        <f t="shared" si="27"/>
        <v>61.038961038961034</v>
      </c>
      <c r="V36" s="38">
        <v>17.9</v>
      </c>
      <c r="W36" s="38">
        <v>0</v>
      </c>
      <c r="X36" s="129">
        <f t="shared" si="28"/>
        <v>0</v>
      </c>
      <c r="Y36" s="80">
        <f t="shared" si="29"/>
        <v>42.7</v>
      </c>
      <c r="Z36" s="80">
        <f t="shared" si="30"/>
        <v>32.3</v>
      </c>
      <c r="AA36" s="11">
        <f t="shared" si="31"/>
        <v>75.64402810304448</v>
      </c>
      <c r="AB36" s="38">
        <v>15.1</v>
      </c>
      <c r="AC36" s="38">
        <v>33.1</v>
      </c>
      <c r="AD36" s="129">
        <f t="shared" si="32"/>
        <v>219.20529801324506</v>
      </c>
      <c r="AE36" s="38">
        <v>15.2</v>
      </c>
      <c r="AF36" s="38">
        <v>0</v>
      </c>
      <c r="AG36" s="11">
        <f t="shared" si="33"/>
        <v>0</v>
      </c>
      <c r="AH36" s="38">
        <v>13.6</v>
      </c>
      <c r="AI36" s="38">
        <v>11.9</v>
      </c>
      <c r="AJ36" s="80">
        <f>AB36+AE36+AH36</f>
        <v>43.9</v>
      </c>
      <c r="AK36" s="80">
        <f>AC36+AF36+AI36</f>
        <v>45</v>
      </c>
      <c r="AL36" s="11">
        <f t="shared" si="34"/>
        <v>102.50569476082005</v>
      </c>
      <c r="AM36" s="38">
        <v>16.8</v>
      </c>
      <c r="AN36" s="38">
        <v>18.4</v>
      </c>
      <c r="AO36" s="38">
        <v>14.8</v>
      </c>
      <c r="AP36" s="38">
        <v>13.6</v>
      </c>
      <c r="AQ36" s="38">
        <v>11.2</v>
      </c>
      <c r="AR36" s="38">
        <v>16.8</v>
      </c>
      <c r="AS36" s="65">
        <f t="shared" si="19"/>
        <v>152.6</v>
      </c>
      <c r="AT36" s="65">
        <f t="shared" si="20"/>
        <v>155.8</v>
      </c>
      <c r="AU36" s="11">
        <f t="shared" si="8"/>
        <v>102.09698558322413</v>
      </c>
      <c r="AV36" s="65">
        <f t="shared" si="21"/>
        <v>-3.200000000000017</v>
      </c>
      <c r="AW36" s="18">
        <f t="shared" si="35"/>
        <v>41.29999999999998</v>
      </c>
      <c r="AX36" s="99"/>
      <c r="AY36" s="19"/>
      <c r="AZ36" s="19"/>
    </row>
    <row r="37" spans="1:52" ht="24.75" customHeight="1">
      <c r="A37" s="63">
        <v>28</v>
      </c>
      <c r="B37" s="69" t="s">
        <v>76</v>
      </c>
      <c r="C37" s="98">
        <v>47.5</v>
      </c>
      <c r="D37" s="38">
        <v>51.7</v>
      </c>
      <c r="E37" s="38">
        <v>0</v>
      </c>
      <c r="F37" s="11">
        <f t="shared" si="0"/>
        <v>0</v>
      </c>
      <c r="G37" s="38">
        <v>48.1</v>
      </c>
      <c r="H37" s="38">
        <v>48.9</v>
      </c>
      <c r="I37" s="11">
        <f t="shared" si="24"/>
        <v>101.66320166320166</v>
      </c>
      <c r="J37" s="38">
        <v>49</v>
      </c>
      <c r="K37" s="38">
        <v>0</v>
      </c>
      <c r="L37" s="11">
        <f t="shared" si="25"/>
        <v>0</v>
      </c>
      <c r="M37" s="80">
        <f t="shared" si="13"/>
        <v>148.8</v>
      </c>
      <c r="N37" s="80">
        <f t="shared" si="14"/>
        <v>48.9</v>
      </c>
      <c r="O37" s="11">
        <f t="shared" si="9"/>
        <v>32.86290322580645</v>
      </c>
      <c r="P37" s="38">
        <v>50.1</v>
      </c>
      <c r="Q37" s="38">
        <v>98.3</v>
      </c>
      <c r="R37" s="11">
        <f t="shared" si="26"/>
        <v>196.2075848303393</v>
      </c>
      <c r="S37" s="38">
        <v>51.8</v>
      </c>
      <c r="T37" s="38">
        <v>0</v>
      </c>
      <c r="U37" s="11">
        <f t="shared" si="27"/>
        <v>0</v>
      </c>
      <c r="V37" s="38">
        <v>71.3</v>
      </c>
      <c r="W37" s="38">
        <v>99.1</v>
      </c>
      <c r="X37" s="11">
        <f t="shared" si="28"/>
        <v>138.99018232819074</v>
      </c>
      <c r="Y37" s="80">
        <f t="shared" si="29"/>
        <v>173.2</v>
      </c>
      <c r="Z37" s="80">
        <f t="shared" si="30"/>
        <v>197.39999999999998</v>
      </c>
      <c r="AA37" s="11">
        <f t="shared" si="31"/>
        <v>113.97228637413394</v>
      </c>
      <c r="AB37" s="38">
        <v>91.6</v>
      </c>
      <c r="AC37" s="38">
        <v>120.1</v>
      </c>
      <c r="AD37" s="11">
        <f t="shared" si="32"/>
        <v>131.11353711790392</v>
      </c>
      <c r="AE37" s="38">
        <v>86.9</v>
      </c>
      <c r="AF37" s="38">
        <v>91.6</v>
      </c>
      <c r="AG37" s="11">
        <f t="shared" si="33"/>
        <v>105.4085155350978</v>
      </c>
      <c r="AH37" s="38">
        <v>104</v>
      </c>
      <c r="AI37" s="38">
        <v>86.6</v>
      </c>
      <c r="AJ37" s="80">
        <f t="shared" si="17"/>
        <v>282.5</v>
      </c>
      <c r="AK37" s="80">
        <f t="shared" si="18"/>
        <v>298.29999999999995</v>
      </c>
      <c r="AL37" s="11">
        <f t="shared" si="34"/>
        <v>105.5929203539823</v>
      </c>
      <c r="AM37" s="38">
        <v>143.8</v>
      </c>
      <c r="AN37" s="38">
        <v>3.4</v>
      </c>
      <c r="AO37" s="38">
        <v>80.9</v>
      </c>
      <c r="AP37" s="38">
        <v>104</v>
      </c>
      <c r="AQ37" s="38">
        <v>84</v>
      </c>
      <c r="AR37" s="38">
        <v>143.8</v>
      </c>
      <c r="AS37" s="65">
        <f t="shared" si="19"/>
        <v>913.1999999999999</v>
      </c>
      <c r="AT37" s="65">
        <f t="shared" si="20"/>
        <v>795.8</v>
      </c>
      <c r="AU37" s="11">
        <f t="shared" si="8"/>
        <v>87.14410862899693</v>
      </c>
      <c r="AV37" s="65">
        <f t="shared" si="21"/>
        <v>117.39999999999998</v>
      </c>
      <c r="AW37" s="18">
        <f t="shared" si="35"/>
        <v>164.89999999999998</v>
      </c>
      <c r="AX37" s="99"/>
      <c r="AY37" s="19"/>
      <c r="AZ37" s="19"/>
    </row>
    <row r="38" spans="1:52" ht="24.75" customHeight="1">
      <c r="A38" s="63">
        <v>29</v>
      </c>
      <c r="B38" s="69" t="s">
        <v>5</v>
      </c>
      <c r="C38" s="98">
        <f>16.6+3</f>
        <v>19.6</v>
      </c>
      <c r="D38" s="38">
        <v>40</v>
      </c>
      <c r="E38" s="38">
        <v>0</v>
      </c>
      <c r="F38" s="11">
        <f t="shared" si="0"/>
        <v>0</v>
      </c>
      <c r="G38" s="38">
        <v>50</v>
      </c>
      <c r="H38" s="38">
        <v>39.5</v>
      </c>
      <c r="I38" s="11">
        <f t="shared" si="24"/>
        <v>79</v>
      </c>
      <c r="J38" s="38">
        <v>44.8</v>
      </c>
      <c r="K38" s="38">
        <v>0.3</v>
      </c>
      <c r="L38" s="11">
        <f t="shared" si="25"/>
        <v>0.6696428571428572</v>
      </c>
      <c r="M38" s="80">
        <f t="shared" si="13"/>
        <v>134.8</v>
      </c>
      <c r="N38" s="80">
        <f t="shared" si="14"/>
        <v>39.8</v>
      </c>
      <c r="O38" s="11">
        <f t="shared" si="9"/>
        <v>29.52522255192878</v>
      </c>
      <c r="P38" s="38">
        <v>62.7</v>
      </c>
      <c r="Q38" s="38">
        <v>111</v>
      </c>
      <c r="R38" s="11">
        <f t="shared" si="26"/>
        <v>177.0334928229665</v>
      </c>
      <c r="S38" s="38">
        <v>51.1</v>
      </c>
      <c r="T38" s="38">
        <v>0</v>
      </c>
      <c r="U38" s="11">
        <f t="shared" si="27"/>
        <v>0</v>
      </c>
      <c r="V38" s="38">
        <v>60.9</v>
      </c>
      <c r="W38" s="38">
        <v>135.9</v>
      </c>
      <c r="X38" s="11">
        <f t="shared" si="28"/>
        <v>223.15270935960592</v>
      </c>
      <c r="Y38" s="80">
        <f t="shared" si="29"/>
        <v>174.70000000000002</v>
      </c>
      <c r="Z38" s="80">
        <f t="shared" si="30"/>
        <v>246.9</v>
      </c>
      <c r="AA38" s="11">
        <f t="shared" si="31"/>
        <v>141.32799084144244</v>
      </c>
      <c r="AB38" s="38">
        <v>64.8</v>
      </c>
      <c r="AC38" s="38">
        <v>0</v>
      </c>
      <c r="AD38" s="11">
        <f t="shared" si="32"/>
        <v>0</v>
      </c>
      <c r="AE38" s="38">
        <v>68.8</v>
      </c>
      <c r="AF38" s="38">
        <v>0</v>
      </c>
      <c r="AG38" s="11">
        <f t="shared" si="33"/>
        <v>0</v>
      </c>
      <c r="AH38" s="38">
        <v>76.3</v>
      </c>
      <c r="AI38" s="38">
        <v>64.8</v>
      </c>
      <c r="AJ38" s="80">
        <f t="shared" si="17"/>
        <v>209.89999999999998</v>
      </c>
      <c r="AK38" s="80">
        <f t="shared" si="18"/>
        <v>64.8</v>
      </c>
      <c r="AL38" s="11">
        <f t="shared" si="34"/>
        <v>30.87184373511196</v>
      </c>
      <c r="AM38" s="38">
        <v>72.8</v>
      </c>
      <c r="AN38" s="38">
        <v>68.8</v>
      </c>
      <c r="AO38" s="38">
        <v>63.4</v>
      </c>
      <c r="AP38" s="38">
        <v>76.3</v>
      </c>
      <c r="AQ38" s="38">
        <v>73</v>
      </c>
      <c r="AR38" s="38">
        <v>72.8</v>
      </c>
      <c r="AS38" s="65">
        <f t="shared" si="19"/>
        <v>728.5999999999999</v>
      </c>
      <c r="AT38" s="65">
        <f t="shared" si="20"/>
        <v>569.4</v>
      </c>
      <c r="AU38" s="11">
        <f t="shared" si="8"/>
        <v>78.14987647543235</v>
      </c>
      <c r="AV38" s="65">
        <f t="shared" si="21"/>
        <v>159.19999999999993</v>
      </c>
      <c r="AW38" s="18">
        <f t="shared" si="35"/>
        <v>178.79999999999995</v>
      </c>
      <c r="AX38" s="99"/>
      <c r="AY38" s="19"/>
      <c r="AZ38" s="19"/>
    </row>
    <row r="39" spans="1:52" ht="24.75" customHeight="1">
      <c r="A39" s="63">
        <v>30</v>
      </c>
      <c r="B39" s="69" t="s">
        <v>10</v>
      </c>
      <c r="C39" s="98">
        <f>405.9-3.6</f>
        <v>402.29999999999995</v>
      </c>
      <c r="D39" s="38">
        <v>79.4</v>
      </c>
      <c r="E39" s="38">
        <v>0</v>
      </c>
      <c r="F39" s="11">
        <f t="shared" si="0"/>
        <v>0</v>
      </c>
      <c r="G39" s="38">
        <v>80.5</v>
      </c>
      <c r="H39" s="38">
        <v>0.7</v>
      </c>
      <c r="I39" s="11">
        <f t="shared" si="24"/>
        <v>0.8695652173913043</v>
      </c>
      <c r="J39" s="38">
        <v>77.9</v>
      </c>
      <c r="K39" s="38">
        <v>415.6</v>
      </c>
      <c r="L39" s="11">
        <f t="shared" si="25"/>
        <v>533.5044929396663</v>
      </c>
      <c r="M39" s="80">
        <f t="shared" si="13"/>
        <v>237.8</v>
      </c>
      <c r="N39" s="80">
        <f t="shared" si="14"/>
        <v>416.3</v>
      </c>
      <c r="O39" s="11">
        <f t="shared" si="9"/>
        <v>175.06307821698906</v>
      </c>
      <c r="P39" s="38">
        <v>77.4</v>
      </c>
      <c r="Q39" s="38">
        <v>0.1</v>
      </c>
      <c r="R39" s="11">
        <f t="shared" si="26"/>
        <v>0.12919896640826875</v>
      </c>
      <c r="S39" s="38">
        <v>78</v>
      </c>
      <c r="T39" s="38">
        <v>224</v>
      </c>
      <c r="U39" s="11">
        <f t="shared" si="27"/>
        <v>287.1794871794872</v>
      </c>
      <c r="V39" s="38">
        <v>121</v>
      </c>
      <c r="W39" s="38">
        <v>0</v>
      </c>
      <c r="X39" s="11">
        <f t="shared" si="28"/>
        <v>0</v>
      </c>
      <c r="Y39" s="80">
        <f t="shared" si="29"/>
        <v>276.4</v>
      </c>
      <c r="Z39" s="80">
        <f t="shared" si="30"/>
        <v>224.1</v>
      </c>
      <c r="AA39" s="11">
        <f t="shared" si="31"/>
        <v>81.0781476121563</v>
      </c>
      <c r="AB39" s="38">
        <v>121.5</v>
      </c>
      <c r="AC39" s="38">
        <v>277.5</v>
      </c>
      <c r="AD39" s="11">
        <f t="shared" si="32"/>
        <v>228.39506172839506</v>
      </c>
      <c r="AE39" s="38">
        <v>132.2</v>
      </c>
      <c r="AF39" s="38">
        <v>121.3</v>
      </c>
      <c r="AG39" s="11">
        <f t="shared" si="33"/>
        <v>91.75491679273829</v>
      </c>
      <c r="AH39" s="38">
        <v>134</v>
      </c>
      <c r="AI39" s="38">
        <v>132.2</v>
      </c>
      <c r="AJ39" s="80">
        <f t="shared" si="17"/>
        <v>387.7</v>
      </c>
      <c r="AK39" s="80">
        <f t="shared" si="18"/>
        <v>531</v>
      </c>
      <c r="AL39" s="11">
        <f t="shared" si="34"/>
        <v>136.96156822285272</v>
      </c>
      <c r="AM39" s="38">
        <v>129.1</v>
      </c>
      <c r="AN39" s="38">
        <v>134</v>
      </c>
      <c r="AO39" s="38">
        <v>130.1</v>
      </c>
      <c r="AP39" s="38">
        <v>0</v>
      </c>
      <c r="AQ39" s="38">
        <v>97.6</v>
      </c>
      <c r="AR39" s="38">
        <v>259.2</v>
      </c>
      <c r="AS39" s="65">
        <f t="shared" si="19"/>
        <v>1258.6999999999998</v>
      </c>
      <c r="AT39" s="65">
        <f t="shared" si="20"/>
        <v>1564.6000000000001</v>
      </c>
      <c r="AU39" s="11">
        <f t="shared" si="8"/>
        <v>124.30285214904269</v>
      </c>
      <c r="AV39" s="65">
        <f t="shared" si="21"/>
        <v>-305.9000000000003</v>
      </c>
      <c r="AW39" s="18">
        <f t="shared" si="35"/>
        <v>96.39999999999964</v>
      </c>
      <c r="AX39" s="99"/>
      <c r="AY39" s="19"/>
      <c r="AZ39" s="19"/>
    </row>
    <row r="40" spans="1:52" ht="24.75" customHeight="1">
      <c r="A40" s="63">
        <v>31</v>
      </c>
      <c r="B40" s="69" t="s">
        <v>80</v>
      </c>
      <c r="C40" s="98">
        <v>42.4</v>
      </c>
      <c r="D40" s="38">
        <v>15.2</v>
      </c>
      <c r="E40" s="38">
        <v>0</v>
      </c>
      <c r="F40" s="11">
        <f t="shared" si="0"/>
        <v>0</v>
      </c>
      <c r="G40" s="38">
        <v>14.5</v>
      </c>
      <c r="H40" s="38">
        <v>28.4</v>
      </c>
      <c r="I40" s="11">
        <f t="shared" si="24"/>
        <v>195.86206896551724</v>
      </c>
      <c r="J40" s="38">
        <v>13.6</v>
      </c>
      <c r="K40" s="38">
        <v>0</v>
      </c>
      <c r="L40" s="11">
        <f t="shared" si="25"/>
        <v>0</v>
      </c>
      <c r="M40" s="80">
        <f t="shared" si="13"/>
        <v>43.3</v>
      </c>
      <c r="N40" s="80">
        <f t="shared" si="14"/>
        <v>28.4</v>
      </c>
      <c r="O40" s="11">
        <f t="shared" si="9"/>
        <v>65.58891454965358</v>
      </c>
      <c r="P40" s="38">
        <v>13.6</v>
      </c>
      <c r="Q40" s="38">
        <v>29.1</v>
      </c>
      <c r="R40" s="11">
        <f t="shared" si="26"/>
        <v>213.97058823529412</v>
      </c>
      <c r="S40" s="38">
        <v>16.8</v>
      </c>
      <c r="T40" s="38">
        <v>14.9</v>
      </c>
      <c r="U40" s="11">
        <f t="shared" si="27"/>
        <v>88.69047619047619</v>
      </c>
      <c r="V40" s="38">
        <v>18.7</v>
      </c>
      <c r="W40" s="38">
        <v>0</v>
      </c>
      <c r="X40" s="11">
        <f t="shared" si="28"/>
        <v>0</v>
      </c>
      <c r="Y40" s="80">
        <f t="shared" si="29"/>
        <v>49.099999999999994</v>
      </c>
      <c r="Z40" s="80">
        <f t="shared" si="30"/>
        <v>44</v>
      </c>
      <c r="AA40" s="11">
        <f t="shared" si="31"/>
        <v>89.61303462321794</v>
      </c>
      <c r="AB40" s="38">
        <v>25.4</v>
      </c>
      <c r="AC40" s="38">
        <v>46.5</v>
      </c>
      <c r="AD40" s="11">
        <f t="shared" si="32"/>
        <v>183.0708661417323</v>
      </c>
      <c r="AE40" s="38">
        <v>26.7</v>
      </c>
      <c r="AF40" s="38">
        <v>15.9</v>
      </c>
      <c r="AG40" s="11">
        <f t="shared" si="33"/>
        <v>59.55056179775281</v>
      </c>
      <c r="AH40" s="38">
        <v>25.2</v>
      </c>
      <c r="AI40" s="38">
        <v>25.4</v>
      </c>
      <c r="AJ40" s="80">
        <f t="shared" si="17"/>
        <v>77.3</v>
      </c>
      <c r="AK40" s="80">
        <f t="shared" si="18"/>
        <v>87.8</v>
      </c>
      <c r="AL40" s="11">
        <f t="shared" si="34"/>
        <v>113.58344113842173</v>
      </c>
      <c r="AM40" s="38">
        <v>21.2</v>
      </c>
      <c r="AN40" s="38">
        <v>26.7</v>
      </c>
      <c r="AO40" s="38">
        <v>26.1</v>
      </c>
      <c r="AP40" s="38">
        <v>25.2</v>
      </c>
      <c r="AQ40" s="38">
        <v>19.7</v>
      </c>
      <c r="AR40" s="38">
        <v>21.2</v>
      </c>
      <c r="AS40" s="65">
        <f t="shared" si="19"/>
        <v>236.69999999999996</v>
      </c>
      <c r="AT40" s="65">
        <f t="shared" si="20"/>
        <v>233.29999999999995</v>
      </c>
      <c r="AU40" s="11">
        <f t="shared" si="8"/>
        <v>98.56358259400085</v>
      </c>
      <c r="AV40" s="65">
        <f t="shared" si="21"/>
        <v>3.4000000000000057</v>
      </c>
      <c r="AW40" s="18">
        <f t="shared" si="35"/>
        <v>45.80000000000001</v>
      </c>
      <c r="AX40" s="99"/>
      <c r="AY40" s="19"/>
      <c r="AZ40" s="19"/>
    </row>
    <row r="41" spans="1:52" ht="24.75" customHeight="1">
      <c r="A41" s="63">
        <v>32</v>
      </c>
      <c r="B41" s="64" t="s">
        <v>81</v>
      </c>
      <c r="C41" s="98">
        <v>50.5</v>
      </c>
      <c r="D41" s="38">
        <v>53.8</v>
      </c>
      <c r="E41" s="38">
        <v>0</v>
      </c>
      <c r="F41" s="11">
        <f t="shared" si="0"/>
        <v>0</v>
      </c>
      <c r="G41" s="38">
        <v>46.4</v>
      </c>
      <c r="H41" s="38">
        <v>104.3</v>
      </c>
      <c r="I41" s="11">
        <f t="shared" si="24"/>
        <v>224.7844827586207</v>
      </c>
      <c r="J41" s="38">
        <v>50.2</v>
      </c>
      <c r="K41" s="38">
        <v>0</v>
      </c>
      <c r="L41" s="127">
        <f t="shared" si="25"/>
        <v>0</v>
      </c>
      <c r="M41" s="80">
        <f t="shared" si="13"/>
        <v>150.39999999999998</v>
      </c>
      <c r="N41" s="80">
        <f t="shared" si="14"/>
        <v>104.3</v>
      </c>
      <c r="O41" s="11">
        <f t="shared" si="9"/>
        <v>69.34840425531917</v>
      </c>
      <c r="P41" s="38">
        <v>43.9</v>
      </c>
      <c r="Q41" s="38">
        <v>46.4</v>
      </c>
      <c r="R41" s="129">
        <f t="shared" si="26"/>
        <v>105.69476082004556</v>
      </c>
      <c r="S41" s="38">
        <v>49.1</v>
      </c>
      <c r="T41" s="38">
        <v>50.2</v>
      </c>
      <c r="U41" s="129">
        <f t="shared" si="27"/>
        <v>102.24032586558044</v>
      </c>
      <c r="V41" s="38">
        <v>56.9</v>
      </c>
      <c r="W41" s="38">
        <v>0</v>
      </c>
      <c r="X41" s="129">
        <f t="shared" si="28"/>
        <v>0</v>
      </c>
      <c r="Y41" s="80">
        <f t="shared" si="29"/>
        <v>149.9</v>
      </c>
      <c r="Z41" s="80">
        <f t="shared" si="30"/>
        <v>96.6</v>
      </c>
      <c r="AA41" s="11">
        <f t="shared" si="31"/>
        <v>64.44296197464976</v>
      </c>
      <c r="AB41" s="38">
        <v>59</v>
      </c>
      <c r="AC41" s="38">
        <v>149.9</v>
      </c>
      <c r="AD41" s="129">
        <f t="shared" si="32"/>
        <v>254.06779661016952</v>
      </c>
      <c r="AE41" s="38">
        <v>70.4</v>
      </c>
      <c r="AF41" s="38">
        <v>59</v>
      </c>
      <c r="AG41" s="11">
        <f t="shared" si="33"/>
        <v>83.80681818181817</v>
      </c>
      <c r="AH41" s="38">
        <v>83.6</v>
      </c>
      <c r="AI41" s="38">
        <v>70.4</v>
      </c>
      <c r="AJ41" s="80">
        <f t="shared" si="17"/>
        <v>213</v>
      </c>
      <c r="AK41" s="80">
        <f t="shared" si="18"/>
        <v>279.3</v>
      </c>
      <c r="AL41" s="11">
        <f t="shared" si="34"/>
        <v>131.1267605633803</v>
      </c>
      <c r="AM41" s="38">
        <v>59.5</v>
      </c>
      <c r="AN41" s="38">
        <v>83.6</v>
      </c>
      <c r="AO41" s="38">
        <v>60.7</v>
      </c>
      <c r="AP41" s="38">
        <v>59.5</v>
      </c>
      <c r="AQ41" s="38">
        <v>57.1</v>
      </c>
      <c r="AR41" s="38">
        <v>60.7</v>
      </c>
      <c r="AS41" s="65">
        <f t="shared" si="19"/>
        <v>690.6</v>
      </c>
      <c r="AT41" s="65">
        <f t="shared" si="20"/>
        <v>684</v>
      </c>
      <c r="AU41" s="11">
        <f t="shared" si="8"/>
        <v>99.04430929626412</v>
      </c>
      <c r="AV41" s="65">
        <f t="shared" si="21"/>
        <v>6.600000000000023</v>
      </c>
      <c r="AW41" s="18">
        <f t="shared" si="35"/>
        <v>57.10000000000002</v>
      </c>
      <c r="AX41" s="99"/>
      <c r="AY41" s="19"/>
      <c r="AZ41" s="19"/>
    </row>
    <row r="42" spans="1:52" ht="24.75" customHeight="1">
      <c r="A42" s="63">
        <v>33</v>
      </c>
      <c r="B42" s="69" t="s">
        <v>58</v>
      </c>
      <c r="C42" s="98">
        <v>173.9</v>
      </c>
      <c r="D42" s="38">
        <v>107.1</v>
      </c>
      <c r="E42" s="38">
        <v>0</v>
      </c>
      <c r="F42" s="11">
        <f>E42/D42*100</f>
        <v>0</v>
      </c>
      <c r="G42" s="38">
        <v>104.7</v>
      </c>
      <c r="H42" s="38">
        <v>173.9</v>
      </c>
      <c r="I42" s="11">
        <f t="shared" si="24"/>
        <v>166.09360076408788</v>
      </c>
      <c r="J42" s="38">
        <v>105.2</v>
      </c>
      <c r="K42" s="38">
        <v>0</v>
      </c>
      <c r="L42" s="127">
        <f t="shared" si="25"/>
        <v>0</v>
      </c>
      <c r="M42" s="80">
        <f t="shared" si="13"/>
        <v>317</v>
      </c>
      <c r="N42" s="80">
        <f t="shared" si="14"/>
        <v>173.9</v>
      </c>
      <c r="O42" s="11">
        <f t="shared" si="9"/>
        <v>54.85804416403786</v>
      </c>
      <c r="P42" s="38">
        <v>105.9</v>
      </c>
      <c r="Q42" s="38">
        <v>107.1</v>
      </c>
      <c r="R42" s="129">
        <f t="shared" si="26"/>
        <v>101.13314447592067</v>
      </c>
      <c r="S42" s="38">
        <v>112.4</v>
      </c>
      <c r="T42" s="38">
        <v>104.7</v>
      </c>
      <c r="U42" s="129">
        <f t="shared" si="27"/>
        <v>93.14946619217082</v>
      </c>
      <c r="V42" s="38">
        <v>116.4</v>
      </c>
      <c r="W42" s="38">
        <v>323.5</v>
      </c>
      <c r="X42" s="129">
        <f t="shared" si="28"/>
        <v>277.9209621993127</v>
      </c>
      <c r="Y42" s="80">
        <f t="shared" si="29"/>
        <v>334.70000000000005</v>
      </c>
      <c r="Z42" s="80">
        <f t="shared" si="30"/>
        <v>535.3</v>
      </c>
      <c r="AA42" s="11">
        <f t="shared" si="31"/>
        <v>159.93426949507017</v>
      </c>
      <c r="AB42" s="38">
        <v>124.7</v>
      </c>
      <c r="AC42" s="38">
        <v>116.4</v>
      </c>
      <c r="AD42" s="129">
        <f t="shared" si="32"/>
        <v>93.34402566158782</v>
      </c>
      <c r="AE42" s="38">
        <v>130</v>
      </c>
      <c r="AF42" s="38">
        <v>124.7</v>
      </c>
      <c r="AG42" s="11">
        <f t="shared" si="33"/>
        <v>95.92307692307692</v>
      </c>
      <c r="AH42" s="38">
        <v>137.5</v>
      </c>
      <c r="AI42" s="38">
        <v>7.9</v>
      </c>
      <c r="AJ42" s="80">
        <f t="shared" si="17"/>
        <v>392.2</v>
      </c>
      <c r="AK42" s="80">
        <f t="shared" si="18"/>
        <v>249.00000000000003</v>
      </c>
      <c r="AL42" s="11">
        <f t="shared" si="34"/>
        <v>63.48801631820501</v>
      </c>
      <c r="AM42" s="38">
        <v>118.1</v>
      </c>
      <c r="AN42" s="38">
        <v>122.1</v>
      </c>
      <c r="AO42" s="38">
        <v>138.7</v>
      </c>
      <c r="AP42" s="38">
        <v>73.2</v>
      </c>
      <c r="AQ42" s="38">
        <v>117.5</v>
      </c>
      <c r="AR42" s="38">
        <v>182.5</v>
      </c>
      <c r="AS42" s="65">
        <f t="shared" si="19"/>
        <v>1418.2</v>
      </c>
      <c r="AT42" s="65">
        <f t="shared" si="20"/>
        <v>1336</v>
      </c>
      <c r="AU42" s="11">
        <f t="shared" si="8"/>
        <v>94.20392046255816</v>
      </c>
      <c r="AV42" s="65">
        <f t="shared" si="21"/>
        <v>82.20000000000005</v>
      </c>
      <c r="AW42" s="18">
        <f t="shared" si="35"/>
        <v>256.10000000000014</v>
      </c>
      <c r="AX42" s="99"/>
      <c r="AY42" s="19"/>
      <c r="AZ42" s="19"/>
    </row>
    <row r="43" spans="1:52" s="12" customFormat="1" ht="27" customHeight="1">
      <c r="A43" s="63">
        <v>34</v>
      </c>
      <c r="B43" s="26" t="s">
        <v>82</v>
      </c>
      <c r="C43" s="76">
        <f>SUM(C44:C44)</f>
        <v>3251.8</v>
      </c>
      <c r="D43" s="18">
        <f>SUM(D44:D44)</f>
        <v>1319.2</v>
      </c>
      <c r="E43" s="18">
        <f>SUM(E44:E44)</f>
        <v>0</v>
      </c>
      <c r="F43" s="11">
        <f t="shared" si="0"/>
        <v>0</v>
      </c>
      <c r="G43" s="18">
        <f>SUM(G44:G44)</f>
        <v>1299.8</v>
      </c>
      <c r="H43" s="18">
        <f>SUM(H44:H44)</f>
        <v>3291.6</v>
      </c>
      <c r="I43" s="11">
        <f t="shared" si="24"/>
        <v>253.2389598399754</v>
      </c>
      <c r="J43" s="18">
        <f>SUM(J44:J44)</f>
        <v>1258.1</v>
      </c>
      <c r="K43" s="18">
        <f>SUM(K44:K44)</f>
        <v>0</v>
      </c>
      <c r="L43" s="127">
        <f t="shared" si="25"/>
        <v>0</v>
      </c>
      <c r="M43" s="18">
        <f>SUM(M44:M44)</f>
        <v>3877.1</v>
      </c>
      <c r="N43" s="18">
        <f>SUM(N44:N44)</f>
        <v>3291.6</v>
      </c>
      <c r="O43" s="11">
        <f t="shared" si="9"/>
        <v>84.89850661576952</v>
      </c>
      <c r="P43" s="18">
        <f>SUM(P44:P44)</f>
        <v>1315.9</v>
      </c>
      <c r="Q43" s="18">
        <f>SUM(Q44:Q44)</f>
        <v>764.6</v>
      </c>
      <c r="R43" s="11">
        <f t="shared" si="26"/>
        <v>58.104719203586896</v>
      </c>
      <c r="S43" s="18">
        <f>SUM(S44:S44)</f>
        <v>1751.6</v>
      </c>
      <c r="T43" s="18">
        <f>SUM(T44:T44)</f>
        <v>1247.3</v>
      </c>
      <c r="U43" s="11">
        <f t="shared" si="27"/>
        <v>71.20918017812285</v>
      </c>
      <c r="V43" s="18">
        <f>SUM(V44:V44)</f>
        <v>1952.9</v>
      </c>
      <c r="W43" s="18">
        <f>SUM(W44:W44)</f>
        <v>1296.4</v>
      </c>
      <c r="X43" s="11">
        <f t="shared" si="28"/>
        <v>66.38332735931179</v>
      </c>
      <c r="Y43" s="18">
        <f>SUM(Y44:Y44)</f>
        <v>5020.4</v>
      </c>
      <c r="Z43" s="18">
        <f>SUM(Z44:Z44)</f>
        <v>3308.3</v>
      </c>
      <c r="AA43" s="11">
        <f t="shared" si="31"/>
        <v>65.8971396701458</v>
      </c>
      <c r="AB43" s="18">
        <f>SUM(AB44:AB44)</f>
        <v>1772</v>
      </c>
      <c r="AC43" s="18">
        <f>SUM(AC44:AC44)</f>
        <v>872.9</v>
      </c>
      <c r="AD43" s="11">
        <f t="shared" si="32"/>
        <v>49.260722347629795</v>
      </c>
      <c r="AE43" s="18">
        <f>SUM(AE44:AE44)</f>
        <v>1975.4</v>
      </c>
      <c r="AF43" s="18">
        <f>SUM(AF44:AF44)</f>
        <v>467.1</v>
      </c>
      <c r="AG43" s="11">
        <f t="shared" si="33"/>
        <v>23.645843879720562</v>
      </c>
      <c r="AH43" s="18">
        <f>SUM(AH44:AH44)</f>
        <v>1893.1</v>
      </c>
      <c r="AI43" s="18">
        <f>SUM(AI44:AI44)</f>
        <v>1351.7</v>
      </c>
      <c r="AJ43" s="18">
        <f>SUM(AJ44:AJ44)</f>
        <v>5640.5</v>
      </c>
      <c r="AK43" s="18">
        <f>SUM(AK44:AK44)</f>
        <v>2691.7</v>
      </c>
      <c r="AL43" s="11">
        <f t="shared" si="34"/>
        <v>47.720946724581154</v>
      </c>
      <c r="AM43" s="18">
        <f aca="true" t="shared" si="36" ref="AM43:AT43">SUM(AM44:AM44)</f>
        <v>1926.3</v>
      </c>
      <c r="AN43" s="18">
        <f t="shared" si="36"/>
        <v>3900.9</v>
      </c>
      <c r="AO43" s="18">
        <f t="shared" si="36"/>
        <v>1756</v>
      </c>
      <c r="AP43" s="18">
        <f t="shared" si="36"/>
        <v>1825.8</v>
      </c>
      <c r="AQ43" s="18">
        <f t="shared" si="36"/>
        <v>1778.6</v>
      </c>
      <c r="AR43" s="18">
        <f t="shared" si="36"/>
        <v>3640.6</v>
      </c>
      <c r="AS43" s="18">
        <f t="shared" si="36"/>
        <v>19998.899999999998</v>
      </c>
      <c r="AT43" s="18">
        <f t="shared" si="36"/>
        <v>18658.899999999998</v>
      </c>
      <c r="AU43" s="11">
        <f t="shared" si="8"/>
        <v>93.29963147973139</v>
      </c>
      <c r="AV43" s="18">
        <f>SUM(AV44:AV44)</f>
        <v>1340</v>
      </c>
      <c r="AW43" s="18">
        <f>SUM(AW44:AW44)</f>
        <v>4591.799999999999</v>
      </c>
      <c r="AX43" s="99"/>
      <c r="AY43" s="42"/>
      <c r="AZ43" s="42"/>
    </row>
    <row r="44" spans="1:52" s="12" customFormat="1" ht="24.75" customHeight="1">
      <c r="A44" s="73"/>
      <c r="B44" s="74" t="s">
        <v>83</v>
      </c>
      <c r="C44" s="98">
        <v>3251.8</v>
      </c>
      <c r="D44" s="75">
        <v>1319.2</v>
      </c>
      <c r="E44" s="75">
        <v>0</v>
      </c>
      <c r="F44" s="11">
        <f t="shared" si="0"/>
        <v>0</v>
      </c>
      <c r="G44" s="38">
        <v>1299.8</v>
      </c>
      <c r="H44" s="38">
        <v>3291.6</v>
      </c>
      <c r="I44" s="11">
        <f t="shared" si="24"/>
        <v>253.2389598399754</v>
      </c>
      <c r="J44" s="38">
        <v>1258.1</v>
      </c>
      <c r="K44" s="38">
        <v>0</v>
      </c>
      <c r="L44" s="127">
        <f t="shared" si="25"/>
        <v>0</v>
      </c>
      <c r="M44" s="80">
        <f t="shared" si="13"/>
        <v>3877.1</v>
      </c>
      <c r="N44" s="80">
        <f t="shared" si="14"/>
        <v>3291.6</v>
      </c>
      <c r="O44" s="11">
        <f t="shared" si="9"/>
        <v>84.89850661576952</v>
      </c>
      <c r="P44" s="38">
        <v>1315.9</v>
      </c>
      <c r="Q44" s="38">
        <v>764.6</v>
      </c>
      <c r="R44" s="11">
        <f t="shared" si="26"/>
        <v>58.104719203586896</v>
      </c>
      <c r="S44" s="38">
        <v>1751.6</v>
      </c>
      <c r="T44" s="38">
        <v>1247.3</v>
      </c>
      <c r="U44" s="11">
        <f t="shared" si="27"/>
        <v>71.20918017812285</v>
      </c>
      <c r="V44" s="38">
        <v>1952.9</v>
      </c>
      <c r="W44" s="38">
        <v>1296.4</v>
      </c>
      <c r="X44" s="11">
        <f t="shared" si="28"/>
        <v>66.38332735931179</v>
      </c>
      <c r="Y44" s="80">
        <f>P44+S44+V44</f>
        <v>5020.4</v>
      </c>
      <c r="Z44" s="80">
        <f>Q44+T44+W44</f>
        <v>3308.3</v>
      </c>
      <c r="AA44" s="11">
        <f t="shared" si="31"/>
        <v>65.8971396701458</v>
      </c>
      <c r="AB44" s="38">
        <v>1772</v>
      </c>
      <c r="AC44" s="38">
        <v>872.9</v>
      </c>
      <c r="AD44" s="11">
        <f t="shared" si="32"/>
        <v>49.260722347629795</v>
      </c>
      <c r="AE44" s="38">
        <v>1975.4</v>
      </c>
      <c r="AF44" s="38">
        <v>467.1</v>
      </c>
      <c r="AG44" s="11">
        <f>AF44/AE44*100</f>
        <v>23.645843879720562</v>
      </c>
      <c r="AH44" s="38">
        <v>1893.1</v>
      </c>
      <c r="AI44" s="38">
        <v>1351.7</v>
      </c>
      <c r="AJ44" s="80">
        <f>AB44+AE44+AH44</f>
        <v>5640.5</v>
      </c>
      <c r="AK44" s="80">
        <f>AC44+AF44+AI44</f>
        <v>2691.7</v>
      </c>
      <c r="AL44" s="11">
        <f t="shared" si="34"/>
        <v>47.720946724581154</v>
      </c>
      <c r="AM44" s="38">
        <v>1926.3</v>
      </c>
      <c r="AN44" s="38">
        <v>3900.9</v>
      </c>
      <c r="AO44" s="38">
        <v>1756</v>
      </c>
      <c r="AP44" s="38">
        <v>1825.8</v>
      </c>
      <c r="AQ44" s="38">
        <v>1778.6</v>
      </c>
      <c r="AR44" s="38">
        <v>3640.6</v>
      </c>
      <c r="AS44" s="65">
        <f>M44+Y44+AJ44+AM44+AO44+AQ44</f>
        <v>19998.899999999998</v>
      </c>
      <c r="AT44" s="65">
        <f>N44+Z44+AK44+AN44+AP44+AR44</f>
        <v>18658.899999999998</v>
      </c>
      <c r="AU44" s="11">
        <f t="shared" si="8"/>
        <v>93.29963147973139</v>
      </c>
      <c r="AV44" s="65">
        <f t="shared" si="21"/>
        <v>1340</v>
      </c>
      <c r="AW44" s="18">
        <f>C44+AS44-AT44</f>
        <v>4591.799999999999</v>
      </c>
      <c r="AX44" s="99"/>
      <c r="AY44" s="42"/>
      <c r="AZ44" s="42"/>
    </row>
    <row r="45" spans="1:52" s="12" customFormat="1" ht="31.5" customHeight="1">
      <c r="A45" s="73"/>
      <c r="B45" s="16" t="s">
        <v>9</v>
      </c>
      <c r="C45" s="76">
        <f>C7+C43</f>
        <v>5051.6</v>
      </c>
      <c r="D45" s="18">
        <f>D7+D43</f>
        <v>2052.4</v>
      </c>
      <c r="E45" s="18">
        <f>E7+E43</f>
        <v>0</v>
      </c>
      <c r="F45" s="11">
        <f t="shared" si="0"/>
        <v>0</v>
      </c>
      <c r="G45" s="18">
        <f>G7+G43</f>
        <v>2047.6</v>
      </c>
      <c r="H45" s="18">
        <f>H7+H43</f>
        <v>4296.599999999999</v>
      </c>
      <c r="I45" s="11">
        <f>H45/G45*100</f>
        <v>209.83590545028324</v>
      </c>
      <c r="J45" s="18">
        <f>J7+J43</f>
        <v>2034.8000000000002</v>
      </c>
      <c r="K45" s="18">
        <f>K7+K43</f>
        <v>854.6</v>
      </c>
      <c r="L45" s="127">
        <f t="shared" si="25"/>
        <v>41.999213681934336</v>
      </c>
      <c r="M45" s="18">
        <f>M7+M43</f>
        <v>6134.799999999999</v>
      </c>
      <c r="N45" s="18">
        <f>N7+N43</f>
        <v>5151.2</v>
      </c>
      <c r="O45" s="11">
        <f t="shared" si="9"/>
        <v>83.96687748581861</v>
      </c>
      <c r="P45" s="18">
        <f>P7+P43</f>
        <v>2088.7</v>
      </c>
      <c r="Q45" s="18">
        <f>Q7+Q43</f>
        <v>1792.7999999999997</v>
      </c>
      <c r="R45" s="11">
        <f t="shared" si="26"/>
        <v>85.83329343610858</v>
      </c>
      <c r="S45" s="18">
        <f>S7+S43</f>
        <v>2581</v>
      </c>
      <c r="T45" s="18">
        <f>T7+T43</f>
        <v>2008.5</v>
      </c>
      <c r="U45" s="11">
        <f t="shared" si="27"/>
        <v>77.81867493219681</v>
      </c>
      <c r="V45" s="18">
        <f>V7+V43</f>
        <v>3078.2</v>
      </c>
      <c r="W45" s="18">
        <f>W7+W43</f>
        <v>2403.6000000000004</v>
      </c>
      <c r="X45" s="11">
        <f t="shared" si="28"/>
        <v>78.08459489311937</v>
      </c>
      <c r="Y45" s="18">
        <f>Y7+Y43</f>
        <v>7747.9</v>
      </c>
      <c r="Z45" s="18">
        <f>Z7+Z43</f>
        <v>6204.9</v>
      </c>
      <c r="AA45" s="11">
        <f t="shared" si="31"/>
        <v>80.08492623807741</v>
      </c>
      <c r="AB45" s="18">
        <f>AB7+AB43</f>
        <v>2870.8</v>
      </c>
      <c r="AC45" s="18">
        <f>AC7+AC43</f>
        <v>2528.6000000000004</v>
      </c>
      <c r="AD45" s="11">
        <f t="shared" si="32"/>
        <v>88.07997770656264</v>
      </c>
      <c r="AE45" s="18">
        <f>AE43+AE7</f>
        <v>3110.9</v>
      </c>
      <c r="AF45" s="18">
        <f>AF43+AF7</f>
        <v>1373.8</v>
      </c>
      <c r="AG45" s="11">
        <f>AF45/AE45*100</f>
        <v>44.16085377222026</v>
      </c>
      <c r="AH45" s="18">
        <f>AH43+AH7</f>
        <v>3156.2</v>
      </c>
      <c r="AI45" s="18">
        <f>AI43+AI7</f>
        <v>2301.7999999999997</v>
      </c>
      <c r="AJ45" s="18">
        <f>AJ7+AJ43</f>
        <v>9137.9</v>
      </c>
      <c r="AK45" s="18">
        <f>AK7+AK43</f>
        <v>6204.200000000001</v>
      </c>
      <c r="AL45" s="11">
        <f t="shared" si="34"/>
        <v>67.8952494555642</v>
      </c>
      <c r="AM45" s="18">
        <f aca="true" t="shared" si="37" ref="AM45:AR45">AM43+AM7</f>
        <v>3012.2</v>
      </c>
      <c r="AN45" s="18">
        <f t="shared" si="37"/>
        <v>5068.5</v>
      </c>
      <c r="AO45" s="18">
        <f t="shared" si="37"/>
        <v>2860.7</v>
      </c>
      <c r="AP45" s="18">
        <f t="shared" si="37"/>
        <v>2701.2999999999997</v>
      </c>
      <c r="AQ45" s="18">
        <f t="shared" si="37"/>
        <v>2819.3</v>
      </c>
      <c r="AR45" s="18">
        <f t="shared" si="37"/>
        <v>5005.4</v>
      </c>
      <c r="AS45" s="76">
        <f>AS7+AS43</f>
        <v>31712.800000000003</v>
      </c>
      <c r="AT45" s="76">
        <f>AT7+AT43</f>
        <v>30335.499999999993</v>
      </c>
      <c r="AU45" s="11">
        <f>AT45/AS45*100</f>
        <v>95.6569587043717</v>
      </c>
      <c r="AV45" s="18">
        <f>AV7+AV43</f>
        <v>1377.3</v>
      </c>
      <c r="AW45" s="18">
        <f>AW7+AW43</f>
        <v>6428.899999999999</v>
      </c>
      <c r="AX45" s="99"/>
      <c r="AY45" s="42"/>
      <c r="AZ45" s="42"/>
    </row>
    <row r="46" spans="1:52" s="12" customFormat="1" ht="31.5" customHeight="1">
      <c r="A46" s="105"/>
      <c r="B46" s="95"/>
      <c r="C46" s="22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99"/>
      <c r="AY46" s="42"/>
      <c r="AZ46" s="42"/>
    </row>
    <row r="47" spans="1:50" s="32" customFormat="1" ht="96.75" customHeight="1">
      <c r="A47" s="29"/>
      <c r="B47" s="169" t="s">
        <v>135</v>
      </c>
      <c r="C47" s="169"/>
      <c r="D47" s="169"/>
      <c r="E47" s="169"/>
      <c r="F47" s="169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2" t="s">
        <v>136</v>
      </c>
      <c r="AW47" s="173"/>
      <c r="AX47" s="106"/>
    </row>
    <row r="48" spans="1:49" ht="73.5" customHeight="1" hidden="1">
      <c r="A48" s="165" t="s">
        <v>133</v>
      </c>
      <c r="B48" s="165"/>
      <c r="C48" s="33"/>
      <c r="D48" s="33"/>
      <c r="E48" s="33"/>
      <c r="F48" s="33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2:48" ht="32.25" customHeight="1" hidden="1">
      <c r="B49" s="171" t="s">
        <v>51</v>
      </c>
      <c r="C49" s="171"/>
      <c r="D49" s="171"/>
      <c r="E49" s="171"/>
      <c r="F49" s="171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31:44" ht="18.75"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27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27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27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3:49" ht="18.75">
      <c r="C55" s="27"/>
      <c r="D55" s="20"/>
      <c r="E55" s="20"/>
      <c r="F55" s="53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27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27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27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27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27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27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27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27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27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27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27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27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27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27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27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27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27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27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27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27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27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27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27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27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27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27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27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27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27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27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27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27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27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27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27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27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27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27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27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27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27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27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6">
    <mergeCell ref="I1:AW1"/>
    <mergeCell ref="B2:AW2"/>
    <mergeCell ref="B3:AW3"/>
    <mergeCell ref="B4:F4"/>
    <mergeCell ref="G5:I5"/>
    <mergeCell ref="AS5:AU5"/>
    <mergeCell ref="AM5:AN5"/>
    <mergeCell ref="AJ5:AL5"/>
    <mergeCell ref="AO5:AP5"/>
    <mergeCell ref="AQ5:AR5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tabSelected="1" view="pageBreakPreview" zoomScale="80" zoomScaleNormal="50" zoomScaleSheetLayoutView="80" zoomScalePageLayoutView="0" workbookViewId="0" topLeftCell="A1">
      <pane xSplit="6" ySplit="8" topLeftCell="AM2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7" sqref="AS27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51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3.37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customWidth="1"/>
    <col min="26" max="26" width="12.375" style="12" customWidth="1"/>
    <col min="27" max="27" width="11.125" style="12" customWidth="1"/>
    <col min="28" max="28" width="15.75390625" style="12" hidden="1" customWidth="1"/>
    <col min="29" max="29" width="13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875" style="12" hidden="1" customWidth="1"/>
    <col min="35" max="35" width="11.875" style="12" hidden="1" customWidth="1"/>
    <col min="36" max="36" width="13.875" style="12" customWidth="1"/>
    <col min="37" max="37" width="12.375" style="12" customWidth="1"/>
    <col min="38" max="38" width="11.125" style="12" customWidth="1"/>
    <col min="39" max="39" width="12.875" style="12" customWidth="1"/>
    <col min="40" max="40" width="11.875" style="12" customWidth="1"/>
    <col min="41" max="41" width="12.875" style="12" customWidth="1"/>
    <col min="42" max="42" width="12.375" style="12" customWidth="1"/>
    <col min="43" max="43" width="12.875" style="12" customWidth="1"/>
    <col min="44" max="44" width="11.875" style="12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5.375" style="2" customWidth="1"/>
    <col min="51" max="51" width="13.625" style="2" customWidth="1"/>
    <col min="52" max="52" width="10.75390625" style="2" bestFit="1" customWidth="1"/>
    <col min="53" max="16384" width="7.875" style="2" customWidth="1"/>
  </cols>
  <sheetData>
    <row r="1" spans="9:49" ht="22.5" customHeight="1">
      <c r="I1" s="162" t="s">
        <v>49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56" customFormat="1" ht="42" customHeight="1">
      <c r="A2" s="61"/>
      <c r="B2" s="163" t="s">
        <v>56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56" customFormat="1" ht="42" customHeight="1">
      <c r="A3" s="55"/>
      <c r="B3" s="163" t="s">
        <v>161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9.5" customHeight="1">
      <c r="B4" s="174"/>
      <c r="C4" s="174"/>
      <c r="D4" s="174"/>
      <c r="E4" s="174"/>
      <c r="F4" s="174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58" t="s">
        <v>139</v>
      </c>
      <c r="E5" s="159"/>
      <c r="F5" s="160"/>
      <c r="G5" s="153" t="s">
        <v>140</v>
      </c>
      <c r="H5" s="154"/>
      <c r="I5" s="155"/>
      <c r="J5" s="153" t="s">
        <v>142</v>
      </c>
      <c r="K5" s="154"/>
      <c r="L5" s="155"/>
      <c r="M5" s="153" t="s">
        <v>156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159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160</v>
      </c>
      <c r="AK5" s="154"/>
      <c r="AL5" s="155"/>
      <c r="AM5" s="153" t="s">
        <v>150</v>
      </c>
      <c r="AN5" s="155"/>
      <c r="AO5" s="153" t="s">
        <v>151</v>
      </c>
      <c r="AP5" s="155"/>
      <c r="AQ5" s="153" t="s">
        <v>152</v>
      </c>
      <c r="AR5" s="155"/>
      <c r="AS5" s="158" t="s">
        <v>153</v>
      </c>
      <c r="AT5" s="159"/>
      <c r="AU5" s="160"/>
      <c r="AV5" s="156" t="s">
        <v>162</v>
      </c>
      <c r="AW5" s="156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7"/>
      <c r="AW6" s="157"/>
    </row>
    <row r="7" spans="1:52" s="12" customFormat="1" ht="36" customHeight="1">
      <c r="A7" s="52"/>
      <c r="B7" s="62" t="s">
        <v>8</v>
      </c>
      <c r="C7" s="11">
        <f>SUM(C8:C42)</f>
        <v>31633.199999999997</v>
      </c>
      <c r="D7" s="11">
        <f>SUM(D8:D42)</f>
        <v>17274.1</v>
      </c>
      <c r="E7" s="11">
        <f>SUM(E8:E42)</f>
        <v>0</v>
      </c>
      <c r="F7" s="11">
        <f aca="true" t="shared" si="0" ref="F7:F45">E7/D7*100</f>
        <v>0</v>
      </c>
      <c r="G7" s="11">
        <f>SUM(G8:G42)</f>
        <v>17760.099999999995</v>
      </c>
      <c r="H7" s="11">
        <f>SUM(H8:H42)</f>
        <v>34804.5</v>
      </c>
      <c r="I7" s="11">
        <f aca="true" t="shared" si="1" ref="I7:I45">H7/G7*100</f>
        <v>195.9701803480837</v>
      </c>
      <c r="J7" s="11">
        <f>SUM(J8:J42)</f>
        <v>17730</v>
      </c>
      <c r="K7" s="11">
        <f>SUM(K8:K42)</f>
        <v>8135.6</v>
      </c>
      <c r="L7" s="11">
        <f aca="true" t="shared" si="2" ref="L7:L28">K7/J7*100</f>
        <v>45.88606880992668</v>
      </c>
      <c r="M7" s="11">
        <f>SUM(M8:M42)</f>
        <v>52764.19999999999</v>
      </c>
      <c r="N7" s="11">
        <f>SUM(N8:N42)</f>
        <v>42940.100000000006</v>
      </c>
      <c r="O7" s="11">
        <f>N7/M7*100</f>
        <v>81.38112583911064</v>
      </c>
      <c r="P7" s="11">
        <f>SUM(P8:P42)</f>
        <v>13734</v>
      </c>
      <c r="Q7" s="11">
        <f>SUM(Q8:Q42)</f>
        <v>12917.7</v>
      </c>
      <c r="R7" s="11">
        <f aca="true" t="shared" si="3" ref="R7:R28">Q7/P7*100</f>
        <v>94.05635648754915</v>
      </c>
      <c r="S7" s="11">
        <f>SUM(S8:S42)</f>
        <v>-34006.50000000001</v>
      </c>
      <c r="T7" s="11">
        <f>SUM(T8:T42)</f>
        <v>20444.43445</v>
      </c>
      <c r="U7" s="11">
        <f aca="true" t="shared" si="4" ref="U7:U28">T7/S7*100</f>
        <v>-60.119196183082636</v>
      </c>
      <c r="V7" s="11">
        <f>SUM(V8:V42)</f>
        <v>1187.14111</v>
      </c>
      <c r="W7" s="11">
        <f>SUM(W8:W42)</f>
        <v>2944.2</v>
      </c>
      <c r="X7" s="11">
        <f aca="true" t="shared" si="5" ref="X7:X28">W7/V7*100</f>
        <v>248.00758521453275</v>
      </c>
      <c r="Y7" s="11">
        <f>SUM(Y8:Y42)</f>
        <v>-19085.358890000003</v>
      </c>
      <c r="Z7" s="11">
        <f>SUM(Z8:Z42)</f>
        <v>36306.33445</v>
      </c>
      <c r="AA7" s="11">
        <f>Z7/Y7*100</f>
        <v>-190.23134256607105</v>
      </c>
      <c r="AB7" s="11">
        <f>SUM(AB8:AB42)</f>
        <v>3069.9000000000005</v>
      </c>
      <c r="AC7" s="11">
        <f>SUM(AC8:AC42)</f>
        <v>815.4000000000001</v>
      </c>
      <c r="AD7" s="11">
        <f aca="true" t="shared" si="6" ref="AD7:AD28">AC7/AB7*100</f>
        <v>26.56112576956904</v>
      </c>
      <c r="AE7" s="11">
        <f>SUM(AE8:AE42)</f>
        <v>3559.1000000000004</v>
      </c>
      <c r="AF7" s="11">
        <f>SUM(AF8:AF42)</f>
        <v>1702.3000000000002</v>
      </c>
      <c r="AG7" s="11">
        <f>AF7/AE7*100</f>
        <v>47.829507459751056</v>
      </c>
      <c r="AH7" s="11">
        <f>SUM(AH8:AH42)</f>
        <v>4021.6000000000004</v>
      </c>
      <c r="AI7" s="11">
        <f>SUM(AI8:AI42)</f>
        <v>1415.59</v>
      </c>
      <c r="AJ7" s="11">
        <f>SUM(AJ8:AJ42)</f>
        <v>10650.600000000002</v>
      </c>
      <c r="AK7" s="11">
        <f>SUM(AK8:AK42)</f>
        <v>3933.29</v>
      </c>
      <c r="AL7" s="11">
        <f>AK7/AJ7*100</f>
        <v>36.9302198937149</v>
      </c>
      <c r="AM7" s="11">
        <f aca="true" t="shared" si="7" ref="AM7:AT7">SUM(AM8:AM42)</f>
        <v>18.20000000000006</v>
      </c>
      <c r="AN7" s="11">
        <f t="shared" si="7"/>
        <v>1701.8000000000002</v>
      </c>
      <c r="AO7" s="11">
        <f t="shared" si="7"/>
        <v>11988.400000000001</v>
      </c>
      <c r="AP7" s="11">
        <f t="shared" si="7"/>
        <v>1178.8</v>
      </c>
      <c r="AQ7" s="11">
        <f>SUM(AQ8:AQ42)</f>
        <v>12033.700000000003</v>
      </c>
      <c r="AR7" s="11">
        <f>SUM(AR8:AR42)</f>
        <v>5763.900000000001</v>
      </c>
      <c r="AS7" s="60">
        <f t="shared" si="7"/>
        <v>68369.74111</v>
      </c>
      <c r="AT7" s="60">
        <f t="shared" si="7"/>
        <v>91824.22445</v>
      </c>
      <c r="AU7" s="11">
        <f aca="true" t="shared" si="8" ref="AU7:AU44">AT7/AS7*100</f>
        <v>134.30535637434124</v>
      </c>
      <c r="AV7" s="11">
        <f>SUM(AV8:AV42)</f>
        <v>-23454.483340000006</v>
      </c>
      <c r="AW7" s="11">
        <f>SUM(AW8:AW42)</f>
        <v>8178.716659999999</v>
      </c>
      <c r="AX7" s="23">
        <f>M7+Y7+AJ7+AM7</f>
        <v>44347.64110999998</v>
      </c>
      <c r="AY7" s="23">
        <f>N7+Z7+AK7+AN7</f>
        <v>84881.52445</v>
      </c>
      <c r="AZ7" s="42">
        <f>C7+AX7-AY7</f>
        <v>-8900.683340000018</v>
      </c>
    </row>
    <row r="8" spans="1:50" ht="24.75" customHeight="1">
      <c r="A8" s="63">
        <v>1</v>
      </c>
      <c r="B8" s="64" t="s">
        <v>59</v>
      </c>
      <c r="C8" s="14">
        <v>1509.6</v>
      </c>
      <c r="D8" s="38">
        <v>1360.3</v>
      </c>
      <c r="E8" s="38">
        <v>0</v>
      </c>
      <c r="F8" s="11">
        <f t="shared" si="0"/>
        <v>0</v>
      </c>
      <c r="G8" s="38">
        <v>1331.8</v>
      </c>
      <c r="H8" s="38">
        <v>2806.5</v>
      </c>
      <c r="I8" s="11">
        <f t="shared" si="1"/>
        <v>210.72983931521253</v>
      </c>
      <c r="J8" s="38">
        <v>1286.7</v>
      </c>
      <c r="K8" s="38">
        <v>0</v>
      </c>
      <c r="L8" s="11">
        <f t="shared" si="2"/>
        <v>0</v>
      </c>
      <c r="M8" s="80">
        <f>D8+G8+J8</f>
        <v>3978.8</v>
      </c>
      <c r="N8" s="80">
        <f>E8+H8+K8</f>
        <v>2806.5</v>
      </c>
      <c r="O8" s="11">
        <f aca="true" t="shared" si="9" ref="O8:O45">N8/M8*100</f>
        <v>70.53634261586407</v>
      </c>
      <c r="P8" s="38">
        <v>1045.4</v>
      </c>
      <c r="Q8" s="38">
        <v>993</v>
      </c>
      <c r="R8" s="11">
        <f t="shared" si="3"/>
        <v>94.98756456858618</v>
      </c>
      <c r="S8" s="38">
        <v>-3030.7</v>
      </c>
      <c r="T8" s="38">
        <v>1462.6</v>
      </c>
      <c r="U8" s="11">
        <f t="shared" si="4"/>
        <v>-48.2594780083809</v>
      </c>
      <c r="V8" s="38">
        <v>15.8</v>
      </c>
      <c r="W8" s="38">
        <v>0</v>
      </c>
      <c r="X8" s="11">
        <f t="shared" si="5"/>
        <v>0</v>
      </c>
      <c r="Y8" s="80">
        <f>P8+S8+V8</f>
        <v>-1969.4999999999998</v>
      </c>
      <c r="Z8" s="80">
        <f>Q8+T8+W8</f>
        <v>2455.6</v>
      </c>
      <c r="AA8" s="11">
        <f aca="true" t="shared" si="10" ref="AA8:AA28">Z8/Y8*100</f>
        <v>-124.68139121604469</v>
      </c>
      <c r="AB8" s="38">
        <v>269.8</v>
      </c>
      <c r="AC8" s="38">
        <v>0</v>
      </c>
      <c r="AD8" s="11">
        <f t="shared" si="6"/>
        <v>0</v>
      </c>
      <c r="AE8" s="38">
        <v>271.3</v>
      </c>
      <c r="AF8" s="38">
        <v>0</v>
      </c>
      <c r="AG8" s="11">
        <f>AF8/AE8*100</f>
        <v>0</v>
      </c>
      <c r="AH8" s="38">
        <v>292.8</v>
      </c>
      <c r="AI8" s="38">
        <v>0.5</v>
      </c>
      <c r="AJ8" s="80">
        <f>AB8+AE8+AH8</f>
        <v>833.9000000000001</v>
      </c>
      <c r="AK8" s="80">
        <f>AC8+AF8+AI8</f>
        <v>0.5</v>
      </c>
      <c r="AL8" s="11">
        <f aca="true" t="shared" si="11" ref="AL8:AL28">AK8/AJ8*100</f>
        <v>0.05995922772514689</v>
      </c>
      <c r="AM8" s="38">
        <v>-132.9</v>
      </c>
      <c r="AN8" s="38">
        <v>0</v>
      </c>
      <c r="AO8" s="38">
        <v>962.3</v>
      </c>
      <c r="AP8" s="38">
        <v>0</v>
      </c>
      <c r="AQ8" s="38">
        <v>792.9</v>
      </c>
      <c r="AR8" s="38">
        <v>0</v>
      </c>
      <c r="AS8" s="65">
        <f>M8+Y8+AJ8+AM8+AO8+AQ8</f>
        <v>4465.5</v>
      </c>
      <c r="AT8" s="65">
        <f>N8+Z8+AK8+AN8+AP8+AR8</f>
        <v>5262.6</v>
      </c>
      <c r="AU8" s="11">
        <f t="shared" si="8"/>
        <v>117.85018474974807</v>
      </c>
      <c r="AV8" s="65">
        <f>AS8-AT8</f>
        <v>-797.1000000000004</v>
      </c>
      <c r="AW8" s="18">
        <f>C8+AS8-AT8</f>
        <v>712.5</v>
      </c>
      <c r="AX8" s="19"/>
    </row>
    <row r="9" spans="1:50" ht="24.75" customHeight="1">
      <c r="A9" s="63">
        <v>2</v>
      </c>
      <c r="B9" s="66" t="s">
        <v>60</v>
      </c>
      <c r="C9" s="14">
        <f>-90.9+443.2</f>
        <v>352.29999999999995</v>
      </c>
      <c r="D9" s="38">
        <v>395.2</v>
      </c>
      <c r="E9" s="38">
        <v>0</v>
      </c>
      <c r="F9" s="11">
        <f>E9/D9*100</f>
        <v>0</v>
      </c>
      <c r="G9" s="38">
        <v>394.2</v>
      </c>
      <c r="H9" s="38">
        <v>647.7</v>
      </c>
      <c r="I9" s="11">
        <f t="shared" si="1"/>
        <v>164.3074581430746</v>
      </c>
      <c r="J9" s="38">
        <v>397.5</v>
      </c>
      <c r="K9" s="38">
        <v>0</v>
      </c>
      <c r="L9" s="11">
        <f t="shared" si="2"/>
        <v>0</v>
      </c>
      <c r="M9" s="80">
        <f aca="true" t="shared" si="12" ref="M9:M44">D9+G9+J9</f>
        <v>1186.9</v>
      </c>
      <c r="N9" s="80">
        <f aca="true" t="shared" si="13" ref="N9:N44">E9+H9+K9</f>
        <v>647.7</v>
      </c>
      <c r="O9" s="11">
        <f t="shared" si="9"/>
        <v>54.57073047434493</v>
      </c>
      <c r="P9" s="38">
        <v>367.9</v>
      </c>
      <c r="Q9" s="38">
        <v>136.7</v>
      </c>
      <c r="R9" s="11">
        <f t="shared" si="3"/>
        <v>37.156836096765424</v>
      </c>
      <c r="S9" s="38">
        <v>-1271.4</v>
      </c>
      <c r="T9" s="38">
        <v>242.3</v>
      </c>
      <c r="U9" s="11">
        <f t="shared" si="4"/>
        <v>-19.05773163441875</v>
      </c>
      <c r="V9" s="38">
        <v>39.9</v>
      </c>
      <c r="W9" s="38">
        <v>0</v>
      </c>
      <c r="X9" s="11">
        <f t="shared" si="5"/>
        <v>0</v>
      </c>
      <c r="Y9" s="80">
        <f aca="true" t="shared" si="14" ref="Y9:Y28">P9+S9+V9</f>
        <v>-863.6000000000001</v>
      </c>
      <c r="Z9" s="80">
        <f aca="true" t="shared" si="15" ref="Z9:Z28">Q9+T9+W9</f>
        <v>379</v>
      </c>
      <c r="AA9" s="11">
        <f t="shared" si="10"/>
        <v>-43.88605836035201</v>
      </c>
      <c r="AB9" s="38">
        <v>108.5</v>
      </c>
      <c r="AC9" s="38">
        <v>0</v>
      </c>
      <c r="AD9" s="11">
        <f t="shared" si="6"/>
        <v>0</v>
      </c>
      <c r="AE9" s="38">
        <v>133</v>
      </c>
      <c r="AF9" s="38">
        <v>0</v>
      </c>
      <c r="AG9" s="11">
        <f>AF9/AE9*100</f>
        <v>0</v>
      </c>
      <c r="AH9" s="38">
        <v>110.1</v>
      </c>
      <c r="AI9" s="38">
        <v>91.6</v>
      </c>
      <c r="AJ9" s="80">
        <f aca="true" t="shared" si="16" ref="AJ9:AJ36">AB9+AE9+AH9</f>
        <v>351.6</v>
      </c>
      <c r="AK9" s="80">
        <f aca="true" t="shared" si="17" ref="AK9:AK36">AC9+AF9+AI9</f>
        <v>91.6</v>
      </c>
      <c r="AL9" s="11">
        <f t="shared" si="11"/>
        <v>26.052332195676904</v>
      </c>
      <c r="AM9" s="38">
        <v>-71.1</v>
      </c>
      <c r="AN9" s="38">
        <v>0</v>
      </c>
      <c r="AO9" s="38">
        <v>271.9</v>
      </c>
      <c r="AP9" s="38">
        <v>60.4</v>
      </c>
      <c r="AQ9" s="38">
        <v>363.2</v>
      </c>
      <c r="AR9" s="38">
        <v>108</v>
      </c>
      <c r="AS9" s="65">
        <f aca="true" t="shared" si="18" ref="AS9:AS42">M9+Y9+AJ9+AM9+AO9+AQ9</f>
        <v>1238.8999999999999</v>
      </c>
      <c r="AT9" s="65">
        <f aca="true" t="shared" si="19" ref="AT9:AT42">N9+Z9+AK9+AN9+AP9+AR9</f>
        <v>1286.7</v>
      </c>
      <c r="AU9" s="11">
        <f t="shared" si="8"/>
        <v>103.85826136088467</v>
      </c>
      <c r="AV9" s="65">
        <f aca="true" t="shared" si="20" ref="AV9:AV44">AS9-AT9</f>
        <v>-47.80000000000018</v>
      </c>
      <c r="AW9" s="18">
        <f aca="true" t="shared" si="21" ref="AW9:AW44">C9+AS9-AT9</f>
        <v>304.4999999999998</v>
      </c>
      <c r="AX9" s="19"/>
    </row>
    <row r="10" spans="1:50" ht="24.75" customHeight="1">
      <c r="A10" s="63">
        <v>3</v>
      </c>
      <c r="B10" s="67" t="s">
        <v>132</v>
      </c>
      <c r="C10" s="14">
        <v>222</v>
      </c>
      <c r="D10" s="38">
        <v>101.2</v>
      </c>
      <c r="E10" s="38">
        <v>0</v>
      </c>
      <c r="F10" s="11">
        <f>E10/D10*100</f>
        <v>0</v>
      </c>
      <c r="G10" s="38">
        <v>99.7</v>
      </c>
      <c r="H10" s="38">
        <v>311.9</v>
      </c>
      <c r="I10" s="68">
        <f t="shared" si="1"/>
        <v>312.8385155466399</v>
      </c>
      <c r="J10" s="38">
        <v>101.5</v>
      </c>
      <c r="K10" s="38">
        <v>0</v>
      </c>
      <c r="L10" s="11">
        <f t="shared" si="2"/>
        <v>0</v>
      </c>
      <c r="M10" s="80">
        <f t="shared" si="12"/>
        <v>302.4</v>
      </c>
      <c r="N10" s="80">
        <f t="shared" si="13"/>
        <v>311.9</v>
      </c>
      <c r="O10" s="11">
        <f t="shared" si="9"/>
        <v>103.14153439153439</v>
      </c>
      <c r="P10" s="38">
        <v>82.1</v>
      </c>
      <c r="Q10" s="38">
        <v>83.1</v>
      </c>
      <c r="R10" s="128">
        <f t="shared" si="3"/>
        <v>101.21802679658953</v>
      </c>
      <c r="S10" s="38">
        <v>2.4</v>
      </c>
      <c r="T10" s="38">
        <v>129.4</v>
      </c>
      <c r="U10" s="128">
        <f t="shared" si="4"/>
        <v>5391.666666666667</v>
      </c>
      <c r="V10" s="38">
        <v>10.8</v>
      </c>
      <c r="W10" s="38">
        <v>79.5</v>
      </c>
      <c r="X10" s="128">
        <f t="shared" si="5"/>
        <v>736.1111111111111</v>
      </c>
      <c r="Y10" s="80">
        <f t="shared" si="14"/>
        <v>95.3</v>
      </c>
      <c r="Z10" s="80">
        <f t="shared" si="15"/>
        <v>292</v>
      </c>
      <c r="AA10" s="11">
        <f t="shared" si="10"/>
        <v>306.40083945435464</v>
      </c>
      <c r="AB10" s="38">
        <v>10.8</v>
      </c>
      <c r="AC10" s="38">
        <v>79.5</v>
      </c>
      <c r="AD10" s="11">
        <f t="shared" si="6"/>
        <v>736.1111111111111</v>
      </c>
      <c r="AE10" s="38">
        <v>15.7</v>
      </c>
      <c r="AF10" s="38">
        <v>15.8</v>
      </c>
      <c r="AG10" s="11">
        <f>AF10/AE10*100</f>
        <v>100.63694267515923</v>
      </c>
      <c r="AH10" s="38">
        <v>0</v>
      </c>
      <c r="AI10" s="38">
        <v>0</v>
      </c>
      <c r="AJ10" s="80">
        <f t="shared" si="16"/>
        <v>26.5</v>
      </c>
      <c r="AK10" s="80">
        <f t="shared" si="17"/>
        <v>95.3</v>
      </c>
      <c r="AL10" s="11">
        <f t="shared" si="11"/>
        <v>359.62264150943395</v>
      </c>
      <c r="AM10" s="38">
        <v>101.2</v>
      </c>
      <c r="AN10" s="38">
        <v>0</v>
      </c>
      <c r="AO10" s="38">
        <v>99.7</v>
      </c>
      <c r="AP10" s="38">
        <v>311.9</v>
      </c>
      <c r="AQ10" s="38">
        <v>101.2</v>
      </c>
      <c r="AR10" s="38">
        <v>0</v>
      </c>
      <c r="AS10" s="65">
        <f t="shared" si="18"/>
        <v>726.3000000000001</v>
      </c>
      <c r="AT10" s="65">
        <f t="shared" si="19"/>
        <v>1011.0999999999999</v>
      </c>
      <c r="AU10" s="11">
        <f t="shared" si="8"/>
        <v>139.21244664739086</v>
      </c>
      <c r="AV10" s="65">
        <f t="shared" si="20"/>
        <v>-284.79999999999984</v>
      </c>
      <c r="AW10" s="18">
        <f t="shared" si="21"/>
        <v>-62.79999999999984</v>
      </c>
      <c r="AX10" s="19"/>
    </row>
    <row r="11" spans="1:50" ht="24.75" customHeight="1">
      <c r="A11" s="63">
        <v>4</v>
      </c>
      <c r="B11" s="64" t="s">
        <v>61</v>
      </c>
      <c r="C11" s="14">
        <v>584</v>
      </c>
      <c r="D11" s="38">
        <v>260.9</v>
      </c>
      <c r="E11" s="38">
        <v>0</v>
      </c>
      <c r="F11" s="11">
        <f>E11/D11*100</f>
        <v>0</v>
      </c>
      <c r="G11" s="38">
        <v>256.2</v>
      </c>
      <c r="H11" s="38">
        <v>186.9</v>
      </c>
      <c r="I11" s="11">
        <f>H11/G11*100</f>
        <v>72.95081967213115</v>
      </c>
      <c r="J11" s="38">
        <v>263.1</v>
      </c>
      <c r="K11" s="38">
        <v>637.6</v>
      </c>
      <c r="L11" s="11">
        <f t="shared" si="2"/>
        <v>242.3413150893196</v>
      </c>
      <c r="M11" s="80">
        <f t="shared" si="12"/>
        <v>780.1999999999999</v>
      </c>
      <c r="N11" s="80">
        <f t="shared" si="13"/>
        <v>824.5</v>
      </c>
      <c r="O11" s="11">
        <f t="shared" si="9"/>
        <v>105.6780312740323</v>
      </c>
      <c r="P11" s="38">
        <v>263.1</v>
      </c>
      <c r="Q11" s="38">
        <v>208.7</v>
      </c>
      <c r="R11" s="11">
        <f t="shared" si="3"/>
        <v>79.32345115925501</v>
      </c>
      <c r="S11" s="38">
        <v>2.8</v>
      </c>
      <c r="T11" s="38">
        <v>908.1</v>
      </c>
      <c r="U11" s="11">
        <f t="shared" si="4"/>
        <v>32432.142857142862</v>
      </c>
      <c r="V11" s="38">
        <v>9.9</v>
      </c>
      <c r="W11" s="38">
        <v>0</v>
      </c>
      <c r="X11" s="11">
        <f t="shared" si="5"/>
        <v>0</v>
      </c>
      <c r="Y11" s="80">
        <f t="shared" si="14"/>
        <v>275.8</v>
      </c>
      <c r="Z11" s="80">
        <f t="shared" si="15"/>
        <v>1116.8</v>
      </c>
      <c r="AA11" s="11">
        <f t="shared" si="10"/>
        <v>404.9311094996374</v>
      </c>
      <c r="AB11" s="38">
        <v>4.1</v>
      </c>
      <c r="AC11" s="38">
        <v>0</v>
      </c>
      <c r="AD11" s="11">
        <f t="shared" si="6"/>
        <v>0</v>
      </c>
      <c r="AE11" s="38">
        <v>29.6</v>
      </c>
      <c r="AF11" s="38">
        <v>0</v>
      </c>
      <c r="AG11" s="11">
        <f>AF11/AE11*100</f>
        <v>0</v>
      </c>
      <c r="AH11" s="38">
        <v>23.7</v>
      </c>
      <c r="AI11" s="38">
        <v>0</v>
      </c>
      <c r="AJ11" s="80">
        <f t="shared" si="16"/>
        <v>57.400000000000006</v>
      </c>
      <c r="AK11" s="80">
        <f t="shared" si="17"/>
        <v>0</v>
      </c>
      <c r="AL11" s="11">
        <f t="shared" si="11"/>
        <v>0</v>
      </c>
      <c r="AM11" s="38">
        <v>-10.4</v>
      </c>
      <c r="AN11" s="38">
        <v>0</v>
      </c>
      <c r="AO11" s="38">
        <v>217.8</v>
      </c>
      <c r="AP11" s="38">
        <v>0</v>
      </c>
      <c r="AQ11" s="38">
        <v>212.3</v>
      </c>
      <c r="AR11" s="38">
        <v>0</v>
      </c>
      <c r="AS11" s="65">
        <f t="shared" si="18"/>
        <v>1533.1</v>
      </c>
      <c r="AT11" s="65">
        <f t="shared" si="19"/>
        <v>1941.3</v>
      </c>
      <c r="AU11" s="11">
        <f t="shared" si="8"/>
        <v>126.62579088122105</v>
      </c>
      <c r="AV11" s="65">
        <f t="shared" si="20"/>
        <v>-408.20000000000005</v>
      </c>
      <c r="AW11" s="18">
        <f t="shared" si="21"/>
        <v>175.79999999999995</v>
      </c>
      <c r="AX11" s="19"/>
    </row>
    <row r="12" spans="1:50" ht="24.75" customHeight="1">
      <c r="A12" s="63">
        <v>5</v>
      </c>
      <c r="B12" s="64" t="s">
        <v>62</v>
      </c>
      <c r="C12" s="14">
        <v>705.9</v>
      </c>
      <c r="D12" s="38">
        <v>311.3</v>
      </c>
      <c r="E12" s="38">
        <v>0</v>
      </c>
      <c r="F12" s="11">
        <f>E12/D12*100</f>
        <v>0</v>
      </c>
      <c r="G12" s="38">
        <v>307.4</v>
      </c>
      <c r="H12" s="38">
        <v>982.6</v>
      </c>
      <c r="I12" s="11">
        <f>H12/G12*100</f>
        <v>319.6486662329213</v>
      </c>
      <c r="J12" s="38">
        <v>310.2</v>
      </c>
      <c r="K12" s="38">
        <v>-27.8</v>
      </c>
      <c r="L12" s="11">
        <f t="shared" si="2"/>
        <v>-8.961960025789814</v>
      </c>
      <c r="M12" s="80">
        <f t="shared" si="12"/>
        <v>928.9000000000001</v>
      </c>
      <c r="N12" s="80">
        <f t="shared" si="13"/>
        <v>954.8000000000001</v>
      </c>
      <c r="O12" s="11">
        <f t="shared" si="9"/>
        <v>102.78824415975885</v>
      </c>
      <c r="P12" s="38">
        <v>243.6</v>
      </c>
      <c r="Q12" s="38">
        <v>266.7</v>
      </c>
      <c r="R12" s="11">
        <f t="shared" si="3"/>
        <v>109.48275862068965</v>
      </c>
      <c r="S12" s="38">
        <v>-653.2</v>
      </c>
      <c r="T12" s="38">
        <v>413.4</v>
      </c>
      <c r="U12" s="11">
        <f t="shared" si="4"/>
        <v>-63.28842620943049</v>
      </c>
      <c r="V12" s="38">
        <v>36.6</v>
      </c>
      <c r="W12" s="38">
        <v>236.4</v>
      </c>
      <c r="X12" s="11">
        <f t="shared" si="5"/>
        <v>645.9016393442622</v>
      </c>
      <c r="Y12" s="80">
        <f t="shared" si="14"/>
        <v>-373</v>
      </c>
      <c r="Z12" s="80">
        <f t="shared" si="15"/>
        <v>916.4999999999999</v>
      </c>
      <c r="AA12" s="11">
        <f t="shared" si="10"/>
        <v>-245.71045576407502</v>
      </c>
      <c r="AB12" s="38">
        <v>40.4</v>
      </c>
      <c r="AC12" s="38">
        <v>0</v>
      </c>
      <c r="AD12" s="11">
        <f t="shared" si="6"/>
        <v>0</v>
      </c>
      <c r="AE12" s="38">
        <v>98.3</v>
      </c>
      <c r="AF12" s="38"/>
      <c r="AG12" s="129">
        <f aca="true" t="shared" si="22" ref="AG12:AG24">AF12/AE12*100</f>
        <v>0</v>
      </c>
      <c r="AH12" s="38">
        <v>53.9</v>
      </c>
      <c r="AI12" s="38">
        <v>0</v>
      </c>
      <c r="AJ12" s="80">
        <f t="shared" si="16"/>
        <v>192.6</v>
      </c>
      <c r="AK12" s="80">
        <f t="shared" si="17"/>
        <v>0</v>
      </c>
      <c r="AL12" s="11">
        <f t="shared" si="11"/>
        <v>0</v>
      </c>
      <c r="AM12" s="38">
        <v>-55.4</v>
      </c>
      <c r="AN12" s="38">
        <v>0</v>
      </c>
      <c r="AO12" s="38">
        <v>281.5</v>
      </c>
      <c r="AP12" s="38">
        <v>0</v>
      </c>
      <c r="AQ12" s="38">
        <v>230.4</v>
      </c>
      <c r="AR12" s="38">
        <v>0</v>
      </c>
      <c r="AS12" s="65">
        <f t="shared" si="18"/>
        <v>1205.0000000000002</v>
      </c>
      <c r="AT12" s="65">
        <f t="shared" si="19"/>
        <v>1871.3</v>
      </c>
      <c r="AU12" s="11">
        <f t="shared" si="8"/>
        <v>155.2946058091286</v>
      </c>
      <c r="AV12" s="65">
        <f t="shared" si="20"/>
        <v>-666.2999999999997</v>
      </c>
      <c r="AW12" s="18">
        <f t="shared" si="21"/>
        <v>39.600000000000136</v>
      </c>
      <c r="AX12" s="19"/>
    </row>
    <row r="13" spans="1:50" ht="24.75" customHeight="1">
      <c r="A13" s="63">
        <v>6</v>
      </c>
      <c r="B13" s="64" t="s">
        <v>63</v>
      </c>
      <c r="C13" s="14">
        <v>660.2</v>
      </c>
      <c r="D13" s="38">
        <v>325.1</v>
      </c>
      <c r="E13" s="38">
        <v>0</v>
      </c>
      <c r="F13" s="11">
        <f t="shared" si="0"/>
        <v>0</v>
      </c>
      <c r="G13" s="38">
        <v>320.4</v>
      </c>
      <c r="H13" s="38">
        <v>946.1</v>
      </c>
      <c r="I13" s="68">
        <f t="shared" si="1"/>
        <v>295.28714107365795</v>
      </c>
      <c r="J13" s="38">
        <v>318.8</v>
      </c>
      <c r="K13" s="38">
        <v>0</v>
      </c>
      <c r="L13" s="11">
        <f t="shared" si="2"/>
        <v>0</v>
      </c>
      <c r="M13" s="80">
        <f t="shared" si="12"/>
        <v>964.3</v>
      </c>
      <c r="N13" s="80">
        <f t="shared" si="13"/>
        <v>946.1</v>
      </c>
      <c r="O13" s="11">
        <f t="shared" si="9"/>
        <v>98.11262055376957</v>
      </c>
      <c r="P13" s="38">
        <v>247.9</v>
      </c>
      <c r="Q13" s="38">
        <v>111.7</v>
      </c>
      <c r="R13" s="128">
        <f t="shared" si="3"/>
        <v>45.05849132714804</v>
      </c>
      <c r="S13" s="38">
        <v>-959.6</v>
      </c>
      <c r="T13" s="38">
        <v>288.1</v>
      </c>
      <c r="U13" s="128">
        <f t="shared" si="4"/>
        <v>-30.02292621925803</v>
      </c>
      <c r="V13" s="38">
        <v>14.3</v>
      </c>
      <c r="W13" s="38">
        <v>0</v>
      </c>
      <c r="X13" s="128">
        <f t="shared" si="5"/>
        <v>0</v>
      </c>
      <c r="Y13" s="80">
        <f t="shared" si="14"/>
        <v>-697.4000000000001</v>
      </c>
      <c r="Z13" s="80">
        <f t="shared" si="15"/>
        <v>399.8</v>
      </c>
      <c r="AA13" s="11">
        <f t="shared" si="10"/>
        <v>-57.3272153713794</v>
      </c>
      <c r="AB13" s="38">
        <v>53.7</v>
      </c>
      <c r="AC13" s="38">
        <v>0</v>
      </c>
      <c r="AD13" s="128">
        <f t="shared" si="6"/>
        <v>0</v>
      </c>
      <c r="AE13" s="38">
        <v>41.3</v>
      </c>
      <c r="AF13" s="38">
        <v>0</v>
      </c>
      <c r="AG13" s="11">
        <f t="shared" si="22"/>
        <v>0</v>
      </c>
      <c r="AH13" s="38">
        <v>57.9</v>
      </c>
      <c r="AI13" s="38">
        <v>0</v>
      </c>
      <c r="AJ13" s="80">
        <f t="shared" si="16"/>
        <v>152.9</v>
      </c>
      <c r="AK13" s="80">
        <f t="shared" si="17"/>
        <v>0</v>
      </c>
      <c r="AL13" s="11">
        <f t="shared" si="11"/>
        <v>0</v>
      </c>
      <c r="AM13" s="38">
        <v>-33.4</v>
      </c>
      <c r="AN13" s="38">
        <v>0</v>
      </c>
      <c r="AO13" s="38">
        <v>308.9</v>
      </c>
      <c r="AP13" s="38">
        <v>0</v>
      </c>
      <c r="AQ13" s="38">
        <v>263.7</v>
      </c>
      <c r="AR13" s="38">
        <v>9.7</v>
      </c>
      <c r="AS13" s="65">
        <f t="shared" si="18"/>
        <v>958.9999999999998</v>
      </c>
      <c r="AT13" s="65">
        <f t="shared" si="19"/>
        <v>1355.6000000000001</v>
      </c>
      <c r="AU13" s="11">
        <f t="shared" si="8"/>
        <v>141.35557872784153</v>
      </c>
      <c r="AV13" s="65">
        <f t="shared" si="20"/>
        <v>-396.60000000000036</v>
      </c>
      <c r="AW13" s="18">
        <f t="shared" si="21"/>
        <v>263.5999999999997</v>
      </c>
      <c r="AX13" s="19"/>
    </row>
    <row r="14" spans="1:50" ht="24.75" customHeight="1">
      <c r="A14" s="63">
        <v>7</v>
      </c>
      <c r="B14" s="64" t="s">
        <v>64</v>
      </c>
      <c r="C14" s="14">
        <v>114.5</v>
      </c>
      <c r="D14" s="38">
        <v>119</v>
      </c>
      <c r="E14" s="38">
        <v>0</v>
      </c>
      <c r="F14" s="11">
        <f t="shared" si="0"/>
        <v>0</v>
      </c>
      <c r="G14" s="38">
        <v>114.9</v>
      </c>
      <c r="H14" s="38">
        <v>224.4</v>
      </c>
      <c r="I14" s="11">
        <f t="shared" si="1"/>
        <v>195.30026109660574</v>
      </c>
      <c r="J14" s="38">
        <v>114</v>
      </c>
      <c r="K14" s="38">
        <v>0</v>
      </c>
      <c r="L14" s="11">
        <f t="shared" si="2"/>
        <v>0</v>
      </c>
      <c r="M14" s="80">
        <f t="shared" si="12"/>
        <v>347.9</v>
      </c>
      <c r="N14" s="80">
        <f t="shared" si="13"/>
        <v>224.4</v>
      </c>
      <c r="O14" s="11">
        <f t="shared" si="9"/>
        <v>64.50129347513653</v>
      </c>
      <c r="P14" s="38">
        <v>91.6</v>
      </c>
      <c r="Q14" s="38">
        <v>92.1</v>
      </c>
      <c r="R14" s="11">
        <f t="shared" si="3"/>
        <v>100.54585152838429</v>
      </c>
      <c r="S14" s="38">
        <v>3.6</v>
      </c>
      <c r="T14" s="38">
        <v>141.3</v>
      </c>
      <c r="U14" s="11">
        <f t="shared" si="4"/>
        <v>3925</v>
      </c>
      <c r="V14" s="38">
        <v>-85.7</v>
      </c>
      <c r="W14" s="38">
        <v>63.3</v>
      </c>
      <c r="X14" s="11">
        <f t="shared" si="5"/>
        <v>-73.86231038506416</v>
      </c>
      <c r="Y14" s="80">
        <f t="shared" si="14"/>
        <v>9.499999999999986</v>
      </c>
      <c r="Z14" s="80">
        <f t="shared" si="15"/>
        <v>296.7</v>
      </c>
      <c r="AA14" s="11">
        <f t="shared" si="10"/>
        <v>3123.1578947368466</v>
      </c>
      <c r="AB14" s="38">
        <v>12.6</v>
      </c>
      <c r="AC14" s="38">
        <v>0</v>
      </c>
      <c r="AD14" s="11">
        <f t="shared" si="6"/>
        <v>0</v>
      </c>
      <c r="AE14" s="38">
        <v>15.4</v>
      </c>
      <c r="AF14" s="38">
        <v>0</v>
      </c>
      <c r="AG14" s="11">
        <f t="shared" si="22"/>
        <v>0</v>
      </c>
      <c r="AH14" s="38">
        <v>15.7</v>
      </c>
      <c r="AI14" s="38">
        <v>0</v>
      </c>
      <c r="AJ14" s="80">
        <f t="shared" si="16"/>
        <v>43.7</v>
      </c>
      <c r="AK14" s="80">
        <f t="shared" si="17"/>
        <v>0</v>
      </c>
      <c r="AL14" s="11">
        <f t="shared" si="11"/>
        <v>0</v>
      </c>
      <c r="AM14" s="38">
        <v>4</v>
      </c>
      <c r="AN14" s="38">
        <v>0</v>
      </c>
      <c r="AO14" s="38">
        <v>110</v>
      </c>
      <c r="AP14" s="38">
        <v>0</v>
      </c>
      <c r="AQ14" s="38">
        <v>87.4</v>
      </c>
      <c r="AR14" s="38">
        <v>108.5</v>
      </c>
      <c r="AS14" s="65">
        <f t="shared" si="18"/>
        <v>602.4999999999999</v>
      </c>
      <c r="AT14" s="65">
        <f t="shared" si="19"/>
        <v>629.6</v>
      </c>
      <c r="AU14" s="11">
        <f t="shared" si="8"/>
        <v>104.49792531120335</v>
      </c>
      <c r="AV14" s="65">
        <f t="shared" si="20"/>
        <v>-27.100000000000136</v>
      </c>
      <c r="AW14" s="18">
        <f t="shared" si="21"/>
        <v>87.39999999999986</v>
      </c>
      <c r="AX14" s="19"/>
    </row>
    <row r="15" spans="1:50" ht="24.75" customHeight="1">
      <c r="A15" s="63">
        <v>8</v>
      </c>
      <c r="B15" s="64" t="s">
        <v>65</v>
      </c>
      <c r="C15" s="14">
        <v>1765</v>
      </c>
      <c r="D15" s="38">
        <v>596</v>
      </c>
      <c r="E15" s="38">
        <v>0</v>
      </c>
      <c r="F15" s="11">
        <f t="shared" si="0"/>
        <v>0</v>
      </c>
      <c r="G15" s="38">
        <v>580</v>
      </c>
      <c r="H15" s="38">
        <v>1700</v>
      </c>
      <c r="I15" s="68">
        <f t="shared" si="1"/>
        <v>293.10344827586204</v>
      </c>
      <c r="J15" s="38">
        <v>591</v>
      </c>
      <c r="K15" s="38">
        <v>559</v>
      </c>
      <c r="L15" s="11">
        <f t="shared" si="2"/>
        <v>94.585448392555</v>
      </c>
      <c r="M15" s="80">
        <f t="shared" si="12"/>
        <v>1767</v>
      </c>
      <c r="N15" s="80">
        <f t="shared" si="13"/>
        <v>2259</v>
      </c>
      <c r="O15" s="11">
        <f t="shared" si="9"/>
        <v>127.84380305602716</v>
      </c>
      <c r="P15" s="38">
        <v>470.7</v>
      </c>
      <c r="Q15" s="38">
        <v>482.6</v>
      </c>
      <c r="R15" s="128">
        <f t="shared" si="3"/>
        <v>102.52814956447844</v>
      </c>
      <c r="S15" s="38">
        <v>-890.3</v>
      </c>
      <c r="T15" s="38">
        <v>791.4</v>
      </c>
      <c r="U15" s="128">
        <f t="shared" si="4"/>
        <v>-88.8913849264293</v>
      </c>
      <c r="V15" s="38">
        <v>21.2</v>
      </c>
      <c r="W15" s="38">
        <v>0</v>
      </c>
      <c r="X15" s="128">
        <f t="shared" si="5"/>
        <v>0</v>
      </c>
      <c r="Y15" s="80">
        <f t="shared" si="14"/>
        <v>-398.4</v>
      </c>
      <c r="Z15" s="80">
        <f t="shared" si="15"/>
        <v>1274</v>
      </c>
      <c r="AA15" s="11">
        <f t="shared" si="10"/>
        <v>-319.77911646586347</v>
      </c>
      <c r="AB15" s="38">
        <v>82.5</v>
      </c>
      <c r="AC15" s="38">
        <v>103.7</v>
      </c>
      <c r="AD15" s="128">
        <f t="shared" si="6"/>
        <v>125.6969696969697</v>
      </c>
      <c r="AE15" s="38">
        <v>87.5</v>
      </c>
      <c r="AF15" s="38">
        <v>39.8</v>
      </c>
      <c r="AG15" s="11">
        <f t="shared" si="22"/>
        <v>45.48571428571429</v>
      </c>
      <c r="AH15" s="38">
        <v>69.1</v>
      </c>
      <c r="AI15" s="38">
        <v>50.7</v>
      </c>
      <c r="AJ15" s="80">
        <f t="shared" si="16"/>
        <v>239.1</v>
      </c>
      <c r="AK15" s="80">
        <f t="shared" si="17"/>
        <v>194.2</v>
      </c>
      <c r="AL15" s="11">
        <f t="shared" si="11"/>
        <v>81.22124634044333</v>
      </c>
      <c r="AM15" s="38">
        <v>133.8</v>
      </c>
      <c r="AN15" s="38">
        <v>84.2</v>
      </c>
      <c r="AO15" s="38">
        <v>373.4</v>
      </c>
      <c r="AP15" s="38">
        <v>87.9</v>
      </c>
      <c r="AQ15" s="38">
        <v>425.2</v>
      </c>
      <c r="AR15" s="38">
        <v>161</v>
      </c>
      <c r="AS15" s="65">
        <f t="shared" si="18"/>
        <v>2540.0999999999995</v>
      </c>
      <c r="AT15" s="65">
        <f t="shared" si="19"/>
        <v>4060.2999999999997</v>
      </c>
      <c r="AU15" s="11">
        <f t="shared" si="8"/>
        <v>159.84803747883944</v>
      </c>
      <c r="AV15" s="65">
        <f t="shared" si="20"/>
        <v>-1520.2000000000003</v>
      </c>
      <c r="AW15" s="18">
        <f t="shared" si="21"/>
        <v>244.79999999999973</v>
      </c>
      <c r="AX15" s="19"/>
    </row>
    <row r="16" spans="1:50" ht="24.75" customHeight="1">
      <c r="A16" s="63">
        <v>9</v>
      </c>
      <c r="B16" s="64" t="s">
        <v>66</v>
      </c>
      <c r="C16" s="14">
        <v>33.7</v>
      </c>
      <c r="D16" s="38">
        <v>19.6</v>
      </c>
      <c r="E16" s="38">
        <v>0</v>
      </c>
      <c r="F16" s="11">
        <f t="shared" si="0"/>
        <v>0</v>
      </c>
      <c r="G16" s="38">
        <v>19.3</v>
      </c>
      <c r="H16" s="38">
        <v>82</v>
      </c>
      <c r="I16" s="11">
        <f t="shared" si="1"/>
        <v>424.8704663212435</v>
      </c>
      <c r="J16" s="38">
        <v>19.4</v>
      </c>
      <c r="K16" s="38">
        <v>0</v>
      </c>
      <c r="L16" s="11">
        <f t="shared" si="2"/>
        <v>0</v>
      </c>
      <c r="M16" s="80">
        <f t="shared" si="12"/>
        <v>58.300000000000004</v>
      </c>
      <c r="N16" s="80">
        <f t="shared" si="13"/>
        <v>82</v>
      </c>
      <c r="O16" s="11">
        <f t="shared" si="9"/>
        <v>140.65180102915951</v>
      </c>
      <c r="P16" s="38">
        <v>15.2</v>
      </c>
      <c r="Q16" s="38">
        <v>4.5</v>
      </c>
      <c r="R16" s="11">
        <f t="shared" si="3"/>
        <v>29.60526315789474</v>
      </c>
      <c r="S16" s="38">
        <v>-36.4</v>
      </c>
      <c r="T16" s="38">
        <v>6.7</v>
      </c>
      <c r="U16" s="11">
        <f t="shared" si="4"/>
        <v>-18.40659340659341</v>
      </c>
      <c r="V16" s="38">
        <v>0.4</v>
      </c>
      <c r="W16" s="38">
        <v>52.9</v>
      </c>
      <c r="X16" s="11">
        <f t="shared" si="5"/>
        <v>13225</v>
      </c>
      <c r="Y16" s="80">
        <f t="shared" si="14"/>
        <v>-20.8</v>
      </c>
      <c r="Z16" s="80">
        <f t="shared" si="15"/>
        <v>64.1</v>
      </c>
      <c r="AA16" s="11">
        <f t="shared" si="10"/>
        <v>-308.17307692307685</v>
      </c>
      <c r="AB16" s="38">
        <v>0.5</v>
      </c>
      <c r="AC16" s="38">
        <v>0</v>
      </c>
      <c r="AD16" s="11">
        <f t="shared" si="6"/>
        <v>0</v>
      </c>
      <c r="AE16" s="38">
        <v>1.2</v>
      </c>
      <c r="AF16" s="38"/>
      <c r="AG16" s="11">
        <f t="shared" si="22"/>
        <v>0</v>
      </c>
      <c r="AH16" s="38">
        <v>1.8</v>
      </c>
      <c r="AI16" s="38">
        <v>0</v>
      </c>
      <c r="AJ16" s="80">
        <f t="shared" si="16"/>
        <v>3.5</v>
      </c>
      <c r="AK16" s="80">
        <f t="shared" si="17"/>
        <v>0</v>
      </c>
      <c r="AL16" s="11">
        <f t="shared" si="11"/>
        <v>0</v>
      </c>
      <c r="AM16" s="38">
        <v>0.6</v>
      </c>
      <c r="AN16" s="38">
        <v>0</v>
      </c>
      <c r="AO16" s="38">
        <v>8.6</v>
      </c>
      <c r="AP16" s="38">
        <v>0</v>
      </c>
      <c r="AQ16" s="38">
        <v>14.2</v>
      </c>
      <c r="AR16" s="38">
        <v>0</v>
      </c>
      <c r="AS16" s="65">
        <f t="shared" si="18"/>
        <v>64.4</v>
      </c>
      <c r="AT16" s="65">
        <f t="shared" si="19"/>
        <v>146.1</v>
      </c>
      <c r="AU16" s="11">
        <f t="shared" si="8"/>
        <v>226.86335403726704</v>
      </c>
      <c r="AV16" s="65">
        <f t="shared" si="20"/>
        <v>-81.69999999999999</v>
      </c>
      <c r="AW16" s="18">
        <f t="shared" si="21"/>
        <v>-47.999999999999986</v>
      </c>
      <c r="AX16" s="19"/>
    </row>
    <row r="17" spans="1:50" ht="24.75" customHeight="1">
      <c r="A17" s="63">
        <v>10</v>
      </c>
      <c r="B17" s="67" t="s">
        <v>2</v>
      </c>
      <c r="C17" s="14">
        <f>107.9+476.5</f>
        <v>584.4</v>
      </c>
      <c r="D17" s="38">
        <v>51.5</v>
      </c>
      <c r="E17" s="38">
        <v>0</v>
      </c>
      <c r="F17" s="11">
        <f t="shared" si="0"/>
        <v>0</v>
      </c>
      <c r="G17" s="38">
        <f>50.1+433.2</f>
        <v>483.3</v>
      </c>
      <c r="H17" s="38">
        <f>107.9+496.2</f>
        <v>604.1</v>
      </c>
      <c r="I17" s="11">
        <f t="shared" si="1"/>
        <v>124.99482722946411</v>
      </c>
      <c r="J17" s="38">
        <f>50.1+222.7</f>
        <v>272.8</v>
      </c>
      <c r="K17" s="38">
        <f>0</f>
        <v>0</v>
      </c>
      <c r="L17" s="11">
        <f t="shared" si="2"/>
        <v>0</v>
      </c>
      <c r="M17" s="80">
        <f t="shared" si="12"/>
        <v>807.5999999999999</v>
      </c>
      <c r="N17" s="80">
        <f t="shared" si="13"/>
        <v>604.1</v>
      </c>
      <c r="O17" s="11">
        <f t="shared" si="9"/>
        <v>74.80188211986133</v>
      </c>
      <c r="P17" s="38">
        <f>31+153</f>
        <v>184</v>
      </c>
      <c r="Q17" s="38">
        <f>0+214.9</f>
        <v>214.9</v>
      </c>
      <c r="R17" s="11">
        <f t="shared" si="3"/>
        <v>116.79347826086956</v>
      </c>
      <c r="S17" s="38">
        <f>-25.3-5.4</f>
        <v>-30.700000000000003</v>
      </c>
      <c r="T17" s="38">
        <f>151.7+421.2</f>
        <v>572.9</v>
      </c>
      <c r="U17" s="11">
        <f t="shared" si="4"/>
        <v>-1866.1237785016283</v>
      </c>
      <c r="V17" s="38">
        <v>-125</v>
      </c>
      <c r="W17" s="38">
        <f>31.1+153.1</f>
        <v>184.2</v>
      </c>
      <c r="X17" s="11">
        <f t="shared" si="5"/>
        <v>-147.35999999999999</v>
      </c>
      <c r="Y17" s="80">
        <f t="shared" si="14"/>
        <v>28.30000000000001</v>
      </c>
      <c r="Z17" s="80">
        <f t="shared" si="15"/>
        <v>972</v>
      </c>
      <c r="AA17" s="11">
        <f t="shared" si="10"/>
        <v>3434.6289752650164</v>
      </c>
      <c r="AB17" s="38">
        <f>166.4+5.3</f>
        <v>171.70000000000002</v>
      </c>
      <c r="AC17" s="38">
        <f>290.7+3.2</f>
        <v>293.9</v>
      </c>
      <c r="AD17" s="11">
        <f t="shared" si="6"/>
        <v>171.17064647641232</v>
      </c>
      <c r="AE17" s="38">
        <f>0.9+5.6</f>
        <v>6.5</v>
      </c>
      <c r="AF17" s="38">
        <f>-13.3</f>
        <v>-13.3</v>
      </c>
      <c r="AG17" s="11">
        <f t="shared" si="22"/>
        <v>-204.61538461538464</v>
      </c>
      <c r="AH17" s="38">
        <f>16.5+2.5</f>
        <v>19</v>
      </c>
      <c r="AI17" s="38">
        <f>7.6+0</f>
        <v>7.6</v>
      </c>
      <c r="AJ17" s="80">
        <f t="shared" si="16"/>
        <v>197.20000000000002</v>
      </c>
      <c r="AK17" s="80">
        <f t="shared" si="17"/>
        <v>288.2</v>
      </c>
      <c r="AL17" s="11">
        <f t="shared" si="11"/>
        <v>146.14604462474642</v>
      </c>
      <c r="AM17" s="38">
        <f>-29.1+0.6</f>
        <v>-28.5</v>
      </c>
      <c r="AN17" s="38">
        <v>5.2</v>
      </c>
      <c r="AO17" s="38">
        <f>144.8+26.3</f>
        <v>171.10000000000002</v>
      </c>
      <c r="AP17" s="38">
        <v>0</v>
      </c>
      <c r="AQ17" s="38">
        <f>18.1+102.8</f>
        <v>120.9</v>
      </c>
      <c r="AR17" s="38">
        <f>26</f>
        <v>26</v>
      </c>
      <c r="AS17" s="65">
        <f t="shared" si="18"/>
        <v>1296.6</v>
      </c>
      <c r="AT17" s="65">
        <f t="shared" si="19"/>
        <v>1895.5</v>
      </c>
      <c r="AU17" s="11">
        <f t="shared" si="8"/>
        <v>146.19003547740246</v>
      </c>
      <c r="AV17" s="65">
        <f t="shared" si="20"/>
        <v>-598.9000000000001</v>
      </c>
      <c r="AW17" s="18">
        <f t="shared" si="21"/>
        <v>-14.5</v>
      </c>
      <c r="AX17" s="19"/>
    </row>
    <row r="18" spans="1:50" ht="24.75" customHeight="1">
      <c r="A18" s="63">
        <v>11</v>
      </c>
      <c r="B18" s="69" t="s">
        <v>67</v>
      </c>
      <c r="C18" s="14">
        <v>313.5</v>
      </c>
      <c r="D18" s="38">
        <v>153.9</v>
      </c>
      <c r="E18" s="38">
        <v>0</v>
      </c>
      <c r="F18" s="11">
        <f t="shared" si="0"/>
        <v>0</v>
      </c>
      <c r="G18" s="38">
        <v>150.4</v>
      </c>
      <c r="H18" s="38">
        <v>467.4</v>
      </c>
      <c r="I18" s="11">
        <f t="shared" si="1"/>
        <v>310.77127659574467</v>
      </c>
      <c r="J18" s="38">
        <v>152.6</v>
      </c>
      <c r="K18" s="38">
        <v>25.8</v>
      </c>
      <c r="L18" s="11">
        <f t="shared" si="2"/>
        <v>16.90694626474443</v>
      </c>
      <c r="M18" s="80">
        <f t="shared" si="12"/>
        <v>456.9</v>
      </c>
      <c r="N18" s="80">
        <f t="shared" si="13"/>
        <v>493.2</v>
      </c>
      <c r="O18" s="11">
        <f t="shared" si="9"/>
        <v>107.94484569927774</v>
      </c>
      <c r="P18" s="38">
        <v>162</v>
      </c>
      <c r="Q18" s="38">
        <v>0</v>
      </c>
      <c r="R18" s="11">
        <f t="shared" si="3"/>
        <v>0</v>
      </c>
      <c r="S18" s="38">
        <v>-242</v>
      </c>
      <c r="T18" s="38">
        <v>0</v>
      </c>
      <c r="U18" s="11">
        <f t="shared" si="4"/>
        <v>0</v>
      </c>
      <c r="V18" s="38">
        <v>44.1</v>
      </c>
      <c r="W18" s="38">
        <v>140.6</v>
      </c>
      <c r="X18" s="11">
        <f t="shared" si="5"/>
        <v>318.8208616780045</v>
      </c>
      <c r="Y18" s="80">
        <f t="shared" si="14"/>
        <v>-35.9</v>
      </c>
      <c r="Z18" s="80">
        <f t="shared" si="15"/>
        <v>140.6</v>
      </c>
      <c r="AA18" s="11">
        <f t="shared" si="10"/>
        <v>-391.6434540389972</v>
      </c>
      <c r="AB18" s="38">
        <v>28.1</v>
      </c>
      <c r="AC18" s="38">
        <v>100.7</v>
      </c>
      <c r="AD18" s="11">
        <f t="shared" si="6"/>
        <v>358.3629893238434</v>
      </c>
      <c r="AE18" s="38">
        <v>44.9</v>
      </c>
      <c r="AF18" s="38">
        <v>19.2</v>
      </c>
      <c r="AG18" s="11">
        <f t="shared" si="22"/>
        <v>42.761692650334076</v>
      </c>
      <c r="AH18" s="38">
        <v>34.6</v>
      </c>
      <c r="AI18" s="38">
        <v>53.8</v>
      </c>
      <c r="AJ18" s="80">
        <f t="shared" si="16"/>
        <v>107.6</v>
      </c>
      <c r="AK18" s="80">
        <f t="shared" si="17"/>
        <v>173.7</v>
      </c>
      <c r="AL18" s="11">
        <f t="shared" si="11"/>
        <v>161.43122676579927</v>
      </c>
      <c r="AM18" s="38">
        <v>-21.8</v>
      </c>
      <c r="AN18" s="38">
        <v>0</v>
      </c>
      <c r="AO18" s="38">
        <v>226.5</v>
      </c>
      <c r="AP18" s="38">
        <v>12.8</v>
      </c>
      <c r="AQ18" s="38">
        <v>164.5</v>
      </c>
      <c r="AR18" s="38">
        <v>226.5</v>
      </c>
      <c r="AS18" s="65">
        <f t="shared" si="18"/>
        <v>897.8</v>
      </c>
      <c r="AT18" s="65">
        <f t="shared" si="19"/>
        <v>1046.8</v>
      </c>
      <c r="AU18" s="11">
        <f t="shared" si="8"/>
        <v>116.59612385832034</v>
      </c>
      <c r="AV18" s="65">
        <f t="shared" si="20"/>
        <v>-149</v>
      </c>
      <c r="AW18" s="18">
        <f t="shared" si="21"/>
        <v>164.5</v>
      </c>
      <c r="AX18" s="19"/>
    </row>
    <row r="19" spans="1:50" ht="24.75" customHeight="1">
      <c r="A19" s="63">
        <v>12</v>
      </c>
      <c r="B19" s="64" t="s">
        <v>68</v>
      </c>
      <c r="C19" s="14">
        <v>1518.6</v>
      </c>
      <c r="D19" s="38">
        <v>551.7</v>
      </c>
      <c r="E19" s="38">
        <v>0</v>
      </c>
      <c r="F19" s="11">
        <f t="shared" si="0"/>
        <v>0</v>
      </c>
      <c r="G19" s="38">
        <v>498.5</v>
      </c>
      <c r="H19" s="38">
        <v>1901.4</v>
      </c>
      <c r="I19" s="68">
        <f t="shared" si="1"/>
        <v>381.4242728184554</v>
      </c>
      <c r="J19" s="38">
        <v>504.6</v>
      </c>
      <c r="K19" s="38">
        <v>0</v>
      </c>
      <c r="L19" s="11">
        <f t="shared" si="2"/>
        <v>0</v>
      </c>
      <c r="M19" s="80">
        <f t="shared" si="12"/>
        <v>1554.8000000000002</v>
      </c>
      <c r="N19" s="80">
        <f t="shared" si="13"/>
        <v>1901.4</v>
      </c>
      <c r="O19" s="11">
        <f t="shared" si="9"/>
        <v>122.29225623874453</v>
      </c>
      <c r="P19" s="38">
        <v>404.3</v>
      </c>
      <c r="Q19" s="38">
        <v>451</v>
      </c>
      <c r="R19" s="128">
        <f t="shared" si="3"/>
        <v>111.55082859262923</v>
      </c>
      <c r="S19" s="38">
        <v>-1451.1</v>
      </c>
      <c r="T19" s="38">
        <v>660.9</v>
      </c>
      <c r="U19" s="128">
        <f t="shared" si="4"/>
        <v>-45.54475914823238</v>
      </c>
      <c r="V19" s="38">
        <v>1.4</v>
      </c>
      <c r="W19" s="38">
        <v>148.9</v>
      </c>
      <c r="X19" s="128">
        <f t="shared" si="5"/>
        <v>10635.714285714286</v>
      </c>
      <c r="Y19" s="80">
        <f t="shared" si="14"/>
        <v>-1045.3999999999999</v>
      </c>
      <c r="Z19" s="80">
        <f t="shared" si="15"/>
        <v>1260.8000000000002</v>
      </c>
      <c r="AA19" s="11">
        <f t="shared" si="10"/>
        <v>-120.60455328104078</v>
      </c>
      <c r="AB19" s="38">
        <v>14.4</v>
      </c>
      <c r="AC19" s="38">
        <v>0</v>
      </c>
      <c r="AD19" s="128">
        <f t="shared" si="6"/>
        <v>0</v>
      </c>
      <c r="AE19" s="38">
        <v>33.9</v>
      </c>
      <c r="AF19" s="38">
        <v>0</v>
      </c>
      <c r="AG19" s="129">
        <f t="shared" si="22"/>
        <v>0</v>
      </c>
      <c r="AH19" s="38">
        <v>37.5</v>
      </c>
      <c r="AI19" s="38">
        <v>0</v>
      </c>
      <c r="AJ19" s="80">
        <f t="shared" si="16"/>
        <v>85.8</v>
      </c>
      <c r="AK19" s="80">
        <f t="shared" si="17"/>
        <v>0</v>
      </c>
      <c r="AL19" s="11">
        <f t="shared" si="11"/>
        <v>0</v>
      </c>
      <c r="AM19" s="38">
        <v>50.6</v>
      </c>
      <c r="AN19" s="38">
        <v>0</v>
      </c>
      <c r="AO19" s="38">
        <v>251.3</v>
      </c>
      <c r="AP19" s="38">
        <v>0</v>
      </c>
      <c r="AQ19" s="38">
        <v>319.5</v>
      </c>
      <c r="AR19" s="38">
        <v>0</v>
      </c>
      <c r="AS19" s="65">
        <f t="shared" si="18"/>
        <v>1216.6000000000004</v>
      </c>
      <c r="AT19" s="65">
        <f t="shared" si="19"/>
        <v>3162.2000000000003</v>
      </c>
      <c r="AU19" s="11">
        <f t="shared" si="8"/>
        <v>259.9210915666611</v>
      </c>
      <c r="AV19" s="65">
        <f t="shared" si="20"/>
        <v>-1945.6</v>
      </c>
      <c r="AW19" s="18">
        <f t="shared" si="21"/>
        <v>-427</v>
      </c>
      <c r="AX19" s="19"/>
    </row>
    <row r="20" spans="1:50" ht="24.75" customHeight="1">
      <c r="A20" s="63">
        <v>13</v>
      </c>
      <c r="B20" s="69" t="s">
        <v>69</v>
      </c>
      <c r="C20" s="14">
        <v>369.8</v>
      </c>
      <c r="D20" s="38">
        <v>127.2</v>
      </c>
      <c r="E20" s="38">
        <v>0</v>
      </c>
      <c r="F20" s="11">
        <f t="shared" si="0"/>
        <v>0</v>
      </c>
      <c r="G20" s="38">
        <v>128.2</v>
      </c>
      <c r="H20" s="38">
        <v>92.9</v>
      </c>
      <c r="I20" s="68">
        <f t="shared" si="1"/>
        <v>72.46489859594385</v>
      </c>
      <c r="J20" s="38">
        <v>125.9</v>
      </c>
      <c r="K20" s="38">
        <v>384.3</v>
      </c>
      <c r="L20" s="11">
        <f t="shared" si="2"/>
        <v>305.24225575853853</v>
      </c>
      <c r="M20" s="80">
        <f t="shared" si="12"/>
        <v>381.29999999999995</v>
      </c>
      <c r="N20" s="80">
        <f t="shared" si="13"/>
        <v>477.20000000000005</v>
      </c>
      <c r="O20" s="11">
        <f t="shared" si="9"/>
        <v>125.15079989509574</v>
      </c>
      <c r="P20" s="38">
        <v>97.5</v>
      </c>
      <c r="Q20" s="38">
        <v>102.9</v>
      </c>
      <c r="R20" s="128">
        <f t="shared" si="3"/>
        <v>105.53846153846153</v>
      </c>
      <c r="S20" s="38">
        <v>0.5</v>
      </c>
      <c r="T20" s="38">
        <v>166.4</v>
      </c>
      <c r="U20" s="128">
        <f t="shared" si="4"/>
        <v>33280</v>
      </c>
      <c r="V20" s="38">
        <v>7.6</v>
      </c>
      <c r="W20" s="38">
        <v>-13</v>
      </c>
      <c r="X20" s="128">
        <f t="shared" si="5"/>
        <v>-171.05263157894737</v>
      </c>
      <c r="Y20" s="80">
        <f t="shared" si="14"/>
        <v>105.6</v>
      </c>
      <c r="Z20" s="80">
        <f t="shared" si="15"/>
        <v>256.3</v>
      </c>
      <c r="AA20" s="11">
        <f t="shared" si="10"/>
        <v>242.70833333333334</v>
      </c>
      <c r="AB20" s="38">
        <v>-135.2</v>
      </c>
      <c r="AC20" s="38">
        <v>-11.8</v>
      </c>
      <c r="AD20" s="128">
        <f t="shared" si="6"/>
        <v>8.727810650887575</v>
      </c>
      <c r="AE20" s="38">
        <v>7.3</v>
      </c>
      <c r="AF20" s="38">
        <v>7.3</v>
      </c>
      <c r="AG20" s="11">
        <f t="shared" si="22"/>
        <v>100</v>
      </c>
      <c r="AH20" s="38">
        <v>10.5</v>
      </c>
      <c r="AI20" s="38">
        <v>0</v>
      </c>
      <c r="AJ20" s="80">
        <f t="shared" si="16"/>
        <v>-117.39999999999999</v>
      </c>
      <c r="AK20" s="80">
        <f t="shared" si="17"/>
        <v>-4.500000000000001</v>
      </c>
      <c r="AL20" s="11">
        <f t="shared" si="11"/>
        <v>3.8330494037478715</v>
      </c>
      <c r="AM20" s="38">
        <v>-3.9</v>
      </c>
      <c r="AN20" s="38">
        <v>12.9</v>
      </c>
      <c r="AO20" s="38">
        <v>110.9</v>
      </c>
      <c r="AP20" s="38">
        <v>77.7</v>
      </c>
      <c r="AQ20" s="38">
        <v>99.4</v>
      </c>
      <c r="AR20" s="38">
        <v>30.6</v>
      </c>
      <c r="AS20" s="65">
        <f t="shared" si="18"/>
        <v>575.9</v>
      </c>
      <c r="AT20" s="65">
        <f t="shared" si="19"/>
        <v>850.2</v>
      </c>
      <c r="AU20" s="11">
        <f t="shared" si="8"/>
        <v>147.62979683972915</v>
      </c>
      <c r="AV20" s="65">
        <f t="shared" si="20"/>
        <v>-274.30000000000007</v>
      </c>
      <c r="AW20" s="18">
        <f t="shared" si="21"/>
        <v>95.5</v>
      </c>
      <c r="AX20" s="19"/>
    </row>
    <row r="21" spans="1:50" ht="24.75" customHeight="1">
      <c r="A21" s="63">
        <v>14</v>
      </c>
      <c r="B21" s="69" t="s">
        <v>70</v>
      </c>
      <c r="C21" s="14">
        <v>28</v>
      </c>
      <c r="D21" s="38">
        <v>30.3</v>
      </c>
      <c r="E21" s="38">
        <v>0</v>
      </c>
      <c r="F21" s="60">
        <f t="shared" si="0"/>
        <v>0</v>
      </c>
      <c r="G21" s="38">
        <v>27.4</v>
      </c>
      <c r="H21" s="38">
        <v>48.3</v>
      </c>
      <c r="I21" s="68">
        <f t="shared" si="1"/>
        <v>176.27737226277372</v>
      </c>
      <c r="J21" s="38">
        <v>19.1</v>
      </c>
      <c r="K21" s="38">
        <v>15.8</v>
      </c>
      <c r="L21" s="11">
        <f t="shared" si="2"/>
        <v>82.72251308900523</v>
      </c>
      <c r="M21" s="80">
        <f t="shared" si="12"/>
        <v>76.80000000000001</v>
      </c>
      <c r="N21" s="80">
        <f t="shared" si="13"/>
        <v>64.1</v>
      </c>
      <c r="O21" s="11">
        <f t="shared" si="9"/>
        <v>83.46354166666666</v>
      </c>
      <c r="P21" s="38">
        <v>16.7</v>
      </c>
      <c r="Q21" s="38">
        <v>7.7</v>
      </c>
      <c r="R21" s="128">
        <f t="shared" si="3"/>
        <v>46.10778443113773</v>
      </c>
      <c r="S21" s="38">
        <v>0.4</v>
      </c>
      <c r="T21" s="38">
        <v>13.9</v>
      </c>
      <c r="U21" s="128">
        <f t="shared" si="4"/>
        <v>3475</v>
      </c>
      <c r="V21" s="38">
        <v>0.5</v>
      </c>
      <c r="W21" s="38">
        <v>17.5</v>
      </c>
      <c r="X21" s="128">
        <f t="shared" si="5"/>
        <v>3500</v>
      </c>
      <c r="Y21" s="80">
        <f t="shared" si="14"/>
        <v>17.599999999999998</v>
      </c>
      <c r="Z21" s="80">
        <f t="shared" si="15"/>
        <v>39.1</v>
      </c>
      <c r="AA21" s="11">
        <f t="shared" si="10"/>
        <v>222.15909090909096</v>
      </c>
      <c r="AB21" s="38">
        <v>4.2</v>
      </c>
      <c r="AC21" s="38">
        <v>0</v>
      </c>
      <c r="AD21" s="128">
        <f t="shared" si="6"/>
        <v>0</v>
      </c>
      <c r="AE21" s="38">
        <v>4.7</v>
      </c>
      <c r="AF21" s="38">
        <v>3.8</v>
      </c>
      <c r="AG21" s="11">
        <f t="shared" si="22"/>
        <v>80.85106382978722</v>
      </c>
      <c r="AH21" s="38">
        <v>8.3</v>
      </c>
      <c r="AI21" s="38">
        <v>0</v>
      </c>
      <c r="AJ21" s="80">
        <f t="shared" si="16"/>
        <v>17.200000000000003</v>
      </c>
      <c r="AK21" s="80">
        <f t="shared" si="17"/>
        <v>3.8</v>
      </c>
      <c r="AL21" s="11">
        <f t="shared" si="11"/>
        <v>22.093023255813947</v>
      </c>
      <c r="AM21" s="38">
        <v>10.2</v>
      </c>
      <c r="AN21" s="38">
        <v>1.2</v>
      </c>
      <c r="AO21" s="38">
        <v>26.1</v>
      </c>
      <c r="AP21" s="38">
        <v>8.3</v>
      </c>
      <c r="AQ21" s="38">
        <v>31.1</v>
      </c>
      <c r="AR21" s="38">
        <v>31.9</v>
      </c>
      <c r="AS21" s="65">
        <f t="shared" si="18"/>
        <v>179</v>
      </c>
      <c r="AT21" s="65">
        <f t="shared" si="19"/>
        <v>148.39999999999998</v>
      </c>
      <c r="AU21" s="11">
        <f t="shared" si="8"/>
        <v>82.90502793296088</v>
      </c>
      <c r="AV21" s="65">
        <f t="shared" si="20"/>
        <v>30.600000000000023</v>
      </c>
      <c r="AW21" s="18">
        <f t="shared" si="21"/>
        <v>58.60000000000002</v>
      </c>
      <c r="AX21" s="19"/>
    </row>
    <row r="22" spans="1:50" ht="24.75" customHeight="1">
      <c r="A22" s="63">
        <v>15</v>
      </c>
      <c r="B22" s="69" t="s">
        <v>48</v>
      </c>
      <c r="C22" s="14">
        <v>347.4</v>
      </c>
      <c r="D22" s="38">
        <v>155.8</v>
      </c>
      <c r="E22" s="38">
        <v>0</v>
      </c>
      <c r="F22" s="60">
        <f t="shared" si="0"/>
        <v>0</v>
      </c>
      <c r="G22" s="38">
        <v>154.9</v>
      </c>
      <c r="H22" s="38">
        <v>485.7</v>
      </c>
      <c r="I22" s="68">
        <f t="shared" si="1"/>
        <v>313.55713363460296</v>
      </c>
      <c r="J22" s="38">
        <v>153.1</v>
      </c>
      <c r="K22" s="38">
        <v>0</v>
      </c>
      <c r="L22" s="68">
        <f t="shared" si="2"/>
        <v>0</v>
      </c>
      <c r="M22" s="80">
        <f t="shared" si="12"/>
        <v>463.80000000000007</v>
      </c>
      <c r="N22" s="80">
        <f t="shared" si="13"/>
        <v>485.7</v>
      </c>
      <c r="O22" s="11">
        <f t="shared" si="9"/>
        <v>104.72186287192753</v>
      </c>
      <c r="P22" s="38">
        <v>122.7</v>
      </c>
      <c r="Q22" s="38">
        <v>127</v>
      </c>
      <c r="R22" s="128">
        <f t="shared" si="3"/>
        <v>103.50448247758762</v>
      </c>
      <c r="S22" s="38">
        <v>-210.2</v>
      </c>
      <c r="T22" s="38">
        <v>117.1</v>
      </c>
      <c r="U22" s="128">
        <f t="shared" si="4"/>
        <v>-55.70884871550904</v>
      </c>
      <c r="V22" s="38">
        <v>0</v>
      </c>
      <c r="W22" s="38">
        <v>0</v>
      </c>
      <c r="X22" s="128" t="e">
        <f t="shared" si="5"/>
        <v>#DIV/0!</v>
      </c>
      <c r="Y22" s="80">
        <f t="shared" si="14"/>
        <v>-87.49999999999999</v>
      </c>
      <c r="Z22" s="80">
        <f t="shared" si="15"/>
        <v>244.1</v>
      </c>
      <c r="AA22" s="11">
        <f t="shared" si="10"/>
        <v>-278.9714285714286</v>
      </c>
      <c r="AB22" s="38">
        <v>1.2</v>
      </c>
      <c r="AC22" s="38">
        <v>0</v>
      </c>
      <c r="AD22" s="128">
        <f t="shared" si="6"/>
        <v>0</v>
      </c>
      <c r="AE22" s="38">
        <v>20.3</v>
      </c>
      <c r="AF22" s="38">
        <v>7.7</v>
      </c>
      <c r="AG22" s="130">
        <f t="shared" si="22"/>
        <v>37.93103448275862</v>
      </c>
      <c r="AH22" s="38">
        <v>13.5</v>
      </c>
      <c r="AI22" s="38">
        <v>0</v>
      </c>
      <c r="AJ22" s="80">
        <f t="shared" si="16"/>
        <v>35</v>
      </c>
      <c r="AK22" s="80">
        <f t="shared" si="17"/>
        <v>7.7</v>
      </c>
      <c r="AL22" s="11">
        <f t="shared" si="11"/>
        <v>22</v>
      </c>
      <c r="AM22" s="38">
        <v>14.2</v>
      </c>
      <c r="AN22" s="38">
        <v>0</v>
      </c>
      <c r="AO22" s="38">
        <v>87</v>
      </c>
      <c r="AP22" s="38">
        <v>67.8</v>
      </c>
      <c r="AQ22" s="38">
        <v>130.2</v>
      </c>
      <c r="AR22" s="38">
        <v>54.6</v>
      </c>
      <c r="AS22" s="65">
        <f t="shared" si="18"/>
        <v>642.7</v>
      </c>
      <c r="AT22" s="65">
        <f t="shared" si="19"/>
        <v>859.9</v>
      </c>
      <c r="AU22" s="11">
        <f t="shared" si="8"/>
        <v>133.79492764898083</v>
      </c>
      <c r="AV22" s="65">
        <f t="shared" si="20"/>
        <v>-217.19999999999993</v>
      </c>
      <c r="AW22" s="18">
        <f t="shared" si="21"/>
        <v>130.20000000000005</v>
      </c>
      <c r="AX22" s="19"/>
    </row>
    <row r="23" spans="1:50" ht="24.75" customHeight="1">
      <c r="A23" s="63">
        <v>16</v>
      </c>
      <c r="B23" s="69" t="s">
        <v>11</v>
      </c>
      <c r="C23" s="14">
        <v>49.5</v>
      </c>
      <c r="D23" s="38">
        <v>25.8</v>
      </c>
      <c r="E23" s="38">
        <v>0</v>
      </c>
      <c r="F23" s="11">
        <f t="shared" si="0"/>
        <v>0</v>
      </c>
      <c r="G23" s="38">
        <v>25.2</v>
      </c>
      <c r="H23" s="38">
        <v>73.3</v>
      </c>
      <c r="I23" s="11">
        <f t="shared" si="1"/>
        <v>290.87301587301585</v>
      </c>
      <c r="J23" s="38">
        <v>25</v>
      </c>
      <c r="K23" s="38">
        <v>0</v>
      </c>
      <c r="L23" s="11">
        <f t="shared" si="2"/>
        <v>0</v>
      </c>
      <c r="M23" s="80">
        <f t="shared" si="12"/>
        <v>76</v>
      </c>
      <c r="N23" s="80">
        <f t="shared" si="13"/>
        <v>73.3</v>
      </c>
      <c r="O23" s="11">
        <f t="shared" si="9"/>
        <v>96.44736842105263</v>
      </c>
      <c r="P23" s="38">
        <v>19.8</v>
      </c>
      <c r="Q23" s="38">
        <v>21.3</v>
      </c>
      <c r="R23" s="11">
        <f t="shared" si="3"/>
        <v>107.57575757575756</v>
      </c>
      <c r="S23" s="38">
        <v>0.6</v>
      </c>
      <c r="T23" s="38">
        <v>31</v>
      </c>
      <c r="U23" s="11">
        <f t="shared" si="4"/>
        <v>5166.666666666667</v>
      </c>
      <c r="V23" s="38">
        <v>0.5</v>
      </c>
      <c r="W23" s="38">
        <v>19.5</v>
      </c>
      <c r="X23" s="11">
        <f t="shared" si="5"/>
        <v>3900</v>
      </c>
      <c r="Y23" s="80">
        <f t="shared" si="14"/>
        <v>20.900000000000002</v>
      </c>
      <c r="Z23" s="80">
        <f t="shared" si="15"/>
        <v>71.8</v>
      </c>
      <c r="AA23" s="11">
        <f t="shared" si="10"/>
        <v>343.54066985645926</v>
      </c>
      <c r="AB23" s="38">
        <v>-54.3</v>
      </c>
      <c r="AC23" s="38">
        <v>0</v>
      </c>
      <c r="AD23" s="11">
        <f t="shared" si="6"/>
        <v>0</v>
      </c>
      <c r="AE23" s="38">
        <v>0.9</v>
      </c>
      <c r="AF23" s="38">
        <v>0</v>
      </c>
      <c r="AG23" s="130">
        <f t="shared" si="22"/>
        <v>0</v>
      </c>
      <c r="AH23" s="38">
        <v>1.5</v>
      </c>
      <c r="AI23" s="38">
        <v>0</v>
      </c>
      <c r="AJ23" s="80">
        <f t="shared" si="16"/>
        <v>-51.9</v>
      </c>
      <c r="AK23" s="80">
        <f t="shared" si="17"/>
        <v>0</v>
      </c>
      <c r="AL23" s="11">
        <f t="shared" si="11"/>
        <v>0</v>
      </c>
      <c r="AM23" s="38">
        <v>1.4</v>
      </c>
      <c r="AN23" s="38">
        <v>0</v>
      </c>
      <c r="AO23" s="38">
        <v>13.8</v>
      </c>
      <c r="AP23" s="38">
        <v>0</v>
      </c>
      <c r="AQ23" s="38">
        <v>26</v>
      </c>
      <c r="AR23" s="38">
        <v>0</v>
      </c>
      <c r="AS23" s="65">
        <f t="shared" si="18"/>
        <v>86.2</v>
      </c>
      <c r="AT23" s="65">
        <f t="shared" si="19"/>
        <v>145.1</v>
      </c>
      <c r="AU23" s="11">
        <f t="shared" si="8"/>
        <v>168.32946635730858</v>
      </c>
      <c r="AV23" s="65">
        <f t="shared" si="20"/>
        <v>-58.89999999999999</v>
      </c>
      <c r="AW23" s="18">
        <f t="shared" si="21"/>
        <v>-9.400000000000006</v>
      </c>
      <c r="AX23" s="19"/>
    </row>
    <row r="24" spans="1:50" ht="24.75" customHeight="1">
      <c r="A24" s="63">
        <v>17</v>
      </c>
      <c r="B24" s="69" t="s">
        <v>47</v>
      </c>
      <c r="C24" s="14">
        <v>2050.9</v>
      </c>
      <c r="D24" s="38">
        <v>953.6</v>
      </c>
      <c r="E24" s="38">
        <v>0</v>
      </c>
      <c r="F24" s="11">
        <f t="shared" si="0"/>
        <v>0</v>
      </c>
      <c r="G24" s="38">
        <v>944</v>
      </c>
      <c r="H24" s="38">
        <v>2907.8</v>
      </c>
      <c r="I24" s="11">
        <f t="shared" si="1"/>
        <v>308.02966101694915</v>
      </c>
      <c r="J24" s="38">
        <v>940.8</v>
      </c>
      <c r="K24" s="38">
        <v>-0.1</v>
      </c>
      <c r="L24" s="11">
        <f t="shared" si="2"/>
        <v>-0.010629251700680274</v>
      </c>
      <c r="M24" s="80">
        <f t="shared" si="12"/>
        <v>2838.3999999999996</v>
      </c>
      <c r="N24" s="80">
        <f t="shared" si="13"/>
        <v>2907.7000000000003</v>
      </c>
      <c r="O24" s="11">
        <f t="shared" si="9"/>
        <v>102.44151634723791</v>
      </c>
      <c r="P24" s="38">
        <v>714.1</v>
      </c>
      <c r="Q24" s="38">
        <v>786</v>
      </c>
      <c r="R24" s="11">
        <f t="shared" si="3"/>
        <v>110.06861784063857</v>
      </c>
      <c r="S24" s="38">
        <v>-1518.2</v>
      </c>
      <c r="T24" s="38">
        <v>1195.6</v>
      </c>
      <c r="U24" s="11">
        <f t="shared" si="4"/>
        <v>-78.75115268080621</v>
      </c>
      <c r="V24" s="38">
        <v>48.6</v>
      </c>
      <c r="W24" s="38">
        <v>-30</v>
      </c>
      <c r="X24" s="11">
        <f t="shared" si="5"/>
        <v>-61.72839506172839</v>
      </c>
      <c r="Y24" s="80">
        <f t="shared" si="14"/>
        <v>-755.5</v>
      </c>
      <c r="Z24" s="80">
        <f t="shared" si="15"/>
        <v>1951.6</v>
      </c>
      <c r="AA24" s="11">
        <f t="shared" si="10"/>
        <v>-258.3189940436797</v>
      </c>
      <c r="AB24" s="38">
        <v>136.4</v>
      </c>
      <c r="AC24" s="38">
        <v>-252.6</v>
      </c>
      <c r="AD24" s="11">
        <f t="shared" si="6"/>
        <v>-185.19061583577712</v>
      </c>
      <c r="AE24" s="38">
        <v>120.7</v>
      </c>
      <c r="AF24" s="38">
        <v>-100.4</v>
      </c>
      <c r="AG24" s="130">
        <f t="shared" si="22"/>
        <v>-83.1814415907208</v>
      </c>
      <c r="AH24" s="38">
        <v>103.7</v>
      </c>
      <c r="AI24" s="38">
        <v>0</v>
      </c>
      <c r="AJ24" s="80">
        <f t="shared" si="16"/>
        <v>360.8</v>
      </c>
      <c r="AK24" s="80">
        <f t="shared" si="17"/>
        <v>-353</v>
      </c>
      <c r="AL24" s="11">
        <f t="shared" si="11"/>
        <v>-97.83813747228382</v>
      </c>
      <c r="AM24" s="38">
        <v>-3</v>
      </c>
      <c r="AN24" s="38">
        <v>-11.7</v>
      </c>
      <c r="AO24" s="38">
        <v>474.1</v>
      </c>
      <c r="AP24" s="38">
        <v>78.1</v>
      </c>
      <c r="AQ24" s="38">
        <v>753.8</v>
      </c>
      <c r="AR24" s="38">
        <v>415.3</v>
      </c>
      <c r="AS24" s="65">
        <f t="shared" si="18"/>
        <v>3668.5999999999995</v>
      </c>
      <c r="AT24" s="65">
        <f t="shared" si="19"/>
        <v>4988.000000000001</v>
      </c>
      <c r="AU24" s="11">
        <f t="shared" si="8"/>
        <v>135.96467317232737</v>
      </c>
      <c r="AV24" s="65">
        <f t="shared" si="20"/>
        <v>-1319.4000000000015</v>
      </c>
      <c r="AW24" s="18">
        <f t="shared" si="21"/>
        <v>731.4999999999991</v>
      </c>
      <c r="AX24" s="19"/>
    </row>
    <row r="25" spans="1:50" ht="24.75" customHeight="1">
      <c r="A25" s="63">
        <v>18</v>
      </c>
      <c r="B25" s="64" t="s">
        <v>50</v>
      </c>
      <c r="C25" s="14">
        <v>517.1</v>
      </c>
      <c r="D25" s="38">
        <v>245.6</v>
      </c>
      <c r="E25" s="38">
        <v>0</v>
      </c>
      <c r="F25" s="11">
        <f t="shared" si="0"/>
        <v>0</v>
      </c>
      <c r="G25" s="38">
        <v>240.4</v>
      </c>
      <c r="H25" s="38">
        <v>762.6</v>
      </c>
      <c r="I25" s="11">
        <f t="shared" si="1"/>
        <v>317.22129783693845</v>
      </c>
      <c r="J25" s="38">
        <v>238.4</v>
      </c>
      <c r="K25" s="38">
        <v>0</v>
      </c>
      <c r="L25" s="11">
        <f t="shared" si="2"/>
        <v>0</v>
      </c>
      <c r="M25" s="80">
        <f t="shared" si="12"/>
        <v>724.4</v>
      </c>
      <c r="N25" s="80">
        <f t="shared" si="13"/>
        <v>762.6</v>
      </c>
      <c r="O25" s="11">
        <f t="shared" si="9"/>
        <v>105.27332965212591</v>
      </c>
      <c r="P25" s="38">
        <v>-253.2</v>
      </c>
      <c r="Q25" s="38">
        <v>77.2</v>
      </c>
      <c r="R25" s="11">
        <f t="shared" si="3"/>
        <v>-30.48973143759874</v>
      </c>
      <c r="S25" s="38">
        <v>0.4</v>
      </c>
      <c r="T25" s="38">
        <v>148.4</v>
      </c>
      <c r="U25" s="11">
        <f t="shared" si="4"/>
        <v>37100</v>
      </c>
      <c r="V25" s="38">
        <v>67.9</v>
      </c>
      <c r="W25" s="38">
        <v>0.2</v>
      </c>
      <c r="X25" s="11">
        <f t="shared" si="5"/>
        <v>0.29455081001472755</v>
      </c>
      <c r="Y25" s="80">
        <f t="shared" si="14"/>
        <v>-184.89999999999998</v>
      </c>
      <c r="Z25" s="80">
        <f t="shared" si="15"/>
        <v>225.8</v>
      </c>
      <c r="AA25" s="11">
        <f t="shared" si="10"/>
        <v>-122.12006489994593</v>
      </c>
      <c r="AB25" s="38">
        <v>30.6</v>
      </c>
      <c r="AC25" s="38">
        <v>33.1</v>
      </c>
      <c r="AD25" s="11">
        <f t="shared" si="6"/>
        <v>108.16993464052287</v>
      </c>
      <c r="AE25" s="38">
        <v>23.2</v>
      </c>
      <c r="AF25" s="38">
        <v>0</v>
      </c>
      <c r="AG25" s="11">
        <f>AF25/AE25*100</f>
        <v>0</v>
      </c>
      <c r="AH25" s="38">
        <v>-3</v>
      </c>
      <c r="AI25" s="38">
        <v>0</v>
      </c>
      <c r="AJ25" s="80">
        <f t="shared" si="16"/>
        <v>50.8</v>
      </c>
      <c r="AK25" s="80">
        <f t="shared" si="17"/>
        <v>33.1</v>
      </c>
      <c r="AL25" s="11">
        <f t="shared" si="11"/>
        <v>65.15748031496064</v>
      </c>
      <c r="AM25" s="38">
        <v>9.7</v>
      </c>
      <c r="AN25" s="38">
        <v>84</v>
      </c>
      <c r="AO25" s="38">
        <v>176.8</v>
      </c>
      <c r="AP25" s="38">
        <v>0</v>
      </c>
      <c r="AQ25" s="38">
        <v>164.1</v>
      </c>
      <c r="AR25" s="38">
        <v>188.4</v>
      </c>
      <c r="AS25" s="65">
        <f t="shared" si="18"/>
        <v>940.9</v>
      </c>
      <c r="AT25" s="65">
        <f t="shared" si="19"/>
        <v>1293.9</v>
      </c>
      <c r="AU25" s="11">
        <f t="shared" si="8"/>
        <v>137.51727069826762</v>
      </c>
      <c r="AV25" s="65">
        <f t="shared" si="20"/>
        <v>-353.0000000000001</v>
      </c>
      <c r="AW25" s="18">
        <f t="shared" si="21"/>
        <v>164.0999999999999</v>
      </c>
      <c r="AX25" s="19"/>
    </row>
    <row r="26" spans="1:50" ht="24.75" customHeight="1">
      <c r="A26" s="63">
        <v>19</v>
      </c>
      <c r="B26" s="69" t="s">
        <v>71</v>
      </c>
      <c r="C26" s="14">
        <v>28.3</v>
      </c>
      <c r="D26" s="38">
        <v>20.9</v>
      </c>
      <c r="E26" s="38">
        <v>0</v>
      </c>
      <c r="F26" s="11">
        <f t="shared" si="0"/>
        <v>0</v>
      </c>
      <c r="G26" s="38">
        <v>20.7</v>
      </c>
      <c r="H26" s="38">
        <v>49.2</v>
      </c>
      <c r="I26" s="11">
        <f t="shared" si="1"/>
        <v>237.6811594202899</v>
      </c>
      <c r="J26" s="38">
        <v>21.4</v>
      </c>
      <c r="K26" s="38">
        <v>20.7</v>
      </c>
      <c r="L26" s="11">
        <f t="shared" si="2"/>
        <v>96.72897196261682</v>
      </c>
      <c r="M26" s="80">
        <f t="shared" si="12"/>
        <v>62.99999999999999</v>
      </c>
      <c r="N26" s="80">
        <f t="shared" si="13"/>
        <v>69.9</v>
      </c>
      <c r="O26" s="11">
        <f t="shared" si="9"/>
        <v>110.95238095238098</v>
      </c>
      <c r="P26" s="38">
        <v>14</v>
      </c>
      <c r="Q26" s="38">
        <v>0</v>
      </c>
      <c r="R26" s="11">
        <f t="shared" si="3"/>
        <v>0</v>
      </c>
      <c r="S26" s="38">
        <v>-29.4</v>
      </c>
      <c r="T26" s="38">
        <v>18</v>
      </c>
      <c r="U26" s="11">
        <f t="shared" si="4"/>
        <v>-61.224489795918366</v>
      </c>
      <c r="V26" s="38">
        <v>1.6</v>
      </c>
      <c r="W26" s="38">
        <v>0</v>
      </c>
      <c r="X26" s="11">
        <f t="shared" si="5"/>
        <v>0</v>
      </c>
      <c r="Y26" s="80">
        <f t="shared" si="14"/>
        <v>-13.799999999999999</v>
      </c>
      <c r="Z26" s="80">
        <f t="shared" si="15"/>
        <v>18</v>
      </c>
      <c r="AA26" s="11">
        <f t="shared" si="10"/>
        <v>-130.43478260869566</v>
      </c>
      <c r="AB26" s="38">
        <v>1.7</v>
      </c>
      <c r="AC26" s="38">
        <v>0</v>
      </c>
      <c r="AD26" s="11">
        <f t="shared" si="6"/>
        <v>0</v>
      </c>
      <c r="AE26" s="38">
        <v>2.4</v>
      </c>
      <c r="AF26" s="38"/>
      <c r="AG26" s="11">
        <f>AF26/AE26*100</f>
        <v>0</v>
      </c>
      <c r="AH26" s="38">
        <v>2.7</v>
      </c>
      <c r="AI26" s="38">
        <v>0</v>
      </c>
      <c r="AJ26" s="80">
        <f t="shared" si="16"/>
        <v>6.8</v>
      </c>
      <c r="AK26" s="80">
        <f t="shared" si="17"/>
        <v>0</v>
      </c>
      <c r="AL26" s="11">
        <f t="shared" si="11"/>
        <v>0</v>
      </c>
      <c r="AM26" s="38">
        <v>0.2</v>
      </c>
      <c r="AN26" s="38">
        <v>0</v>
      </c>
      <c r="AO26" s="38">
        <v>11.9</v>
      </c>
      <c r="AP26" s="38">
        <v>0</v>
      </c>
      <c r="AQ26" s="38">
        <v>15.2</v>
      </c>
      <c r="AR26" s="38">
        <v>2.4</v>
      </c>
      <c r="AS26" s="65">
        <f t="shared" si="18"/>
        <v>83.3</v>
      </c>
      <c r="AT26" s="65">
        <f t="shared" si="19"/>
        <v>90.30000000000001</v>
      </c>
      <c r="AU26" s="11">
        <f t="shared" si="8"/>
        <v>108.40336134453783</v>
      </c>
      <c r="AV26" s="65">
        <f t="shared" si="20"/>
        <v>-7.000000000000014</v>
      </c>
      <c r="AW26" s="18">
        <f t="shared" si="21"/>
        <v>21.299999999999983</v>
      </c>
      <c r="AX26" s="19"/>
    </row>
    <row r="27" spans="1:50" ht="24.75" customHeight="1">
      <c r="A27" s="63">
        <v>20</v>
      </c>
      <c r="B27" s="69" t="s">
        <v>72</v>
      </c>
      <c r="C27" s="14">
        <v>1606.8</v>
      </c>
      <c r="D27" s="38">
        <v>699.9</v>
      </c>
      <c r="E27" s="38">
        <v>0</v>
      </c>
      <c r="F27" s="11">
        <f t="shared" si="0"/>
        <v>0</v>
      </c>
      <c r="G27" s="38">
        <v>680.8</v>
      </c>
      <c r="H27" s="38">
        <v>2223.7</v>
      </c>
      <c r="I27" s="11">
        <f t="shared" si="1"/>
        <v>326.6304347826087</v>
      </c>
      <c r="J27" s="38">
        <v>849.1</v>
      </c>
      <c r="K27" s="38">
        <v>0</v>
      </c>
      <c r="L27" s="11">
        <f t="shared" si="2"/>
        <v>0</v>
      </c>
      <c r="M27" s="80">
        <f t="shared" si="12"/>
        <v>2229.7999999999997</v>
      </c>
      <c r="N27" s="80">
        <f t="shared" si="13"/>
        <v>2223.7</v>
      </c>
      <c r="O27" s="11">
        <f t="shared" si="9"/>
        <v>99.726432863934</v>
      </c>
      <c r="P27" s="38">
        <v>678.6</v>
      </c>
      <c r="Q27" s="38">
        <v>588.7</v>
      </c>
      <c r="R27" s="11">
        <f t="shared" si="3"/>
        <v>86.75213675213675</v>
      </c>
      <c r="S27" s="38">
        <v>-1929.6</v>
      </c>
      <c r="T27" s="38">
        <v>992.3</v>
      </c>
      <c r="U27" s="11">
        <f t="shared" si="4"/>
        <v>-51.42516583747927</v>
      </c>
      <c r="V27" s="38">
        <v>46.7</v>
      </c>
      <c r="W27" s="38">
        <v>0</v>
      </c>
      <c r="X27" s="11">
        <f t="shared" si="5"/>
        <v>0</v>
      </c>
      <c r="Y27" s="80">
        <f t="shared" si="14"/>
        <v>-1204.3</v>
      </c>
      <c r="Z27" s="80">
        <f t="shared" si="15"/>
        <v>1581</v>
      </c>
      <c r="AA27" s="11">
        <f t="shared" si="10"/>
        <v>-131.27958149962635</v>
      </c>
      <c r="AB27" s="38">
        <v>216.8</v>
      </c>
      <c r="AC27" s="38">
        <v>0</v>
      </c>
      <c r="AD27" s="11">
        <f t="shared" si="6"/>
        <v>0</v>
      </c>
      <c r="AE27" s="38">
        <v>311.3</v>
      </c>
      <c r="AF27" s="38">
        <v>0</v>
      </c>
      <c r="AG27" s="11">
        <f>AF27/AE27*100</f>
        <v>0</v>
      </c>
      <c r="AH27" s="38">
        <v>277.4</v>
      </c>
      <c r="AI27" s="38">
        <v>0</v>
      </c>
      <c r="AJ27" s="80">
        <f t="shared" si="16"/>
        <v>805.5</v>
      </c>
      <c r="AK27" s="80">
        <f t="shared" si="17"/>
        <v>0</v>
      </c>
      <c r="AL27" s="11">
        <f t="shared" si="11"/>
        <v>0</v>
      </c>
      <c r="AM27" s="38">
        <v>0</v>
      </c>
      <c r="AN27" s="38">
        <v>0</v>
      </c>
      <c r="AO27" s="38">
        <v>590.3</v>
      </c>
      <c r="AP27" s="38">
        <v>0</v>
      </c>
      <c r="AQ27" s="38">
        <v>242</v>
      </c>
      <c r="AR27" s="38">
        <v>0</v>
      </c>
      <c r="AS27" s="65">
        <f t="shared" si="18"/>
        <v>2663.2999999999997</v>
      </c>
      <c r="AT27" s="65">
        <f t="shared" si="19"/>
        <v>3804.7</v>
      </c>
      <c r="AU27" s="11">
        <f t="shared" si="8"/>
        <v>142.8566064656629</v>
      </c>
      <c r="AV27" s="65">
        <f t="shared" si="20"/>
        <v>-1141.4</v>
      </c>
      <c r="AW27" s="18">
        <f t="shared" si="21"/>
        <v>465.39999999999964</v>
      </c>
      <c r="AX27" s="19"/>
    </row>
    <row r="28" spans="1:50" ht="24.75" customHeight="1">
      <c r="A28" s="63">
        <v>21</v>
      </c>
      <c r="B28" s="64" t="s">
        <v>73</v>
      </c>
      <c r="C28" s="14">
        <v>-408</v>
      </c>
      <c r="D28" s="38">
        <v>119.4</v>
      </c>
      <c r="E28" s="38">
        <v>0</v>
      </c>
      <c r="F28" s="11">
        <f t="shared" si="0"/>
        <v>0</v>
      </c>
      <c r="G28" s="38">
        <v>105.9</v>
      </c>
      <c r="H28" s="38">
        <v>0</v>
      </c>
      <c r="I28" s="11">
        <f t="shared" si="1"/>
        <v>0</v>
      </c>
      <c r="J28" s="38">
        <v>107.9</v>
      </c>
      <c r="K28" s="38">
        <v>0</v>
      </c>
      <c r="L28" s="11">
        <f t="shared" si="2"/>
        <v>0</v>
      </c>
      <c r="M28" s="80">
        <f t="shared" si="12"/>
        <v>333.20000000000005</v>
      </c>
      <c r="N28" s="80">
        <f t="shared" si="13"/>
        <v>0</v>
      </c>
      <c r="O28" s="11">
        <f t="shared" si="9"/>
        <v>0</v>
      </c>
      <c r="P28" s="38">
        <v>82.5</v>
      </c>
      <c r="Q28" s="38">
        <v>0</v>
      </c>
      <c r="R28" s="11">
        <f t="shared" si="3"/>
        <v>0</v>
      </c>
      <c r="S28" s="131">
        <v>-207.1</v>
      </c>
      <c r="T28" s="38">
        <v>0</v>
      </c>
      <c r="U28" s="11">
        <f t="shared" si="4"/>
        <v>0</v>
      </c>
      <c r="V28" s="131">
        <v>1.1</v>
      </c>
      <c r="W28" s="38">
        <v>0</v>
      </c>
      <c r="X28" s="11">
        <f t="shared" si="5"/>
        <v>0</v>
      </c>
      <c r="Y28" s="80">
        <f t="shared" si="14"/>
        <v>-123.5</v>
      </c>
      <c r="Z28" s="80">
        <f t="shared" si="15"/>
        <v>0</v>
      </c>
      <c r="AA28" s="11">
        <f t="shared" si="10"/>
        <v>0</v>
      </c>
      <c r="AB28" s="131">
        <v>11.2</v>
      </c>
      <c r="AC28" s="38">
        <v>0</v>
      </c>
      <c r="AD28" s="11">
        <f t="shared" si="6"/>
        <v>0</v>
      </c>
      <c r="AE28" s="38">
        <v>6.8</v>
      </c>
      <c r="AF28" s="90">
        <v>0</v>
      </c>
      <c r="AG28" s="85">
        <f>AF28/AE28*100</f>
        <v>0</v>
      </c>
      <c r="AH28" s="38">
        <v>15.1</v>
      </c>
      <c r="AI28" s="90">
        <v>0</v>
      </c>
      <c r="AJ28" s="80">
        <f t="shared" si="16"/>
        <v>33.1</v>
      </c>
      <c r="AK28" s="80">
        <f t="shared" si="17"/>
        <v>0</v>
      </c>
      <c r="AL28" s="11">
        <f t="shared" si="11"/>
        <v>0</v>
      </c>
      <c r="AM28" s="38">
        <v>20.3</v>
      </c>
      <c r="AN28" s="90">
        <v>0</v>
      </c>
      <c r="AO28" s="38">
        <v>47.6</v>
      </c>
      <c r="AP28" s="90">
        <v>0</v>
      </c>
      <c r="AQ28" s="38">
        <v>63.3</v>
      </c>
      <c r="AR28" s="90">
        <v>0</v>
      </c>
      <c r="AS28" s="65">
        <f t="shared" si="18"/>
        <v>374.00000000000006</v>
      </c>
      <c r="AT28" s="65">
        <f t="shared" si="19"/>
        <v>0</v>
      </c>
      <c r="AU28" s="11">
        <f t="shared" si="8"/>
        <v>0</v>
      </c>
      <c r="AV28" s="65">
        <f t="shared" si="20"/>
        <v>374.00000000000006</v>
      </c>
      <c r="AW28" s="18">
        <f t="shared" si="21"/>
        <v>-33.99999999999994</v>
      </c>
      <c r="AX28" s="19"/>
    </row>
    <row r="29" spans="1:50" ht="24.75" customHeight="1">
      <c r="A29" s="63">
        <v>22</v>
      </c>
      <c r="B29" s="64" t="s">
        <v>3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  <c r="AX29" s="19"/>
    </row>
    <row r="30" spans="1:50" ht="26.25" customHeight="1">
      <c r="A30" s="63">
        <v>23</v>
      </c>
      <c r="B30" s="69" t="s">
        <v>46</v>
      </c>
      <c r="C30" s="14">
        <v>274.1</v>
      </c>
      <c r="D30" s="38">
        <v>75.6</v>
      </c>
      <c r="E30" s="38">
        <v>0</v>
      </c>
      <c r="F30" s="11">
        <f t="shared" si="0"/>
        <v>0</v>
      </c>
      <c r="G30" s="38">
        <v>76.2</v>
      </c>
      <c r="H30" s="38">
        <v>0</v>
      </c>
      <c r="I30" s="68">
        <f t="shared" si="1"/>
        <v>0</v>
      </c>
      <c r="J30" s="38">
        <v>76.3</v>
      </c>
      <c r="K30" s="38">
        <v>274.1</v>
      </c>
      <c r="L30" s="11">
        <f aca="true" t="shared" si="23" ref="L30:L45">K30/J30*100</f>
        <v>359.2398427260813</v>
      </c>
      <c r="M30" s="80">
        <f t="shared" si="12"/>
        <v>228.10000000000002</v>
      </c>
      <c r="N30" s="80">
        <f t="shared" si="13"/>
        <v>274.1</v>
      </c>
      <c r="O30" s="11">
        <f t="shared" si="9"/>
        <v>120.16659359929855</v>
      </c>
      <c r="P30" s="38">
        <v>69.9</v>
      </c>
      <c r="Q30" s="38">
        <v>114.4</v>
      </c>
      <c r="R30" s="128">
        <f aca="true" t="shared" si="24" ref="R30:R45">Q30/P30*100</f>
        <v>163.6623748211731</v>
      </c>
      <c r="S30" s="38">
        <v>-46.8</v>
      </c>
      <c r="T30" s="38">
        <v>113.7</v>
      </c>
      <c r="U30" s="128">
        <f aca="true" t="shared" si="25" ref="U30:U45">T30/S30*100</f>
        <v>-242.94871794871798</v>
      </c>
      <c r="V30" s="38">
        <v>19.1</v>
      </c>
      <c r="W30" s="38">
        <v>7.2</v>
      </c>
      <c r="X30" s="128">
        <f aca="true" t="shared" si="26" ref="X30:X45">W30/V30*100</f>
        <v>37.69633507853403</v>
      </c>
      <c r="Y30" s="80">
        <f aca="true" t="shared" si="27" ref="Y30:Y42">P30+S30+V30</f>
        <v>42.20000000000001</v>
      </c>
      <c r="Z30" s="80">
        <f aca="true" t="shared" si="28" ref="Z30:Z42">Q30+T30+W30</f>
        <v>235.3</v>
      </c>
      <c r="AA30" s="11">
        <f aca="true" t="shared" si="29" ref="AA30:AA45">Z30/Y30*100</f>
        <v>557.5829383886255</v>
      </c>
      <c r="AB30" s="38">
        <v>10.1</v>
      </c>
      <c r="AC30" s="38">
        <v>35</v>
      </c>
      <c r="AD30" s="128">
        <f aca="true" t="shared" si="30" ref="AD30:AD45">AC30/AB30*100</f>
        <v>346.53465346534654</v>
      </c>
      <c r="AE30" s="38">
        <v>11.9</v>
      </c>
      <c r="AF30" s="38">
        <v>10.1</v>
      </c>
      <c r="AG30" s="129">
        <f aca="true" t="shared" si="31" ref="AG30:AG43">AF30/AE30*100</f>
        <v>84.87394957983193</v>
      </c>
      <c r="AH30" s="38">
        <v>10.8</v>
      </c>
      <c r="AI30" s="38">
        <v>11.9</v>
      </c>
      <c r="AJ30" s="80">
        <f t="shared" si="16"/>
        <v>32.8</v>
      </c>
      <c r="AK30" s="80">
        <f t="shared" si="17"/>
        <v>57</v>
      </c>
      <c r="AL30" s="11">
        <f aca="true" t="shared" si="32" ref="AL30:AL45">AK30/AJ30*100</f>
        <v>173.78048780487808</v>
      </c>
      <c r="AM30" s="38">
        <v>-3.1</v>
      </c>
      <c r="AN30" s="38">
        <v>10.8</v>
      </c>
      <c r="AO30" s="38">
        <v>65.3</v>
      </c>
      <c r="AP30" s="38">
        <v>4.1</v>
      </c>
      <c r="AQ30" s="38">
        <v>62.5</v>
      </c>
      <c r="AR30" s="38">
        <v>58.1</v>
      </c>
      <c r="AS30" s="65">
        <f t="shared" si="18"/>
        <v>427.8</v>
      </c>
      <c r="AT30" s="65">
        <f t="shared" si="19"/>
        <v>639.4000000000001</v>
      </c>
      <c r="AU30" s="11">
        <f t="shared" si="8"/>
        <v>149.46236559139788</v>
      </c>
      <c r="AV30" s="65">
        <f t="shared" si="20"/>
        <v>-211.60000000000008</v>
      </c>
      <c r="AW30" s="18">
        <f t="shared" si="21"/>
        <v>62.5</v>
      </c>
      <c r="AX30" s="19"/>
    </row>
    <row r="31" spans="1:50" ht="24.75" customHeight="1">
      <c r="A31" s="63">
        <v>24</v>
      </c>
      <c r="B31" s="69" t="s">
        <v>4</v>
      </c>
      <c r="C31" s="14">
        <v>448.7</v>
      </c>
      <c r="D31" s="38">
        <v>208.7</v>
      </c>
      <c r="E31" s="38">
        <v>0</v>
      </c>
      <c r="F31" s="11">
        <f t="shared" si="0"/>
        <v>0</v>
      </c>
      <c r="G31" s="38">
        <v>208.4</v>
      </c>
      <c r="H31" s="38">
        <v>643.8</v>
      </c>
      <c r="I31" s="11">
        <f t="shared" si="1"/>
        <v>308.9251439539347</v>
      </c>
      <c r="J31" s="38">
        <v>211.1</v>
      </c>
      <c r="K31" s="38">
        <v>-10.3</v>
      </c>
      <c r="L31" s="11">
        <f t="shared" si="23"/>
        <v>-4.879204168640455</v>
      </c>
      <c r="M31" s="80">
        <f t="shared" si="12"/>
        <v>628.2</v>
      </c>
      <c r="N31" s="80">
        <f t="shared" si="13"/>
        <v>633.5</v>
      </c>
      <c r="O31" s="11">
        <f t="shared" si="9"/>
        <v>100.84368035657434</v>
      </c>
      <c r="P31" s="38">
        <v>186.5</v>
      </c>
      <c r="Q31" s="38">
        <v>168.2</v>
      </c>
      <c r="R31" s="11">
        <f t="shared" si="24"/>
        <v>90.1876675603217</v>
      </c>
      <c r="S31" s="38">
        <v>-138.9</v>
      </c>
      <c r="T31" s="38">
        <v>275.2</v>
      </c>
      <c r="U31" s="11">
        <f t="shared" si="25"/>
        <v>-198.12814974802012</v>
      </c>
      <c r="V31" s="38">
        <v>15.5</v>
      </c>
      <c r="W31" s="38">
        <v>10.5</v>
      </c>
      <c r="X31" s="11">
        <f t="shared" si="26"/>
        <v>67.74193548387096</v>
      </c>
      <c r="Y31" s="80">
        <f t="shared" si="27"/>
        <v>63.099999999999994</v>
      </c>
      <c r="Z31" s="80">
        <f t="shared" si="28"/>
        <v>453.9</v>
      </c>
      <c r="AA31" s="11">
        <f t="shared" si="29"/>
        <v>719.3343898573693</v>
      </c>
      <c r="AB31" s="38">
        <v>37.8</v>
      </c>
      <c r="AC31" s="38">
        <v>52.5</v>
      </c>
      <c r="AD31" s="11">
        <f t="shared" si="30"/>
        <v>138.8888888888889</v>
      </c>
      <c r="AE31" s="38">
        <v>32.8</v>
      </c>
      <c r="AF31" s="38">
        <v>37.8</v>
      </c>
      <c r="AG31" s="129">
        <f t="shared" si="31"/>
        <v>115.24390243902438</v>
      </c>
      <c r="AH31" s="38">
        <v>26.9</v>
      </c>
      <c r="AI31" s="38">
        <v>32.99</v>
      </c>
      <c r="AJ31" s="80">
        <f t="shared" si="16"/>
        <v>97.5</v>
      </c>
      <c r="AK31" s="80">
        <f t="shared" si="17"/>
        <v>123.28999999999999</v>
      </c>
      <c r="AL31" s="11">
        <f t="shared" si="32"/>
        <v>126.45128205128205</v>
      </c>
      <c r="AM31" s="38">
        <v>19.9</v>
      </c>
      <c r="AN31" s="38">
        <v>26.9</v>
      </c>
      <c r="AO31" s="38">
        <v>157.6</v>
      </c>
      <c r="AP31" s="38">
        <v>19.9</v>
      </c>
      <c r="AQ31" s="38">
        <v>150.1</v>
      </c>
      <c r="AR31" s="38">
        <v>30.2</v>
      </c>
      <c r="AS31" s="65">
        <f t="shared" si="18"/>
        <v>1116.4</v>
      </c>
      <c r="AT31" s="65">
        <f t="shared" si="19"/>
        <v>1287.6900000000003</v>
      </c>
      <c r="AU31" s="11">
        <f t="shared" si="8"/>
        <v>115.3430670010749</v>
      </c>
      <c r="AV31" s="65">
        <f t="shared" si="20"/>
        <v>-171.2900000000002</v>
      </c>
      <c r="AW31" s="18">
        <f t="shared" si="21"/>
        <v>277.40999999999985</v>
      </c>
      <c r="AX31" s="19"/>
    </row>
    <row r="32" spans="1:50" ht="24.75" customHeight="1">
      <c r="A32" s="63">
        <v>25</v>
      </c>
      <c r="B32" s="15" t="s">
        <v>112</v>
      </c>
      <c r="C32" s="14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19"/>
    </row>
    <row r="33" spans="1:50" ht="24.75" customHeight="1">
      <c r="A33" s="63"/>
      <c r="B33" s="69" t="s">
        <v>158</v>
      </c>
      <c r="C33" s="14">
        <v>470.1</v>
      </c>
      <c r="D33" s="38">
        <v>321.2</v>
      </c>
      <c r="E33" s="38">
        <v>0</v>
      </c>
      <c r="F33" s="11">
        <f>E33/D33*100</f>
        <v>0</v>
      </c>
      <c r="G33" s="38">
        <v>463.5</v>
      </c>
      <c r="H33" s="38">
        <v>791.2</v>
      </c>
      <c r="I33" s="11">
        <f t="shared" si="1"/>
        <v>170.70118662351672</v>
      </c>
      <c r="J33" s="38">
        <v>451.4</v>
      </c>
      <c r="K33" s="38">
        <v>0</v>
      </c>
      <c r="L33" s="11">
        <f t="shared" si="23"/>
        <v>0</v>
      </c>
      <c r="M33" s="80">
        <f t="shared" si="12"/>
        <v>1236.1</v>
      </c>
      <c r="N33" s="80">
        <f t="shared" si="13"/>
        <v>791.2</v>
      </c>
      <c r="O33" s="11">
        <f t="shared" si="9"/>
        <v>64.00776636194485</v>
      </c>
      <c r="P33" s="38">
        <v>470.6</v>
      </c>
      <c r="Q33" s="38">
        <v>658.7</v>
      </c>
      <c r="R33" s="11">
        <f t="shared" si="24"/>
        <v>139.9702507437314</v>
      </c>
      <c r="S33" s="38">
        <v>-659.6</v>
      </c>
      <c r="T33" s="38">
        <v>156.1</v>
      </c>
      <c r="U33" s="11">
        <f t="shared" si="25"/>
        <v>-23.665858095815643</v>
      </c>
      <c r="V33" s="38">
        <v>101.7</v>
      </c>
      <c r="W33" s="38">
        <v>250</v>
      </c>
      <c r="X33" s="11">
        <f t="shared" si="26"/>
        <v>245.82104228121926</v>
      </c>
      <c r="Y33" s="80">
        <f t="shared" si="27"/>
        <v>-87.3</v>
      </c>
      <c r="Z33" s="80">
        <f t="shared" si="28"/>
        <v>1064.8000000000002</v>
      </c>
      <c r="AA33" s="11">
        <f t="shared" si="29"/>
        <v>-1219.7021764032077</v>
      </c>
      <c r="AB33" s="38">
        <v>51.1</v>
      </c>
      <c r="AC33" s="38">
        <v>0</v>
      </c>
      <c r="AD33" s="11">
        <f t="shared" si="30"/>
        <v>0</v>
      </c>
      <c r="AE33" s="38">
        <v>88</v>
      </c>
      <c r="AF33" s="38">
        <v>0</v>
      </c>
      <c r="AG33" s="11">
        <f t="shared" si="31"/>
        <v>0</v>
      </c>
      <c r="AH33" s="38">
        <v>88</v>
      </c>
      <c r="AI33" s="38">
        <v>0</v>
      </c>
      <c r="AJ33" s="80">
        <f t="shared" si="16"/>
        <v>227.1</v>
      </c>
      <c r="AK33" s="80">
        <f t="shared" si="17"/>
        <v>0</v>
      </c>
      <c r="AL33" s="11">
        <f t="shared" si="32"/>
        <v>0</v>
      </c>
      <c r="AM33" s="38">
        <v>65.4</v>
      </c>
      <c r="AN33" s="38">
        <v>0</v>
      </c>
      <c r="AO33" s="38">
        <v>-172.3</v>
      </c>
      <c r="AP33" s="38">
        <v>0</v>
      </c>
      <c r="AQ33" s="38">
        <v>333.7</v>
      </c>
      <c r="AR33" s="38">
        <v>227.9</v>
      </c>
      <c r="AS33" s="65">
        <f t="shared" si="18"/>
        <v>1602.7</v>
      </c>
      <c r="AT33" s="65">
        <f t="shared" si="19"/>
        <v>2083.9</v>
      </c>
      <c r="AU33" s="11">
        <f t="shared" si="8"/>
        <v>130.02433393648218</v>
      </c>
      <c r="AV33" s="65">
        <f t="shared" si="20"/>
        <v>-481.20000000000005</v>
      </c>
      <c r="AW33" s="18">
        <f t="shared" si="21"/>
        <v>-11.099999999999909</v>
      </c>
      <c r="AX33" s="19"/>
    </row>
    <row r="34" spans="1:51" ht="24.75" customHeight="1">
      <c r="A34" s="63"/>
      <c r="B34" s="69" t="s">
        <v>157</v>
      </c>
      <c r="C34" s="71">
        <v>397.5</v>
      </c>
      <c r="D34" s="38">
        <v>194</v>
      </c>
      <c r="E34" s="38">
        <v>0</v>
      </c>
      <c r="F34" s="11">
        <f>E34/D34*100</f>
        <v>0</v>
      </c>
      <c r="G34" s="38">
        <v>196.5</v>
      </c>
      <c r="H34" s="38">
        <v>599.6</v>
      </c>
      <c r="I34" s="11">
        <f t="shared" si="1"/>
        <v>305.1399491094148</v>
      </c>
      <c r="J34" s="38">
        <v>190.9</v>
      </c>
      <c r="K34" s="38">
        <v>0</v>
      </c>
      <c r="L34" s="11">
        <f t="shared" si="23"/>
        <v>0</v>
      </c>
      <c r="M34" s="80">
        <f t="shared" si="12"/>
        <v>581.4</v>
      </c>
      <c r="N34" s="80">
        <f t="shared" si="13"/>
        <v>599.6</v>
      </c>
      <c r="O34" s="11">
        <f t="shared" si="9"/>
        <v>103.13037495700034</v>
      </c>
      <c r="P34" s="38">
        <v>134.8</v>
      </c>
      <c r="Q34" s="38">
        <v>0</v>
      </c>
      <c r="R34" s="11">
        <f t="shared" si="24"/>
        <v>0</v>
      </c>
      <c r="S34" s="38">
        <v>-371.9</v>
      </c>
      <c r="T34" s="38">
        <v>514.13445</v>
      </c>
      <c r="U34" s="11">
        <f t="shared" si="25"/>
        <v>-138.24534821188493</v>
      </c>
      <c r="V34" s="38">
        <v>46.54111</v>
      </c>
      <c r="W34" s="38">
        <v>100</v>
      </c>
      <c r="X34" s="11">
        <f t="shared" si="26"/>
        <v>214.8638053540193</v>
      </c>
      <c r="Y34" s="80">
        <f>P34+S34+V34</f>
        <v>-190.55888999999996</v>
      </c>
      <c r="Z34" s="80">
        <f>Q34+T34+W34</f>
        <v>614.13445</v>
      </c>
      <c r="AA34" s="11">
        <f>Z34/Y34*100</f>
        <v>-322.2806608497773</v>
      </c>
      <c r="AB34" s="38">
        <v>52.4</v>
      </c>
      <c r="AC34" s="38">
        <v>0</v>
      </c>
      <c r="AD34" s="11">
        <f t="shared" si="30"/>
        <v>0</v>
      </c>
      <c r="AE34" s="38">
        <v>26.3</v>
      </c>
      <c r="AF34" s="38">
        <v>0</v>
      </c>
      <c r="AG34" s="11">
        <f t="shared" si="31"/>
        <v>0</v>
      </c>
      <c r="AH34" s="38">
        <v>27.4</v>
      </c>
      <c r="AI34" s="38">
        <v>0</v>
      </c>
      <c r="AJ34" s="80">
        <f t="shared" si="16"/>
        <v>106.1</v>
      </c>
      <c r="AK34" s="80">
        <f t="shared" si="17"/>
        <v>0</v>
      </c>
      <c r="AL34" s="11">
        <f t="shared" si="32"/>
        <v>0</v>
      </c>
      <c r="AM34" s="38">
        <v>-25.9</v>
      </c>
      <c r="AN34" s="38">
        <v>0</v>
      </c>
      <c r="AO34" s="38">
        <v>114.7</v>
      </c>
      <c r="AP34" s="38">
        <v>0</v>
      </c>
      <c r="AQ34" s="38">
        <v>69</v>
      </c>
      <c r="AR34" s="38">
        <v>0</v>
      </c>
      <c r="AS34" s="65">
        <f t="shared" si="18"/>
        <v>654.74111</v>
      </c>
      <c r="AT34" s="65">
        <f t="shared" si="19"/>
        <v>1213.73445</v>
      </c>
      <c r="AU34" s="11">
        <f t="shared" si="8"/>
        <v>185.37623977819263</v>
      </c>
      <c r="AV34" s="65">
        <f t="shared" si="20"/>
        <v>-558.9933399999999</v>
      </c>
      <c r="AW34" s="18">
        <f t="shared" si="21"/>
        <v>-161.49334</v>
      </c>
      <c r="AX34" s="19">
        <f>M34+Y34+AB34+AE34+AH34</f>
        <v>496.94111</v>
      </c>
      <c r="AY34" s="19">
        <f>N34+Z34+AC34+AF34+AI34</f>
        <v>1213.73445</v>
      </c>
    </row>
    <row r="35" spans="1:50" ht="24.75" customHeight="1">
      <c r="A35" s="63">
        <v>26</v>
      </c>
      <c r="B35" s="69" t="s">
        <v>74</v>
      </c>
      <c r="C35" s="71">
        <v>-508.6</v>
      </c>
      <c r="D35" s="37">
        <v>400.7</v>
      </c>
      <c r="E35" s="37">
        <v>0</v>
      </c>
      <c r="F35" s="11">
        <f t="shared" si="0"/>
        <v>0</v>
      </c>
      <c r="G35" s="38">
        <v>380.1</v>
      </c>
      <c r="H35" s="38">
        <v>10.9</v>
      </c>
      <c r="I35" s="11">
        <f t="shared" si="1"/>
        <v>2.8676664035780055</v>
      </c>
      <c r="J35" s="38">
        <v>412.7</v>
      </c>
      <c r="K35" s="38">
        <v>68.2</v>
      </c>
      <c r="L35" s="11">
        <f t="shared" si="23"/>
        <v>16.525321056457475</v>
      </c>
      <c r="M35" s="80">
        <f t="shared" si="12"/>
        <v>1193.5</v>
      </c>
      <c r="N35" s="80">
        <f t="shared" si="13"/>
        <v>79.10000000000001</v>
      </c>
      <c r="O35" s="11">
        <f t="shared" si="9"/>
        <v>6.627565982404693</v>
      </c>
      <c r="P35" s="38">
        <v>306.4</v>
      </c>
      <c r="Q35" s="38">
        <v>288.6</v>
      </c>
      <c r="R35" s="11">
        <f t="shared" si="24"/>
        <v>94.19060052219322</v>
      </c>
      <c r="S35" s="38">
        <v>-66.7</v>
      </c>
      <c r="T35" s="38">
        <v>547.8</v>
      </c>
      <c r="U35" s="11">
        <f t="shared" si="25"/>
        <v>-821.2893553223387</v>
      </c>
      <c r="V35" s="38">
        <v>-125.3</v>
      </c>
      <c r="W35" s="38">
        <v>-0.1</v>
      </c>
      <c r="X35" s="11">
        <f t="shared" si="26"/>
        <v>0.07980845969672785</v>
      </c>
      <c r="Y35" s="80">
        <f t="shared" si="27"/>
        <v>114.39999999999999</v>
      </c>
      <c r="Z35" s="80">
        <f t="shared" si="28"/>
        <v>836.3</v>
      </c>
      <c r="AA35" s="11">
        <f t="shared" si="29"/>
        <v>731.0314685314686</v>
      </c>
      <c r="AB35" s="38">
        <v>30.8</v>
      </c>
      <c r="AC35" s="38">
        <v>57.9</v>
      </c>
      <c r="AD35" s="11">
        <f t="shared" si="30"/>
        <v>187.98701298701297</v>
      </c>
      <c r="AE35" s="38">
        <v>48.2</v>
      </c>
      <c r="AF35" s="38">
        <v>0</v>
      </c>
      <c r="AG35" s="11">
        <f t="shared" si="31"/>
        <v>0</v>
      </c>
      <c r="AH35" s="38">
        <v>67.9</v>
      </c>
      <c r="AI35" s="38">
        <v>101.8</v>
      </c>
      <c r="AJ35" s="80">
        <f t="shared" si="16"/>
        <v>146.9</v>
      </c>
      <c r="AK35" s="80">
        <f t="shared" si="17"/>
        <v>159.7</v>
      </c>
      <c r="AL35" s="11">
        <f t="shared" si="32"/>
        <v>108.71341048332197</v>
      </c>
      <c r="AM35" s="38">
        <v>64</v>
      </c>
      <c r="AN35" s="38">
        <v>0</v>
      </c>
      <c r="AO35" s="38">
        <v>209.1</v>
      </c>
      <c r="AP35" s="38">
        <v>0</v>
      </c>
      <c r="AQ35" s="38">
        <v>255.5</v>
      </c>
      <c r="AR35" s="38">
        <v>0</v>
      </c>
      <c r="AS35" s="65">
        <f t="shared" si="18"/>
        <v>1983.4</v>
      </c>
      <c r="AT35" s="65">
        <f t="shared" si="19"/>
        <v>1075.1</v>
      </c>
      <c r="AU35" s="11">
        <f t="shared" si="8"/>
        <v>54.20490067560754</v>
      </c>
      <c r="AV35" s="65">
        <f t="shared" si="20"/>
        <v>908.3000000000002</v>
      </c>
      <c r="AW35" s="18">
        <f t="shared" si="21"/>
        <v>399.7000000000003</v>
      </c>
      <c r="AX35" s="19"/>
    </row>
    <row r="36" spans="1:50" ht="24.75" customHeight="1">
      <c r="A36" s="63">
        <v>27</v>
      </c>
      <c r="B36" s="64" t="s">
        <v>75</v>
      </c>
      <c r="C36" s="14">
        <f>-64.5+861.8</f>
        <v>797.3</v>
      </c>
      <c r="D36" s="72">
        <v>294.3</v>
      </c>
      <c r="E36" s="72">
        <v>0</v>
      </c>
      <c r="F36" s="11">
        <f t="shared" si="0"/>
        <v>0</v>
      </c>
      <c r="G36" s="38">
        <v>300.2</v>
      </c>
      <c r="H36" s="38">
        <v>1156.1</v>
      </c>
      <c r="I36" s="68">
        <f t="shared" si="1"/>
        <v>385.10992671552293</v>
      </c>
      <c r="J36" s="38">
        <v>292.6</v>
      </c>
      <c r="K36" s="38">
        <v>0</v>
      </c>
      <c r="L36" s="68">
        <f t="shared" si="23"/>
        <v>0</v>
      </c>
      <c r="M36" s="80">
        <f t="shared" si="12"/>
        <v>887.1</v>
      </c>
      <c r="N36" s="80">
        <f t="shared" si="13"/>
        <v>1156.1</v>
      </c>
      <c r="O36" s="11">
        <f t="shared" si="9"/>
        <v>130.32352609626875</v>
      </c>
      <c r="P36" s="38">
        <v>412.4</v>
      </c>
      <c r="Q36" s="38">
        <v>259.5</v>
      </c>
      <c r="R36" s="128">
        <f t="shared" si="24"/>
        <v>62.9243452958293</v>
      </c>
      <c r="S36" s="38">
        <v>0.3</v>
      </c>
      <c r="T36" s="38">
        <v>364</v>
      </c>
      <c r="U36" s="128">
        <f t="shared" si="25"/>
        <v>121333.33333333334</v>
      </c>
      <c r="V36" s="38">
        <v>-787.2</v>
      </c>
      <c r="W36" s="38">
        <v>381.9</v>
      </c>
      <c r="X36" s="128">
        <f t="shared" si="26"/>
        <v>-48.51371951219512</v>
      </c>
      <c r="Y36" s="80">
        <f t="shared" si="27"/>
        <v>-374.50000000000006</v>
      </c>
      <c r="Z36" s="80">
        <f t="shared" si="28"/>
        <v>1005.4</v>
      </c>
      <c r="AA36" s="11">
        <f t="shared" si="29"/>
        <v>-268.4646194926568</v>
      </c>
      <c r="AB36" s="38">
        <v>94.8</v>
      </c>
      <c r="AC36" s="38">
        <v>0</v>
      </c>
      <c r="AD36" s="128">
        <f t="shared" si="30"/>
        <v>0</v>
      </c>
      <c r="AE36" s="38">
        <v>43</v>
      </c>
      <c r="AF36" s="38">
        <v>0</v>
      </c>
      <c r="AG36" s="11">
        <f t="shared" si="31"/>
        <v>0</v>
      </c>
      <c r="AH36" s="38">
        <v>35.4</v>
      </c>
      <c r="AI36" s="38">
        <v>0</v>
      </c>
      <c r="AJ36" s="80">
        <f t="shared" si="16"/>
        <v>173.20000000000002</v>
      </c>
      <c r="AK36" s="80">
        <f t="shared" si="17"/>
        <v>0</v>
      </c>
      <c r="AL36" s="11">
        <f t="shared" si="32"/>
        <v>0</v>
      </c>
      <c r="AM36" s="38">
        <v>-54.6</v>
      </c>
      <c r="AN36" s="38">
        <v>0</v>
      </c>
      <c r="AO36" s="38">
        <v>300.8</v>
      </c>
      <c r="AP36" s="38">
        <v>0</v>
      </c>
      <c r="AQ36" s="38">
        <v>260.3</v>
      </c>
      <c r="AR36" s="38">
        <v>0</v>
      </c>
      <c r="AS36" s="65">
        <f t="shared" si="18"/>
        <v>1192.3</v>
      </c>
      <c r="AT36" s="65">
        <f t="shared" si="19"/>
        <v>2161.5</v>
      </c>
      <c r="AU36" s="11">
        <f t="shared" si="8"/>
        <v>181.28826637591212</v>
      </c>
      <c r="AV36" s="65">
        <f t="shared" si="20"/>
        <v>-969.2</v>
      </c>
      <c r="AW36" s="18">
        <f t="shared" si="21"/>
        <v>-171.9000000000001</v>
      </c>
      <c r="AX36" s="19"/>
    </row>
    <row r="37" spans="1:50" ht="24.75" customHeight="1">
      <c r="A37" s="63">
        <v>28</v>
      </c>
      <c r="B37" s="69" t="s">
        <v>76</v>
      </c>
      <c r="C37" s="14">
        <v>3367.4</v>
      </c>
      <c r="D37" s="38">
        <v>1137.7</v>
      </c>
      <c r="E37" s="38">
        <v>0</v>
      </c>
      <c r="F37" s="11">
        <f t="shared" si="0"/>
        <v>0</v>
      </c>
      <c r="G37" s="38">
        <v>1102.9</v>
      </c>
      <c r="H37" s="38">
        <v>3385.4</v>
      </c>
      <c r="I37" s="11">
        <f t="shared" si="1"/>
        <v>306.95439296400394</v>
      </c>
      <c r="J37" s="38">
        <v>1113.9</v>
      </c>
      <c r="K37" s="38">
        <v>0</v>
      </c>
      <c r="L37" s="11">
        <f t="shared" si="23"/>
        <v>0</v>
      </c>
      <c r="M37" s="80">
        <f t="shared" si="12"/>
        <v>3354.5000000000005</v>
      </c>
      <c r="N37" s="80">
        <f t="shared" si="13"/>
        <v>3385.4</v>
      </c>
      <c r="O37" s="11">
        <f t="shared" si="9"/>
        <v>100.92115069309881</v>
      </c>
      <c r="P37" s="38">
        <v>940.7</v>
      </c>
      <c r="Q37" s="38">
        <v>822.1</v>
      </c>
      <c r="R37" s="11">
        <f t="shared" si="24"/>
        <v>87.39236738598916</v>
      </c>
      <c r="S37" s="38">
        <f>-6.8-1854.5</f>
        <v>-1861.3</v>
      </c>
      <c r="T37" s="38">
        <v>1400.5</v>
      </c>
      <c r="U37" s="11">
        <f t="shared" si="25"/>
        <v>-75.24310965454252</v>
      </c>
      <c r="V37" s="38">
        <v>128.8</v>
      </c>
      <c r="W37" s="38">
        <v>201.6</v>
      </c>
      <c r="X37" s="11">
        <f t="shared" si="26"/>
        <v>156.52173913043475</v>
      </c>
      <c r="Y37" s="80">
        <f t="shared" si="27"/>
        <v>-791.8</v>
      </c>
      <c r="Z37" s="80">
        <f t="shared" si="28"/>
        <v>2424.2</v>
      </c>
      <c r="AA37" s="11">
        <f t="shared" si="29"/>
        <v>-306.1631725183127</v>
      </c>
      <c r="AB37" s="38">
        <v>285.2</v>
      </c>
      <c r="AC37" s="38">
        <v>128.3</v>
      </c>
      <c r="AD37" s="11">
        <f t="shared" si="30"/>
        <v>44.985974754558214</v>
      </c>
      <c r="AE37" s="38">
        <v>285.1</v>
      </c>
      <c r="AF37" s="38">
        <v>223.6</v>
      </c>
      <c r="AG37" s="11">
        <f t="shared" si="31"/>
        <v>78.42862153630304</v>
      </c>
      <c r="AH37" s="38">
        <v>312.2</v>
      </c>
      <c r="AI37" s="38">
        <v>162.9</v>
      </c>
      <c r="AJ37" s="80">
        <f aca="true" t="shared" si="33" ref="AJ37:AK42">AB37+AE37+AH37</f>
        <v>882.5</v>
      </c>
      <c r="AK37" s="80">
        <f t="shared" si="33"/>
        <v>514.8</v>
      </c>
      <c r="AL37" s="11">
        <f t="shared" si="32"/>
        <v>58.33427762039659</v>
      </c>
      <c r="AM37" s="38">
        <v>946.4</v>
      </c>
      <c r="AN37" s="38">
        <v>167.8</v>
      </c>
      <c r="AO37" s="38">
        <v>1161.5</v>
      </c>
      <c r="AP37" s="38">
        <v>320.5</v>
      </c>
      <c r="AQ37" s="38">
        <v>1380.5</v>
      </c>
      <c r="AR37" s="38">
        <v>946.3</v>
      </c>
      <c r="AS37" s="65">
        <f t="shared" si="18"/>
        <v>6933.6</v>
      </c>
      <c r="AT37" s="65">
        <f t="shared" si="19"/>
        <v>7759.000000000001</v>
      </c>
      <c r="AU37" s="11">
        <f t="shared" si="8"/>
        <v>111.90434983269874</v>
      </c>
      <c r="AV37" s="65">
        <f t="shared" si="20"/>
        <v>-825.4000000000005</v>
      </c>
      <c r="AW37" s="18">
        <f t="shared" si="21"/>
        <v>2541.999999999999</v>
      </c>
      <c r="AX37" s="19"/>
    </row>
    <row r="38" spans="1:50" ht="24.75" customHeight="1">
      <c r="A38" s="63">
        <v>29</v>
      </c>
      <c r="B38" s="69" t="s">
        <v>57</v>
      </c>
      <c r="C38" s="14">
        <f>1397.4+(-26.2)</f>
        <v>1371.2</v>
      </c>
      <c r="D38" s="38">
        <v>1371.3</v>
      </c>
      <c r="E38" s="38">
        <v>0</v>
      </c>
      <c r="F38" s="11">
        <f t="shared" si="0"/>
        <v>0</v>
      </c>
      <c r="G38" s="38">
        <v>1567.7</v>
      </c>
      <c r="H38" s="38">
        <v>2342</v>
      </c>
      <c r="I38" s="11">
        <f t="shared" si="1"/>
        <v>149.39082732665688</v>
      </c>
      <c r="J38" s="38">
        <v>1570.6</v>
      </c>
      <c r="K38" s="38">
        <v>97.6</v>
      </c>
      <c r="L38" s="11">
        <f t="shared" si="23"/>
        <v>6.2141856615306255</v>
      </c>
      <c r="M38" s="80">
        <f t="shared" si="12"/>
        <v>4509.6</v>
      </c>
      <c r="N38" s="80">
        <f t="shared" si="13"/>
        <v>2439.6</v>
      </c>
      <c r="O38" s="11">
        <f t="shared" si="9"/>
        <v>54.097924427887165</v>
      </c>
      <c r="P38" s="38">
        <v>1165.6</v>
      </c>
      <c r="Q38" s="38">
        <v>1449.4</v>
      </c>
      <c r="R38" s="11">
        <f t="shared" si="24"/>
        <v>124.34797529169528</v>
      </c>
      <c r="S38" s="38">
        <v>-4048.9</v>
      </c>
      <c r="T38" s="38">
        <v>2364.8</v>
      </c>
      <c r="U38" s="11">
        <f t="shared" si="25"/>
        <v>-58.40598681123268</v>
      </c>
      <c r="V38" s="38">
        <v>107.1</v>
      </c>
      <c r="W38" s="38">
        <v>1093.1</v>
      </c>
      <c r="X38" s="11">
        <f t="shared" si="26"/>
        <v>1020.6349206349206</v>
      </c>
      <c r="Y38" s="80">
        <f t="shared" si="27"/>
        <v>-2776.2000000000003</v>
      </c>
      <c r="Z38" s="80">
        <f t="shared" si="28"/>
        <v>4907.3</v>
      </c>
      <c r="AA38" s="11">
        <f t="shared" si="29"/>
        <v>-176.7632014984511</v>
      </c>
      <c r="AB38" s="38">
        <v>328.7</v>
      </c>
      <c r="AC38" s="38">
        <v>0</v>
      </c>
      <c r="AD38" s="11">
        <f t="shared" si="30"/>
        <v>0</v>
      </c>
      <c r="AE38" s="38">
        <v>353.8</v>
      </c>
      <c r="AF38" s="38">
        <v>0</v>
      </c>
      <c r="AG38" s="11">
        <f t="shared" si="31"/>
        <v>0</v>
      </c>
      <c r="AH38" s="38">
        <v>341</v>
      </c>
      <c r="AI38" s="38">
        <v>0</v>
      </c>
      <c r="AJ38" s="80">
        <f t="shared" si="33"/>
        <v>1023.5</v>
      </c>
      <c r="AK38" s="80">
        <f t="shared" si="33"/>
        <v>0</v>
      </c>
      <c r="AL38" s="11">
        <f t="shared" si="32"/>
        <v>0</v>
      </c>
      <c r="AM38" s="38">
        <v>-75.4</v>
      </c>
      <c r="AN38" s="38">
        <v>0</v>
      </c>
      <c r="AO38" s="38">
        <v>695.4</v>
      </c>
      <c r="AP38" s="38">
        <v>0</v>
      </c>
      <c r="AQ38" s="38">
        <v>1150.7</v>
      </c>
      <c r="AR38" s="38">
        <v>0</v>
      </c>
      <c r="AS38" s="65">
        <f t="shared" si="18"/>
        <v>4527.6</v>
      </c>
      <c r="AT38" s="65">
        <f t="shared" si="19"/>
        <v>7346.9</v>
      </c>
      <c r="AU38" s="11">
        <f t="shared" si="8"/>
        <v>162.26919339164235</v>
      </c>
      <c r="AV38" s="65">
        <f t="shared" si="20"/>
        <v>-2819.2999999999993</v>
      </c>
      <c r="AW38" s="18">
        <f t="shared" si="21"/>
        <v>-1448.0999999999995</v>
      </c>
      <c r="AX38" s="19"/>
    </row>
    <row r="39" spans="1:50" ht="24.75" customHeight="1">
      <c r="A39" s="63">
        <v>30</v>
      </c>
      <c r="B39" s="69" t="s">
        <v>10</v>
      </c>
      <c r="C39" s="14">
        <f>9477.9-942.1</f>
        <v>8535.8</v>
      </c>
      <c r="D39" s="38">
        <v>3753.8</v>
      </c>
      <c r="E39" s="38">
        <v>0</v>
      </c>
      <c r="F39" s="11">
        <f t="shared" si="0"/>
        <v>0</v>
      </c>
      <c r="G39" s="38">
        <v>3721.4</v>
      </c>
      <c r="H39" s="38">
        <v>2523.8</v>
      </c>
      <c r="I39" s="11">
        <f t="shared" si="1"/>
        <v>67.81856290643307</v>
      </c>
      <c r="J39" s="38">
        <v>3721</v>
      </c>
      <c r="K39" s="38">
        <v>6090.7</v>
      </c>
      <c r="L39" s="11">
        <f t="shared" si="23"/>
        <v>163.68449341574845</v>
      </c>
      <c r="M39" s="80">
        <f t="shared" si="12"/>
        <v>11196.2</v>
      </c>
      <c r="N39" s="80">
        <f t="shared" si="13"/>
        <v>8614.5</v>
      </c>
      <c r="O39" s="11">
        <f t="shared" si="9"/>
        <v>76.94128364980976</v>
      </c>
      <c r="P39" s="38">
        <v>2856.5</v>
      </c>
      <c r="Q39" s="38">
        <v>1940</v>
      </c>
      <c r="R39" s="11">
        <f t="shared" si="24"/>
        <v>67.9152809382111</v>
      </c>
      <c r="S39" s="38">
        <v>-10722</v>
      </c>
      <c r="T39" s="38">
        <v>2555.7</v>
      </c>
      <c r="U39" s="11">
        <f t="shared" si="25"/>
        <v>-23.836038052602124</v>
      </c>
      <c r="V39" s="38">
        <v>1432.7</v>
      </c>
      <c r="W39" s="38">
        <v>0</v>
      </c>
      <c r="X39" s="11">
        <f t="shared" si="26"/>
        <v>0</v>
      </c>
      <c r="Y39" s="80">
        <f t="shared" si="27"/>
        <v>-6432.8</v>
      </c>
      <c r="Z39" s="80">
        <f t="shared" si="28"/>
        <v>4495.7</v>
      </c>
      <c r="AA39" s="11">
        <f t="shared" si="29"/>
        <v>-69.88714090287277</v>
      </c>
      <c r="AB39" s="38">
        <v>1350.9</v>
      </c>
      <c r="AC39" s="38">
        <v>195.2</v>
      </c>
      <c r="AD39" s="11">
        <f t="shared" si="30"/>
        <v>14.449626175142496</v>
      </c>
      <c r="AE39" s="38">
        <v>901.9</v>
      </c>
      <c r="AF39" s="38">
        <v>1350.9</v>
      </c>
      <c r="AG39" s="11">
        <f t="shared" si="31"/>
        <v>149.78378977713717</v>
      </c>
      <c r="AH39" s="38">
        <v>1197.5</v>
      </c>
      <c r="AI39" s="38">
        <v>901.8</v>
      </c>
      <c r="AJ39" s="80">
        <f t="shared" si="33"/>
        <v>3450.3</v>
      </c>
      <c r="AK39" s="80">
        <f t="shared" si="33"/>
        <v>2447.9</v>
      </c>
      <c r="AL39" s="11">
        <f t="shared" si="32"/>
        <v>70.94745384459323</v>
      </c>
      <c r="AM39" s="38">
        <v>-1292.6</v>
      </c>
      <c r="AN39" s="38">
        <v>1196.5</v>
      </c>
      <c r="AO39" s="38">
        <v>3101.8</v>
      </c>
      <c r="AP39" s="38">
        <v>0</v>
      </c>
      <c r="AQ39" s="38">
        <v>2340.3</v>
      </c>
      <c r="AR39" s="38">
        <v>1804.3</v>
      </c>
      <c r="AS39" s="65">
        <f t="shared" si="18"/>
        <v>12363.2</v>
      </c>
      <c r="AT39" s="65">
        <f t="shared" si="19"/>
        <v>18558.899999999998</v>
      </c>
      <c r="AU39" s="11">
        <f t="shared" si="8"/>
        <v>150.11404814287562</v>
      </c>
      <c r="AV39" s="65">
        <f t="shared" si="20"/>
        <v>-6195.699999999997</v>
      </c>
      <c r="AW39" s="18">
        <f t="shared" si="21"/>
        <v>2340.100000000002</v>
      </c>
      <c r="AX39" s="19"/>
    </row>
    <row r="40" spans="1:50" ht="24.75" customHeight="1">
      <c r="A40" s="63">
        <v>31</v>
      </c>
      <c r="B40" s="69" t="s">
        <v>77</v>
      </c>
      <c r="C40" s="14">
        <v>554.9</v>
      </c>
      <c r="D40" s="38">
        <v>260.8</v>
      </c>
      <c r="E40" s="38">
        <v>0</v>
      </c>
      <c r="F40" s="11">
        <f t="shared" si="0"/>
        <v>0</v>
      </c>
      <c r="G40" s="38">
        <v>242.3</v>
      </c>
      <c r="H40" s="38">
        <v>554.9</v>
      </c>
      <c r="I40" s="11">
        <f t="shared" si="1"/>
        <v>229.01361947998348</v>
      </c>
      <c r="J40" s="38">
        <v>250</v>
      </c>
      <c r="K40" s="38">
        <v>0</v>
      </c>
      <c r="L40" s="11">
        <f t="shared" si="23"/>
        <v>0</v>
      </c>
      <c r="M40" s="80">
        <f t="shared" si="12"/>
        <v>753.1</v>
      </c>
      <c r="N40" s="80">
        <f t="shared" si="13"/>
        <v>554.9</v>
      </c>
      <c r="O40" s="11">
        <f t="shared" si="9"/>
        <v>73.68211392909308</v>
      </c>
      <c r="P40" s="38">
        <v>194.6</v>
      </c>
      <c r="Q40" s="38">
        <v>289.2</v>
      </c>
      <c r="R40" s="11">
        <f t="shared" si="24"/>
        <v>148.6125385405961</v>
      </c>
      <c r="S40" s="38">
        <v>-502.9</v>
      </c>
      <c r="T40" s="38">
        <v>469.7</v>
      </c>
      <c r="U40" s="11">
        <f t="shared" si="25"/>
        <v>-93.39828991847286</v>
      </c>
      <c r="V40" s="38">
        <v>6.6</v>
      </c>
      <c r="W40" s="38">
        <v>0</v>
      </c>
      <c r="X40" s="11">
        <f t="shared" si="26"/>
        <v>0</v>
      </c>
      <c r="Y40" s="80">
        <f t="shared" si="27"/>
        <v>-301.69999999999993</v>
      </c>
      <c r="Z40" s="80">
        <f t="shared" si="28"/>
        <v>758.9</v>
      </c>
      <c r="AA40" s="11">
        <f t="shared" si="29"/>
        <v>-251.54126615843558</v>
      </c>
      <c r="AB40" s="38">
        <v>6.5</v>
      </c>
      <c r="AC40" s="38">
        <v>0</v>
      </c>
      <c r="AD40" s="11">
        <f t="shared" si="30"/>
        <v>0</v>
      </c>
      <c r="AE40" s="38">
        <v>22.9</v>
      </c>
      <c r="AF40" s="38">
        <v>0</v>
      </c>
      <c r="AG40" s="11">
        <f t="shared" si="31"/>
        <v>0</v>
      </c>
      <c r="AH40" s="38">
        <v>4.2</v>
      </c>
      <c r="AI40" s="38">
        <v>0</v>
      </c>
      <c r="AJ40" s="80">
        <f t="shared" si="33"/>
        <v>33.6</v>
      </c>
      <c r="AK40" s="80">
        <f t="shared" si="33"/>
        <v>0</v>
      </c>
      <c r="AL40" s="11">
        <f t="shared" si="32"/>
        <v>0</v>
      </c>
      <c r="AM40" s="38">
        <v>14.9</v>
      </c>
      <c r="AN40" s="38">
        <v>0</v>
      </c>
      <c r="AO40" s="38">
        <v>134.5</v>
      </c>
      <c r="AP40" s="38">
        <v>0</v>
      </c>
      <c r="AQ40" s="38">
        <v>126</v>
      </c>
      <c r="AR40" s="38">
        <v>0</v>
      </c>
      <c r="AS40" s="65">
        <f t="shared" si="18"/>
        <v>760.4000000000001</v>
      </c>
      <c r="AT40" s="65">
        <f t="shared" si="19"/>
        <v>1313.8</v>
      </c>
      <c r="AU40" s="11">
        <f t="shared" si="8"/>
        <v>172.77748553392948</v>
      </c>
      <c r="AV40" s="65">
        <f t="shared" si="20"/>
        <v>-553.3999999999999</v>
      </c>
      <c r="AW40" s="18">
        <f t="shared" si="21"/>
        <v>1.5000000000002274</v>
      </c>
      <c r="AX40" s="19"/>
    </row>
    <row r="41" spans="1:50" ht="24.75" customHeight="1">
      <c r="A41" s="63">
        <v>32</v>
      </c>
      <c r="B41" s="64" t="s">
        <v>78</v>
      </c>
      <c r="C41" s="14">
        <v>2084.5</v>
      </c>
      <c r="D41" s="38">
        <v>1859.2</v>
      </c>
      <c r="E41" s="38">
        <v>0</v>
      </c>
      <c r="F41" s="11">
        <f t="shared" si="0"/>
        <v>0</v>
      </c>
      <c r="G41" s="38">
        <v>1862.5</v>
      </c>
      <c r="H41" s="38">
        <v>3730.4</v>
      </c>
      <c r="I41" s="68">
        <f t="shared" si="1"/>
        <v>200.28993288590607</v>
      </c>
      <c r="J41" s="38">
        <v>1867.6</v>
      </c>
      <c r="K41" s="38">
        <v>0</v>
      </c>
      <c r="L41" s="11">
        <f t="shared" si="23"/>
        <v>0</v>
      </c>
      <c r="M41" s="80">
        <f t="shared" si="12"/>
        <v>5589.299999999999</v>
      </c>
      <c r="N41" s="80">
        <f t="shared" si="13"/>
        <v>3730.4</v>
      </c>
      <c r="O41" s="11">
        <f t="shared" si="9"/>
        <v>66.74181024457447</v>
      </c>
      <c r="P41" s="38">
        <v>1358.1</v>
      </c>
      <c r="Q41" s="38">
        <v>1555.8</v>
      </c>
      <c r="R41" s="128">
        <f t="shared" si="24"/>
        <v>114.55710183344378</v>
      </c>
      <c r="S41" s="38">
        <v>-2274.1</v>
      </c>
      <c r="T41" s="38">
        <v>2387.6</v>
      </c>
      <c r="U41" s="128">
        <f t="shared" si="25"/>
        <v>-104.99098544479135</v>
      </c>
      <c r="V41" s="38">
        <v>72</v>
      </c>
      <c r="W41" s="38">
        <v>0</v>
      </c>
      <c r="X41" s="128">
        <f t="shared" si="26"/>
        <v>0</v>
      </c>
      <c r="Y41" s="80">
        <f t="shared" si="27"/>
        <v>-844</v>
      </c>
      <c r="Z41" s="80">
        <f t="shared" si="28"/>
        <v>3943.3999999999996</v>
      </c>
      <c r="AA41" s="11">
        <f t="shared" si="29"/>
        <v>-467.22748815165875</v>
      </c>
      <c r="AB41" s="38">
        <v>-447.1</v>
      </c>
      <c r="AC41" s="38">
        <v>0</v>
      </c>
      <c r="AD41" s="128">
        <f t="shared" si="30"/>
        <v>0</v>
      </c>
      <c r="AE41" s="38">
        <v>342.3</v>
      </c>
      <c r="AF41" s="38">
        <v>0</v>
      </c>
      <c r="AG41" s="11">
        <f t="shared" si="31"/>
        <v>0</v>
      </c>
      <c r="AH41" s="38">
        <v>640.5</v>
      </c>
      <c r="AI41" s="38">
        <v>0</v>
      </c>
      <c r="AJ41" s="80">
        <f t="shared" si="33"/>
        <v>535.7</v>
      </c>
      <c r="AK41" s="80">
        <f t="shared" si="33"/>
        <v>0</v>
      </c>
      <c r="AL41" s="11">
        <f t="shared" si="32"/>
        <v>0</v>
      </c>
      <c r="AM41" s="38">
        <v>437.7</v>
      </c>
      <c r="AN41" s="38">
        <v>0</v>
      </c>
      <c r="AO41" s="38">
        <v>921.2</v>
      </c>
      <c r="AP41" s="38">
        <v>129.4</v>
      </c>
      <c r="AQ41" s="38">
        <v>905.2</v>
      </c>
      <c r="AR41" s="38">
        <v>921.2</v>
      </c>
      <c r="AS41" s="65">
        <f t="shared" si="18"/>
        <v>7545.0999999999985</v>
      </c>
      <c r="AT41" s="65">
        <f t="shared" si="19"/>
        <v>8724.4</v>
      </c>
      <c r="AU41" s="11">
        <f t="shared" si="8"/>
        <v>115.6300115306623</v>
      </c>
      <c r="AV41" s="65">
        <f t="shared" si="20"/>
        <v>-1179.300000000001</v>
      </c>
      <c r="AW41" s="18">
        <f t="shared" si="21"/>
        <v>905.1999999999989</v>
      </c>
      <c r="AX41" s="19"/>
    </row>
    <row r="42" spans="1:50" ht="24.75" customHeight="1">
      <c r="A42" s="63">
        <v>33</v>
      </c>
      <c r="B42" s="69" t="s">
        <v>58</v>
      </c>
      <c r="C42" s="14">
        <v>886.8</v>
      </c>
      <c r="D42" s="38">
        <v>772.6</v>
      </c>
      <c r="E42" s="38">
        <v>0</v>
      </c>
      <c r="F42" s="11">
        <f>E42/D42*100</f>
        <v>0</v>
      </c>
      <c r="G42" s="38">
        <v>754.8</v>
      </c>
      <c r="H42" s="38">
        <v>1561.9</v>
      </c>
      <c r="I42" s="68">
        <f t="shared" si="1"/>
        <v>206.92898781134076</v>
      </c>
      <c r="J42" s="38">
        <v>759</v>
      </c>
      <c r="K42" s="38">
        <v>0</v>
      </c>
      <c r="L42" s="11">
        <f t="shared" si="23"/>
        <v>0</v>
      </c>
      <c r="M42" s="80">
        <f t="shared" si="12"/>
        <v>2286.4</v>
      </c>
      <c r="N42" s="80">
        <f t="shared" si="13"/>
        <v>1561.9</v>
      </c>
      <c r="O42" s="11">
        <f t="shared" si="9"/>
        <v>68.31263121063681</v>
      </c>
      <c r="P42" s="38">
        <v>567.4</v>
      </c>
      <c r="Q42" s="38">
        <v>616</v>
      </c>
      <c r="R42" s="128">
        <f t="shared" si="24"/>
        <v>108.56538597109623</v>
      </c>
      <c r="S42" s="38">
        <v>-864.5</v>
      </c>
      <c r="T42" s="38">
        <v>995.4</v>
      </c>
      <c r="U42" s="128">
        <f t="shared" si="25"/>
        <v>-115.1417004048583</v>
      </c>
      <c r="V42" s="38">
        <v>11.4</v>
      </c>
      <c r="W42" s="38">
        <v>0</v>
      </c>
      <c r="X42" s="128">
        <f t="shared" si="26"/>
        <v>0</v>
      </c>
      <c r="Y42" s="80">
        <f t="shared" si="27"/>
        <v>-285.70000000000005</v>
      </c>
      <c r="Z42" s="80">
        <f t="shared" si="28"/>
        <v>1611.4</v>
      </c>
      <c r="AA42" s="11">
        <f t="shared" si="29"/>
        <v>-564.0182009100455</v>
      </c>
      <c r="AB42" s="38">
        <v>259</v>
      </c>
      <c r="AC42" s="38">
        <v>0</v>
      </c>
      <c r="AD42" s="128">
        <f t="shared" si="30"/>
        <v>0</v>
      </c>
      <c r="AE42" s="38">
        <v>126.7</v>
      </c>
      <c r="AF42" s="38">
        <v>100</v>
      </c>
      <c r="AG42" s="11">
        <f t="shared" si="31"/>
        <v>78.92659826361484</v>
      </c>
      <c r="AH42" s="38">
        <v>124</v>
      </c>
      <c r="AI42" s="38">
        <v>0</v>
      </c>
      <c r="AJ42" s="80">
        <f t="shared" si="33"/>
        <v>509.7</v>
      </c>
      <c r="AK42" s="80">
        <f t="shared" si="33"/>
        <v>100</v>
      </c>
      <c r="AL42" s="11">
        <f t="shared" si="32"/>
        <v>19.619383951343927</v>
      </c>
      <c r="AM42" s="38">
        <v>-64.3</v>
      </c>
      <c r="AN42" s="38">
        <v>124</v>
      </c>
      <c r="AO42" s="38">
        <v>477.3</v>
      </c>
      <c r="AP42" s="38">
        <v>0</v>
      </c>
      <c r="AQ42" s="38">
        <v>379.4</v>
      </c>
      <c r="AR42" s="38">
        <v>413</v>
      </c>
      <c r="AS42" s="65">
        <f t="shared" si="18"/>
        <v>3302.8</v>
      </c>
      <c r="AT42" s="65">
        <f t="shared" si="19"/>
        <v>3810.3</v>
      </c>
      <c r="AU42" s="11">
        <f t="shared" si="8"/>
        <v>115.36575027249607</v>
      </c>
      <c r="AV42" s="65">
        <f t="shared" si="20"/>
        <v>-507.5</v>
      </c>
      <c r="AW42" s="18">
        <f t="shared" si="21"/>
        <v>379.3000000000002</v>
      </c>
      <c r="AX42" s="19"/>
    </row>
    <row r="43" spans="1:50" s="12" customFormat="1" ht="24.75" customHeight="1">
      <c r="A43" s="63">
        <v>34</v>
      </c>
      <c r="B43" s="26" t="s">
        <v>7</v>
      </c>
      <c r="C43" s="18">
        <f>SUM(C44:C44)</f>
        <v>12453.5</v>
      </c>
      <c r="D43" s="18">
        <f>SUM(D44:D44)</f>
        <v>12802.3</v>
      </c>
      <c r="E43" s="18">
        <f>SUM(E44:E44)</f>
        <v>0</v>
      </c>
      <c r="F43" s="11">
        <f t="shared" si="0"/>
        <v>0</v>
      </c>
      <c r="G43" s="18">
        <f>SUM(G44:G44)</f>
        <v>11484.3</v>
      </c>
      <c r="H43" s="18">
        <f>SUM(H44:H44)</f>
        <v>15936.8</v>
      </c>
      <c r="I43" s="11">
        <f t="shared" si="1"/>
        <v>138.7703212211454</v>
      </c>
      <c r="J43" s="18">
        <f>SUM(J44:J44)</f>
        <v>10524.1</v>
      </c>
      <c r="K43" s="18">
        <f>SUM(K44:K44)</f>
        <v>0</v>
      </c>
      <c r="L43" s="11">
        <f t="shared" si="23"/>
        <v>0</v>
      </c>
      <c r="M43" s="18">
        <f>SUM(M44:M44)</f>
        <v>34810.7</v>
      </c>
      <c r="N43" s="18">
        <f>SUM(N44:N44)</f>
        <v>15936.8</v>
      </c>
      <c r="O43" s="11">
        <f t="shared" si="9"/>
        <v>45.78132585670498</v>
      </c>
      <c r="P43" s="18">
        <f>SUM(P44:P44)</f>
        <v>7932.4</v>
      </c>
      <c r="Q43" s="18">
        <f>SUM(Q44:Q44)</f>
        <v>11449</v>
      </c>
      <c r="R43" s="11">
        <f t="shared" si="24"/>
        <v>144.33210629821997</v>
      </c>
      <c r="S43" s="18">
        <f>SUM(S44:S44)</f>
        <v>-14656.1</v>
      </c>
      <c r="T43" s="18">
        <f>SUM(T44:T44)</f>
        <v>17879.8</v>
      </c>
      <c r="U43" s="11">
        <f t="shared" si="25"/>
        <v>-121.995619571373</v>
      </c>
      <c r="V43" s="18">
        <f>SUM(V44:V44)</f>
        <v>1030.1</v>
      </c>
      <c r="W43" s="18">
        <f>SUM(W44:W44)</f>
        <v>4000.3</v>
      </c>
      <c r="X43" s="11">
        <f t="shared" si="26"/>
        <v>388.3409377730318</v>
      </c>
      <c r="Y43" s="18">
        <f>SUM(Y44:Y44)</f>
        <v>-5693.6</v>
      </c>
      <c r="Z43" s="18">
        <f>SUM(Z44:Z44)</f>
        <v>33329.1</v>
      </c>
      <c r="AA43" s="11">
        <f t="shared" si="29"/>
        <v>-585.3783195166502</v>
      </c>
      <c r="AB43" s="18">
        <f>SUM(AB44:AB44)</f>
        <v>1837.9</v>
      </c>
      <c r="AC43" s="18">
        <f>SUM(AC44:AC44)</f>
        <v>0.7</v>
      </c>
      <c r="AD43" s="11">
        <f t="shared" si="30"/>
        <v>0.03808694705914358</v>
      </c>
      <c r="AE43" s="18">
        <f>SUM(AE44:AE44)</f>
        <v>1949.9</v>
      </c>
      <c r="AF43" s="18">
        <f>SUM(AF44:AF44)</f>
        <v>119.5</v>
      </c>
      <c r="AG43" s="11">
        <f t="shared" si="31"/>
        <v>6.128519411251858</v>
      </c>
      <c r="AH43" s="18">
        <f>SUM(AH44:AH44)</f>
        <v>2111.6</v>
      </c>
      <c r="AI43" s="18">
        <f>SUM(AI44:AI44)</f>
        <v>0</v>
      </c>
      <c r="AJ43" s="18">
        <f>SUM(AJ44:AJ44)</f>
        <v>5899.4</v>
      </c>
      <c r="AK43" s="18">
        <f>SUM(AK44:AK44)</f>
        <v>120.2</v>
      </c>
      <c r="AL43" s="11">
        <f t="shared" si="32"/>
        <v>2.037495338509001</v>
      </c>
      <c r="AM43" s="18">
        <f aca="true" t="shared" si="34" ref="AM43:AT43">SUM(AM44:AM44)</f>
        <v>-299.7</v>
      </c>
      <c r="AN43" s="18">
        <f t="shared" si="34"/>
        <v>0.6</v>
      </c>
      <c r="AO43" s="18">
        <f t="shared" si="34"/>
        <v>6427.8</v>
      </c>
      <c r="AP43" s="18">
        <f t="shared" si="34"/>
        <v>358.1</v>
      </c>
      <c r="AQ43" s="18">
        <f t="shared" si="34"/>
        <v>5475</v>
      </c>
      <c r="AR43" s="18">
        <f t="shared" si="34"/>
        <v>3865.5</v>
      </c>
      <c r="AS43" s="18">
        <f t="shared" si="34"/>
        <v>46619.600000000006</v>
      </c>
      <c r="AT43" s="18">
        <f t="shared" si="34"/>
        <v>53610.29999999999</v>
      </c>
      <c r="AU43" s="11">
        <f t="shared" si="8"/>
        <v>114.99519515396955</v>
      </c>
      <c r="AV43" s="18">
        <f>SUM(AV44:AV44)</f>
        <v>-6990.6999999999825</v>
      </c>
      <c r="AW43" s="18">
        <f>SUM(AW44:AW44)</f>
        <v>5462.8000000000175</v>
      </c>
      <c r="AX43" s="42"/>
    </row>
    <row r="44" spans="1:50" s="12" customFormat="1" ht="24.75" customHeight="1">
      <c r="A44" s="73"/>
      <c r="B44" s="74" t="s">
        <v>83</v>
      </c>
      <c r="C44" s="14">
        <v>12453.5</v>
      </c>
      <c r="D44" s="38">
        <v>12802.3</v>
      </c>
      <c r="E44" s="75">
        <v>0</v>
      </c>
      <c r="F44" s="11">
        <f t="shared" si="0"/>
        <v>0</v>
      </c>
      <c r="G44" s="38">
        <v>11484.3</v>
      </c>
      <c r="H44" s="38">
        <v>15936.8</v>
      </c>
      <c r="I44" s="11">
        <f t="shared" si="1"/>
        <v>138.7703212211454</v>
      </c>
      <c r="J44" s="38">
        <v>10524.1</v>
      </c>
      <c r="K44" s="38">
        <v>0</v>
      </c>
      <c r="L44" s="11">
        <f t="shared" si="23"/>
        <v>0</v>
      </c>
      <c r="M44" s="80">
        <f t="shared" si="12"/>
        <v>34810.7</v>
      </c>
      <c r="N44" s="80">
        <f t="shared" si="13"/>
        <v>15936.8</v>
      </c>
      <c r="O44" s="11">
        <f t="shared" si="9"/>
        <v>45.78132585670498</v>
      </c>
      <c r="P44" s="38">
        <v>7932.4</v>
      </c>
      <c r="Q44" s="38">
        <v>11449</v>
      </c>
      <c r="R44" s="11">
        <f t="shared" si="24"/>
        <v>144.33210629821997</v>
      </c>
      <c r="S44" s="38">
        <v>-14656.1</v>
      </c>
      <c r="T44" s="38">
        <v>17879.8</v>
      </c>
      <c r="U44" s="11">
        <f t="shared" si="25"/>
        <v>-121.995619571373</v>
      </c>
      <c r="V44" s="38">
        <v>1030.1</v>
      </c>
      <c r="W44" s="38">
        <v>4000.3</v>
      </c>
      <c r="X44" s="11">
        <f t="shared" si="26"/>
        <v>388.3409377730318</v>
      </c>
      <c r="Y44" s="80">
        <f>P44+S44+V44</f>
        <v>-5693.6</v>
      </c>
      <c r="Z44" s="80">
        <f>Q44+T44+W44</f>
        <v>33329.1</v>
      </c>
      <c r="AA44" s="11">
        <f t="shared" si="29"/>
        <v>-585.3783195166502</v>
      </c>
      <c r="AB44" s="38">
        <v>1837.9</v>
      </c>
      <c r="AC44" s="38">
        <v>0.7</v>
      </c>
      <c r="AD44" s="11">
        <f t="shared" si="30"/>
        <v>0.03808694705914358</v>
      </c>
      <c r="AE44" s="38">
        <v>1949.9</v>
      </c>
      <c r="AF44" s="38">
        <v>119.5</v>
      </c>
      <c r="AG44" s="11">
        <f>AF44/AE44*100</f>
        <v>6.128519411251858</v>
      </c>
      <c r="AH44" s="38">
        <v>2111.6</v>
      </c>
      <c r="AI44" s="38">
        <v>0</v>
      </c>
      <c r="AJ44" s="80">
        <f>AB44+AE44+AH44</f>
        <v>5899.4</v>
      </c>
      <c r="AK44" s="80">
        <f>AC44+AF44+AI44</f>
        <v>120.2</v>
      </c>
      <c r="AL44" s="11">
        <f t="shared" si="32"/>
        <v>2.037495338509001</v>
      </c>
      <c r="AM44" s="38">
        <v>-299.7</v>
      </c>
      <c r="AN44" s="38">
        <v>0.6</v>
      </c>
      <c r="AO44" s="38">
        <v>6427.8</v>
      </c>
      <c r="AP44" s="38">
        <v>358.1</v>
      </c>
      <c r="AQ44" s="38">
        <v>5475</v>
      </c>
      <c r="AR44" s="38">
        <v>3865.5</v>
      </c>
      <c r="AS44" s="65">
        <f>M44+Y44+AJ44+AM44+AO44+AQ44</f>
        <v>46619.600000000006</v>
      </c>
      <c r="AT44" s="65">
        <f>N44+Z44+AK44+AN44+AP44+AR44</f>
        <v>53610.29999999999</v>
      </c>
      <c r="AU44" s="11">
        <f t="shared" si="8"/>
        <v>114.99519515396955</v>
      </c>
      <c r="AV44" s="65">
        <f t="shared" si="20"/>
        <v>-6990.6999999999825</v>
      </c>
      <c r="AW44" s="18">
        <f t="shared" si="21"/>
        <v>5462.8000000000175</v>
      </c>
      <c r="AX44" s="42"/>
    </row>
    <row r="45" spans="1:50" s="12" customFormat="1" ht="33" customHeight="1">
      <c r="A45" s="73"/>
      <c r="B45" s="16" t="s">
        <v>9</v>
      </c>
      <c r="C45" s="18">
        <f>C7+C43</f>
        <v>44086.7</v>
      </c>
      <c r="D45" s="18">
        <f>D7+D43</f>
        <v>30076.399999999998</v>
      </c>
      <c r="E45" s="18">
        <f>E7+E43</f>
        <v>0</v>
      </c>
      <c r="F45" s="11">
        <f t="shared" si="0"/>
        <v>0</v>
      </c>
      <c r="G45" s="18">
        <f>G7+G43</f>
        <v>29244.399999999994</v>
      </c>
      <c r="H45" s="18">
        <f>H7+H43</f>
        <v>50741.3</v>
      </c>
      <c r="I45" s="11">
        <f t="shared" si="1"/>
        <v>173.50774849201903</v>
      </c>
      <c r="J45" s="18">
        <f>J7+J43</f>
        <v>28254.1</v>
      </c>
      <c r="K45" s="18">
        <f>K7+K43</f>
        <v>8135.6</v>
      </c>
      <c r="L45" s="11">
        <f t="shared" si="23"/>
        <v>28.794405059796635</v>
      </c>
      <c r="M45" s="18">
        <f>M7+M43</f>
        <v>87574.9</v>
      </c>
      <c r="N45" s="18">
        <f>N7+N43</f>
        <v>58876.90000000001</v>
      </c>
      <c r="O45" s="11">
        <f t="shared" si="9"/>
        <v>67.23033654620218</v>
      </c>
      <c r="P45" s="18">
        <f>P7+P43</f>
        <v>21666.4</v>
      </c>
      <c r="Q45" s="18">
        <f>Q7+Q43</f>
        <v>24366.7</v>
      </c>
      <c r="R45" s="11">
        <f t="shared" si="24"/>
        <v>112.46307646863345</v>
      </c>
      <c r="S45" s="18">
        <f>S7+S43</f>
        <v>-48662.600000000006</v>
      </c>
      <c r="T45" s="18">
        <f>T7+T43</f>
        <v>38324.23445</v>
      </c>
      <c r="U45" s="11">
        <f t="shared" si="25"/>
        <v>-78.75500784997102</v>
      </c>
      <c r="V45" s="18">
        <f>V7+V43</f>
        <v>2217.24111</v>
      </c>
      <c r="W45" s="18">
        <f>W7+W43</f>
        <v>6944.5</v>
      </c>
      <c r="X45" s="11">
        <f t="shared" si="26"/>
        <v>313.2045481512834</v>
      </c>
      <c r="Y45" s="18">
        <f>Y7+Y43</f>
        <v>-24778.95889</v>
      </c>
      <c r="Z45" s="18">
        <f>Z7+Z43</f>
        <v>69635.43445</v>
      </c>
      <c r="AA45" s="11">
        <f t="shared" si="29"/>
        <v>-281.0264739496486</v>
      </c>
      <c r="AB45" s="18">
        <f>AB7+AB43</f>
        <v>4907.800000000001</v>
      </c>
      <c r="AC45" s="18">
        <f>AC7+AC43</f>
        <v>816.1000000000001</v>
      </c>
      <c r="AD45" s="11">
        <f t="shared" si="30"/>
        <v>16.628631973593055</v>
      </c>
      <c r="AE45" s="18">
        <f>AE43+AE7</f>
        <v>5509</v>
      </c>
      <c r="AF45" s="18">
        <f>AF43+AF7</f>
        <v>1821.8000000000002</v>
      </c>
      <c r="AG45" s="11">
        <f>AF45/AE45*100</f>
        <v>33.069522599382836</v>
      </c>
      <c r="AH45" s="18">
        <f>AH43+AH7</f>
        <v>6133.200000000001</v>
      </c>
      <c r="AI45" s="18">
        <f>AI43+AI7</f>
        <v>1415.59</v>
      </c>
      <c r="AJ45" s="18">
        <f>AJ7+AJ43</f>
        <v>16550</v>
      </c>
      <c r="AK45" s="18">
        <f>AK7+AK43</f>
        <v>4053.49</v>
      </c>
      <c r="AL45" s="11">
        <f t="shared" si="32"/>
        <v>24.492386706948636</v>
      </c>
      <c r="AM45" s="18">
        <f aca="true" t="shared" si="35" ref="AM45:AR45">AM43+AM7</f>
        <v>-281.49999999999994</v>
      </c>
      <c r="AN45" s="18">
        <f t="shared" si="35"/>
        <v>1702.4</v>
      </c>
      <c r="AO45" s="18">
        <f t="shared" si="35"/>
        <v>18416.2</v>
      </c>
      <c r="AP45" s="18">
        <f t="shared" si="35"/>
        <v>1536.9</v>
      </c>
      <c r="AQ45" s="18">
        <f t="shared" si="35"/>
        <v>17508.700000000004</v>
      </c>
      <c r="AR45" s="18">
        <f t="shared" si="35"/>
        <v>9629.400000000001</v>
      </c>
      <c r="AS45" s="76">
        <f>AS7+AS43</f>
        <v>114989.34111000001</v>
      </c>
      <c r="AT45" s="76">
        <f>AT7+AT43</f>
        <v>145434.52444999997</v>
      </c>
      <c r="AU45" s="11">
        <f>AT45/AS45*100</f>
        <v>126.47652647289785</v>
      </c>
      <c r="AV45" s="18">
        <f>AV7+AV43</f>
        <v>-30445.18333999999</v>
      </c>
      <c r="AW45" s="18">
        <f>AW7+AW43</f>
        <v>13641.516660000016</v>
      </c>
      <c r="AX45" s="42"/>
    </row>
    <row r="46" spans="3:49" ht="43.5" customHeight="1">
      <c r="C46" s="145"/>
      <c r="D46" s="34"/>
      <c r="E46" s="34"/>
      <c r="F46" s="24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</row>
    <row r="47" spans="7:49" ht="1.5" customHeight="1"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2" t="s">
        <v>136</v>
      </c>
      <c r="AW47" s="173"/>
    </row>
    <row r="48" spans="2:49" ht="45.75" customHeight="1" hidden="1">
      <c r="B48" s="171" t="s">
        <v>51</v>
      </c>
      <c r="C48" s="171"/>
      <c r="D48" s="171"/>
      <c r="E48" s="171"/>
      <c r="F48" s="171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1:48" ht="12.75" customHeight="1" hidden="1">
      <c r="A49" s="165"/>
      <c r="B49" s="165"/>
      <c r="C49" s="33"/>
      <c r="D49" s="33"/>
      <c r="E49" s="33"/>
      <c r="F49" s="33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1:49" s="32" customFormat="1" ht="96.75" customHeight="1">
      <c r="A50" s="29"/>
      <c r="B50" s="169" t="s">
        <v>135</v>
      </c>
      <c r="C50" s="169"/>
      <c r="D50" s="169"/>
      <c r="E50" s="169"/>
      <c r="F50" s="169"/>
      <c r="G50" s="2"/>
      <c r="H50" s="2"/>
      <c r="I50" s="12"/>
      <c r="J50" s="2"/>
      <c r="K50" s="2"/>
      <c r="L50" s="12"/>
      <c r="M50" s="12"/>
      <c r="N50" s="12"/>
      <c r="O50" s="12"/>
      <c r="P50" s="2"/>
      <c r="Q50" s="2"/>
      <c r="R50" s="12"/>
      <c r="S50" s="2"/>
      <c r="T50" s="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53"/>
      <c r="AF50" s="53"/>
      <c r="AG50" s="53"/>
      <c r="AH50" s="53"/>
      <c r="AI50" s="53"/>
      <c r="AJ50" s="12"/>
      <c r="AK50" s="12"/>
      <c r="AL50" s="12"/>
      <c r="AM50" s="53"/>
      <c r="AN50" s="53"/>
      <c r="AO50" s="53"/>
      <c r="AP50" s="53"/>
      <c r="AQ50" s="53"/>
      <c r="AR50" s="53"/>
      <c r="AS50" s="2"/>
      <c r="AT50" s="2"/>
      <c r="AU50" s="12"/>
      <c r="AV50" s="2"/>
      <c r="AW50" s="2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146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146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146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146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146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146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146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146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146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146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146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146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146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146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146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146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146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146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146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146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146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146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146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146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146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146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146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146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146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146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146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146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146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146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146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146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146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146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146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146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146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146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146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146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146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spans="3:6" ht="18.75">
      <c r="C98" s="146"/>
      <c r="D98" s="20"/>
      <c r="E98" s="20"/>
      <c r="F98" s="53"/>
    </row>
  </sheetData>
  <sheetProtection/>
  <mergeCells count="26">
    <mergeCell ref="AV5:AV6"/>
    <mergeCell ref="G5:I5"/>
    <mergeCell ref="AS5:AU5"/>
    <mergeCell ref="S5:U5"/>
    <mergeCell ref="M5:O5"/>
    <mergeCell ref="I1:AW1"/>
    <mergeCell ref="B2:AW2"/>
    <mergeCell ref="B3:AW3"/>
    <mergeCell ref="B4:F4"/>
    <mergeCell ref="D5:F5"/>
    <mergeCell ref="AO5:AP5"/>
    <mergeCell ref="B50:F50"/>
    <mergeCell ref="B48:F48"/>
    <mergeCell ref="AH5:AI5"/>
    <mergeCell ref="AM5:AN5"/>
    <mergeCell ref="AJ5:AL5"/>
    <mergeCell ref="AV47:AW47"/>
    <mergeCell ref="A49:B49"/>
    <mergeCell ref="J5:L5"/>
    <mergeCell ref="AE5:AG5"/>
    <mergeCell ref="AB5:AD5"/>
    <mergeCell ref="AQ5:AR5"/>
    <mergeCell ref="P5:R5"/>
    <mergeCell ref="V5:X5"/>
    <mergeCell ref="Y5:AA5"/>
    <mergeCell ref="AW5:AW6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AL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39" sqref="A39:IV39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97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customWidth="1"/>
    <col min="26" max="26" width="12.75390625" style="12" customWidth="1"/>
    <col min="27" max="27" width="11.125" style="12" customWidth="1"/>
    <col min="28" max="28" width="15.125" style="12" hidden="1" customWidth="1"/>
    <col min="29" max="29" width="14.7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25390625" style="12" hidden="1" customWidth="1"/>
    <col min="35" max="35" width="11.00390625" style="12" hidden="1" customWidth="1"/>
    <col min="36" max="36" width="13.625" style="12" customWidth="1"/>
    <col min="37" max="37" width="12.75390625" style="12" customWidth="1"/>
    <col min="38" max="38" width="11.125" style="12" customWidth="1"/>
    <col min="39" max="39" width="13.25390625" style="12" customWidth="1"/>
    <col min="40" max="40" width="11.00390625" style="12" customWidth="1"/>
    <col min="41" max="41" width="13.25390625" style="12" customWidth="1"/>
    <col min="42" max="42" width="11.00390625" style="12" customWidth="1"/>
    <col min="43" max="43" width="13.25390625" style="12" customWidth="1"/>
    <col min="44" max="44" width="11.00390625" style="12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2.25390625" style="2" customWidth="1"/>
    <col min="51" max="51" width="10.125" style="2" customWidth="1"/>
    <col min="52" max="52" width="7.75390625" style="2" bestFit="1" customWidth="1"/>
    <col min="53" max="16384" width="6.75390625" style="2" customWidth="1"/>
  </cols>
  <sheetData>
    <row r="1" spans="9:49" ht="21" customHeight="1">
      <c r="I1" s="162" t="s">
        <v>49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56" customFormat="1" ht="42" customHeight="1">
      <c r="A2" s="55"/>
      <c r="B2" s="163" t="s">
        <v>128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56" customFormat="1" ht="42" customHeight="1">
      <c r="A3" s="55"/>
      <c r="B3" s="163" t="s">
        <v>161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8.75">
      <c r="B4" s="164"/>
      <c r="C4" s="164"/>
      <c r="D4" s="164"/>
      <c r="E4" s="164"/>
      <c r="F4" s="164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58" t="s">
        <v>139</v>
      </c>
      <c r="E5" s="159"/>
      <c r="F5" s="160"/>
      <c r="G5" s="153" t="s">
        <v>140</v>
      </c>
      <c r="H5" s="154"/>
      <c r="I5" s="155"/>
      <c r="J5" s="153" t="s">
        <v>142</v>
      </c>
      <c r="K5" s="154"/>
      <c r="L5" s="155"/>
      <c r="M5" s="153" t="s">
        <v>156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159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160</v>
      </c>
      <c r="AK5" s="154"/>
      <c r="AL5" s="155"/>
      <c r="AM5" s="153" t="s">
        <v>150</v>
      </c>
      <c r="AN5" s="155"/>
      <c r="AO5" s="153" t="s">
        <v>151</v>
      </c>
      <c r="AP5" s="155"/>
      <c r="AQ5" s="153" t="s">
        <v>152</v>
      </c>
      <c r="AR5" s="155"/>
      <c r="AS5" s="158" t="s">
        <v>153</v>
      </c>
      <c r="AT5" s="159"/>
      <c r="AU5" s="160"/>
      <c r="AV5" s="156" t="s">
        <v>162</v>
      </c>
      <c r="AW5" s="156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7"/>
      <c r="AW6" s="157"/>
    </row>
    <row r="7" spans="1:52" s="12" customFormat="1" ht="36" customHeight="1">
      <c r="A7" s="8"/>
      <c r="B7" s="9" t="s">
        <v>88</v>
      </c>
      <c r="C7" s="60">
        <f>SUM(C8:C42)</f>
        <v>-35.60000000000001</v>
      </c>
      <c r="D7" s="11">
        <f>SUM(D8:D42)</f>
        <v>524.4999999999999</v>
      </c>
      <c r="E7" s="11">
        <f>SUM(E8:E42)</f>
        <v>64.10000000000001</v>
      </c>
      <c r="F7" s="11">
        <f>E7/D7*100</f>
        <v>12.22116301239276</v>
      </c>
      <c r="G7" s="11">
        <f>SUM(G8:G42)</f>
        <v>552.5</v>
      </c>
      <c r="H7" s="11">
        <f>SUM(H8:H42)</f>
        <v>323</v>
      </c>
      <c r="I7" s="11">
        <f aca="true" t="shared" si="0" ref="I7:I45">H7/G7*100</f>
        <v>58.46153846153847</v>
      </c>
      <c r="J7" s="11">
        <f>SUM(J8:J42)</f>
        <v>511.90000000000003</v>
      </c>
      <c r="K7" s="11">
        <f>SUM(K8:K42)</f>
        <v>916.4</v>
      </c>
      <c r="L7" s="11">
        <f>K7/J7*100</f>
        <v>179.01933971478803</v>
      </c>
      <c r="M7" s="11">
        <f>SUM(M8:M42)</f>
        <v>1588.9</v>
      </c>
      <c r="N7" s="11">
        <f>SUM(N8:N42)</f>
        <v>1303.4999999999998</v>
      </c>
      <c r="O7" s="11">
        <f>N7/M7*100</f>
        <v>82.03788784693812</v>
      </c>
      <c r="P7" s="11">
        <f>SUM(P8:P42)</f>
        <v>546.1</v>
      </c>
      <c r="Q7" s="11">
        <f>SUM(Q8:Q42)</f>
        <v>258</v>
      </c>
      <c r="R7" s="11">
        <f>Q7/P7*100</f>
        <v>47.24409448818898</v>
      </c>
      <c r="S7" s="11">
        <f>SUM(S8:S42)</f>
        <v>538.4</v>
      </c>
      <c r="T7" s="11">
        <f>SUM(T8:T42)</f>
        <v>420.79999999999995</v>
      </c>
      <c r="U7" s="11">
        <f>T7/S7*100</f>
        <v>78.15750371471026</v>
      </c>
      <c r="V7" s="11">
        <f>SUM(V8:V42)</f>
        <v>530.1</v>
      </c>
      <c r="W7" s="11">
        <f>SUM(W8:W42)</f>
        <v>320.80000000000007</v>
      </c>
      <c r="X7" s="11">
        <f>W7/V7*100</f>
        <v>60.516883606866635</v>
      </c>
      <c r="Y7" s="11">
        <f>SUM(Y8:Y42)</f>
        <v>1614.6</v>
      </c>
      <c r="Z7" s="11">
        <f>SUM(Z8:Z42)</f>
        <v>999.6</v>
      </c>
      <c r="AA7" s="11">
        <f>Z7/Y7*100</f>
        <v>61.91007060572279</v>
      </c>
      <c r="AB7" s="11">
        <f>SUM(AB8:AB42)</f>
        <v>555.6</v>
      </c>
      <c r="AC7" s="11">
        <f>SUM(AC8:AC42)</f>
        <v>401.2</v>
      </c>
      <c r="AD7" s="11">
        <f>AC7/AB7*100</f>
        <v>72.21022318214543</v>
      </c>
      <c r="AE7" s="11">
        <f>SUM(AE8:AE42)</f>
        <v>518.1999999999999</v>
      </c>
      <c r="AF7" s="11">
        <f>SUM(AF8:AF42)</f>
        <v>394.79999999999995</v>
      </c>
      <c r="AG7" s="11">
        <f>AF7/AE7*100</f>
        <v>76.18680046314165</v>
      </c>
      <c r="AH7" s="11">
        <f>SUM(AH8:AH42)</f>
        <v>555.4</v>
      </c>
      <c r="AI7" s="11">
        <f>SUM(AI8:AI42)</f>
        <v>1143.4999999999998</v>
      </c>
      <c r="AJ7" s="11">
        <f>SUM(AJ8:AJ42)</f>
        <v>1629.2</v>
      </c>
      <c r="AK7" s="11">
        <f>SUM(AK8:AK42)</f>
        <v>1939.5</v>
      </c>
      <c r="AL7" s="11">
        <f>AK7/AJ7*100</f>
        <v>119.04615762337343</v>
      </c>
      <c r="AM7" s="11">
        <f aca="true" t="shared" si="1" ref="AM7:AT7">SUM(AM8:AM42)</f>
        <v>568.2</v>
      </c>
      <c r="AN7" s="11">
        <f t="shared" si="1"/>
        <v>516.5</v>
      </c>
      <c r="AO7" s="11">
        <f t="shared" si="1"/>
        <v>570</v>
      </c>
      <c r="AP7" s="11">
        <f t="shared" si="1"/>
        <v>873.3</v>
      </c>
      <c r="AQ7" s="11">
        <f>SUM(AQ8:AQ42)</f>
        <v>523</v>
      </c>
      <c r="AR7" s="11">
        <f>SUM(AR8:AR42)</f>
        <v>968.6000000000001</v>
      </c>
      <c r="AS7" s="60">
        <f t="shared" si="1"/>
        <v>6493.900000000001</v>
      </c>
      <c r="AT7" s="60">
        <f t="shared" si="1"/>
        <v>6601.000000000001</v>
      </c>
      <c r="AU7" s="11">
        <f aca="true" t="shared" si="2" ref="AU7:AU44">AT7/AS7*100</f>
        <v>101.6492400560526</v>
      </c>
      <c r="AV7" s="60">
        <f>SUM(AV8:AV42)</f>
        <v>-107.09999999999958</v>
      </c>
      <c r="AW7" s="60">
        <f>SUM(AW8:AW42)</f>
        <v>-142.69999999999953</v>
      </c>
      <c r="AX7" s="23">
        <f>M7+Y7+AJ7+AM7</f>
        <v>5400.9</v>
      </c>
      <c r="AY7" s="23">
        <f>N7+Z7+AK7+AN7</f>
        <v>4759.1</v>
      </c>
      <c r="AZ7" s="42">
        <f>C7+AX7-AY7</f>
        <v>606.1999999999989</v>
      </c>
    </row>
    <row r="8" spans="1:49" ht="24.75" customHeight="1">
      <c r="A8" s="13" t="s">
        <v>12</v>
      </c>
      <c r="B8" s="41" t="s">
        <v>90</v>
      </c>
      <c r="C8" s="98">
        <v>3.5</v>
      </c>
      <c r="D8" s="38">
        <v>32.1</v>
      </c>
      <c r="E8" s="38">
        <v>3.3</v>
      </c>
      <c r="F8" s="11">
        <f>E8/D8*100</f>
        <v>10.2803738317757</v>
      </c>
      <c r="G8" s="38">
        <v>32.7</v>
      </c>
      <c r="H8" s="38">
        <v>33.5</v>
      </c>
      <c r="I8" s="11">
        <f t="shared" si="0"/>
        <v>102.44648318042813</v>
      </c>
      <c r="J8" s="38">
        <v>29</v>
      </c>
      <c r="K8" s="38">
        <v>43.9</v>
      </c>
      <c r="L8" s="11">
        <f>K8/J8*100</f>
        <v>151.3793103448276</v>
      </c>
      <c r="M8" s="80">
        <f>D8+G8+J8</f>
        <v>93.80000000000001</v>
      </c>
      <c r="N8" s="80">
        <f>E8+H8+K8</f>
        <v>80.69999999999999</v>
      </c>
      <c r="O8" s="11">
        <f aca="true" t="shared" si="3" ref="O8:O45">N8/M8*100</f>
        <v>86.03411513859272</v>
      </c>
      <c r="P8" s="38">
        <v>33.9</v>
      </c>
      <c r="Q8" s="38">
        <v>26.4</v>
      </c>
      <c r="R8" s="11">
        <f>Q8/P8*100</f>
        <v>77.87610619469027</v>
      </c>
      <c r="S8" s="38">
        <v>38.5</v>
      </c>
      <c r="T8" s="38">
        <v>14.9</v>
      </c>
      <c r="U8" s="11">
        <f>T8/S8*100</f>
        <v>38.701298701298704</v>
      </c>
      <c r="V8" s="38">
        <v>34.6</v>
      </c>
      <c r="W8" s="38">
        <v>32.3</v>
      </c>
      <c r="X8" s="11">
        <f>W8/V8*100</f>
        <v>93.35260115606935</v>
      </c>
      <c r="Y8" s="80">
        <f>P8+S8+V8</f>
        <v>107</v>
      </c>
      <c r="Z8" s="80">
        <f>Q8+T8+W8</f>
        <v>73.6</v>
      </c>
      <c r="AA8" s="11">
        <f>Z8/Y8*100</f>
        <v>68.78504672897195</v>
      </c>
      <c r="AB8" s="38">
        <v>32.5</v>
      </c>
      <c r="AC8" s="38">
        <v>72.3</v>
      </c>
      <c r="AD8" s="11">
        <f>AC8/AB8*100</f>
        <v>222.46153846153845</v>
      </c>
      <c r="AE8" s="38">
        <v>33.8</v>
      </c>
      <c r="AF8" s="38">
        <v>26.3</v>
      </c>
      <c r="AG8" s="11">
        <f>AF8/AE8*100</f>
        <v>77.81065088757397</v>
      </c>
      <c r="AH8" s="38">
        <v>33.1</v>
      </c>
      <c r="AI8" s="38">
        <v>34.4</v>
      </c>
      <c r="AJ8" s="80">
        <f>AB8+AE8+AH8</f>
        <v>99.4</v>
      </c>
      <c r="AK8" s="80">
        <f>AC8+AF8+AI8</f>
        <v>133</v>
      </c>
      <c r="AL8" s="11">
        <f>AK8/AJ8*100</f>
        <v>133.80281690140845</v>
      </c>
      <c r="AM8" s="38">
        <v>42.4</v>
      </c>
      <c r="AN8" s="38">
        <v>32.8</v>
      </c>
      <c r="AO8" s="38">
        <v>36.1</v>
      </c>
      <c r="AP8" s="38">
        <v>39.6</v>
      </c>
      <c r="AQ8" s="38">
        <v>38.1</v>
      </c>
      <c r="AR8" s="38">
        <v>59</v>
      </c>
      <c r="AS8" s="65">
        <f>M8+Y8+AJ8+AM8+AO8+AQ8</f>
        <v>416.80000000000007</v>
      </c>
      <c r="AT8" s="65">
        <f>N8+Z8+AK8+AN8+AP8+AR8</f>
        <v>418.7</v>
      </c>
      <c r="AU8" s="11">
        <f t="shared" si="2"/>
        <v>100.45585412667944</v>
      </c>
      <c r="AV8" s="65">
        <f>AS8-AT8</f>
        <v>-1.8999999999999204</v>
      </c>
      <c r="AW8" s="18">
        <f>C8+AS8-AT8</f>
        <v>1.6000000000000796</v>
      </c>
    </row>
    <row r="9" spans="1:49" ht="24.75" customHeight="1">
      <c r="A9" s="13" t="s">
        <v>13</v>
      </c>
      <c r="B9" s="41" t="s">
        <v>91</v>
      </c>
      <c r="C9" s="98">
        <f>-12.3+(-0.2)</f>
        <v>-12.5</v>
      </c>
      <c r="D9" s="38">
        <v>2</v>
      </c>
      <c r="E9" s="38">
        <v>0.7</v>
      </c>
      <c r="F9" s="11">
        <f>E9/D9*100</f>
        <v>35</v>
      </c>
      <c r="G9" s="38">
        <v>2.4</v>
      </c>
      <c r="H9" s="38">
        <v>2.4</v>
      </c>
      <c r="I9" s="11">
        <f t="shared" si="0"/>
        <v>100</v>
      </c>
      <c r="J9" s="38">
        <v>2.2</v>
      </c>
      <c r="K9" s="38">
        <v>2.1</v>
      </c>
      <c r="L9" s="11">
        <f>K9/J9*100</f>
        <v>95.45454545454545</v>
      </c>
      <c r="M9" s="80">
        <f aca="true" t="shared" si="4" ref="M9:M44">D9+G9+J9</f>
        <v>6.6000000000000005</v>
      </c>
      <c r="N9" s="80">
        <f aca="true" t="shared" si="5" ref="N9:N44">E9+H9+K9</f>
        <v>5.199999999999999</v>
      </c>
      <c r="O9" s="11">
        <f t="shared" si="3"/>
        <v>78.78787878787877</v>
      </c>
      <c r="P9" s="38">
        <v>2.4</v>
      </c>
      <c r="Q9" s="38">
        <v>1.6</v>
      </c>
      <c r="R9" s="11">
        <f>Q9/P9*100</f>
        <v>66.66666666666667</v>
      </c>
      <c r="S9" s="38">
        <v>2.5</v>
      </c>
      <c r="T9" s="38">
        <v>1.6</v>
      </c>
      <c r="U9" s="11">
        <f>T9/S9*100</f>
        <v>64</v>
      </c>
      <c r="V9" s="38">
        <v>2.2</v>
      </c>
      <c r="W9" s="38">
        <v>2.9</v>
      </c>
      <c r="X9" s="11">
        <f>W9/V9*100</f>
        <v>131.8181818181818</v>
      </c>
      <c r="Y9" s="80">
        <f>P9+S9+V9</f>
        <v>7.1000000000000005</v>
      </c>
      <c r="Z9" s="80">
        <f>Q9+T9+W9</f>
        <v>6.1</v>
      </c>
      <c r="AA9" s="11">
        <f>Z9/Y9*100</f>
        <v>85.91549295774647</v>
      </c>
      <c r="AB9" s="38">
        <v>2.2</v>
      </c>
      <c r="AC9" s="38">
        <v>2.5</v>
      </c>
      <c r="AD9" s="11">
        <f>AC9/AB9*100</f>
        <v>113.63636363636363</v>
      </c>
      <c r="AE9" s="38">
        <v>2.2</v>
      </c>
      <c r="AF9" s="38">
        <v>1.7</v>
      </c>
      <c r="AG9" s="11">
        <f>AF9/AE9*100</f>
        <v>77.27272727272727</v>
      </c>
      <c r="AH9" s="38">
        <v>4</v>
      </c>
      <c r="AI9" s="38">
        <v>2.5</v>
      </c>
      <c r="AJ9" s="80">
        <f aca="true" t="shared" si="6" ref="AJ9:AJ42">AB9+AE9+AH9</f>
        <v>8.4</v>
      </c>
      <c r="AK9" s="80">
        <f aca="true" t="shared" si="7" ref="AK9:AK42">AC9+AF9+AI9</f>
        <v>6.7</v>
      </c>
      <c r="AL9" s="11">
        <f>AK9/AJ9*100</f>
        <v>79.76190476190476</v>
      </c>
      <c r="AM9" s="38">
        <v>2.1</v>
      </c>
      <c r="AN9" s="38">
        <v>3.9</v>
      </c>
      <c r="AO9" s="38">
        <v>2.4</v>
      </c>
      <c r="AP9" s="38">
        <v>2.2</v>
      </c>
      <c r="AQ9" s="38">
        <v>2.3</v>
      </c>
      <c r="AR9" s="38">
        <v>4.7</v>
      </c>
      <c r="AS9" s="65">
        <f aca="true" t="shared" si="8" ref="AS9:AS42">M9+Y9+AJ9+AM9+AO9+AQ9</f>
        <v>28.900000000000002</v>
      </c>
      <c r="AT9" s="65">
        <f aca="true" t="shared" si="9" ref="AT9:AT42">N9+Z9+AK9+AN9+AP9+AR9</f>
        <v>28.799999999999997</v>
      </c>
      <c r="AU9" s="11">
        <f t="shared" si="2"/>
        <v>99.6539792387543</v>
      </c>
      <c r="AV9" s="65">
        <f aca="true" t="shared" si="10" ref="AV9:AV44">AS9-AT9</f>
        <v>0.10000000000000497</v>
      </c>
      <c r="AW9" s="18">
        <f aca="true" t="shared" si="11" ref="AW9:AW44">C9+AS9-AT9</f>
        <v>-12.399999999999995</v>
      </c>
    </row>
    <row r="10" spans="1:49" ht="24.75" customHeight="1">
      <c r="A10" s="13" t="s">
        <v>14</v>
      </c>
      <c r="B10" s="15" t="s">
        <v>132</v>
      </c>
      <c r="C10" s="98"/>
      <c r="D10" s="38"/>
      <c r="E10" s="38"/>
      <c r="F10" s="11"/>
      <c r="G10" s="38"/>
      <c r="H10" s="38"/>
      <c r="I10" s="101"/>
      <c r="J10" s="38"/>
      <c r="K10" s="38"/>
      <c r="L10" s="101"/>
      <c r="M10" s="80"/>
      <c r="N10" s="80"/>
      <c r="O10" s="11"/>
      <c r="P10" s="38"/>
      <c r="Q10" s="38"/>
      <c r="R10" s="101"/>
      <c r="S10" s="38"/>
      <c r="T10" s="38"/>
      <c r="U10" s="101"/>
      <c r="V10" s="38"/>
      <c r="W10" s="38"/>
      <c r="X10" s="101"/>
      <c r="Y10" s="80"/>
      <c r="Z10" s="80"/>
      <c r="AA10" s="11"/>
      <c r="AB10" s="38"/>
      <c r="AC10" s="38"/>
      <c r="AD10" s="10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1"/>
      <c r="AV10" s="65"/>
      <c r="AW10" s="18"/>
    </row>
    <row r="11" spans="1:49" ht="24.75" customHeight="1">
      <c r="A11" s="13" t="s">
        <v>15</v>
      </c>
      <c r="B11" s="41" t="s">
        <v>92</v>
      </c>
      <c r="C11" s="98">
        <v>-17.3</v>
      </c>
      <c r="D11" s="38">
        <v>6.9</v>
      </c>
      <c r="E11" s="38">
        <v>0</v>
      </c>
      <c r="F11" s="11">
        <f>E11/D11*100</f>
        <v>0</v>
      </c>
      <c r="G11" s="38">
        <v>10.8</v>
      </c>
      <c r="H11" s="38">
        <v>6.5</v>
      </c>
      <c r="I11" s="11">
        <f t="shared" si="0"/>
        <v>60.18518518518518</v>
      </c>
      <c r="J11" s="38">
        <v>7.5</v>
      </c>
      <c r="K11" s="38">
        <v>11.5</v>
      </c>
      <c r="L11" s="11">
        <f aca="true" t="shared" si="12" ref="L11:L19">K11/J11*100</f>
        <v>153.33333333333334</v>
      </c>
      <c r="M11" s="80">
        <f t="shared" si="4"/>
        <v>25.200000000000003</v>
      </c>
      <c r="N11" s="80">
        <f t="shared" si="5"/>
        <v>18</v>
      </c>
      <c r="O11" s="11">
        <f t="shared" si="3"/>
        <v>71.42857142857142</v>
      </c>
      <c r="P11" s="38">
        <v>5.6</v>
      </c>
      <c r="Q11" s="38">
        <v>6.7</v>
      </c>
      <c r="R11" s="11">
        <f aca="true" t="shared" si="13" ref="R11:R19">Q11/P11*100</f>
        <v>119.64285714285717</v>
      </c>
      <c r="S11" s="38">
        <v>7.5</v>
      </c>
      <c r="T11" s="38">
        <v>6.5</v>
      </c>
      <c r="U11" s="11">
        <f aca="true" t="shared" si="14" ref="U11:U19">T11/S11*100</f>
        <v>86.66666666666667</v>
      </c>
      <c r="V11" s="38">
        <v>6.9</v>
      </c>
      <c r="W11" s="38">
        <v>5.1</v>
      </c>
      <c r="X11" s="11">
        <f aca="true" t="shared" si="15" ref="X11:X19">W11/V11*100</f>
        <v>73.91304347826086</v>
      </c>
      <c r="Y11" s="80">
        <f aca="true" t="shared" si="16" ref="Y11:Y19">P11+S11+V11</f>
        <v>20</v>
      </c>
      <c r="Z11" s="80">
        <f aca="true" t="shared" si="17" ref="Z11:Z19">Q11+T11+W11</f>
        <v>18.299999999999997</v>
      </c>
      <c r="AA11" s="11">
        <f aca="true" t="shared" si="18" ref="AA11:AA19">Z11/Y11*100</f>
        <v>91.49999999999999</v>
      </c>
      <c r="AB11" s="38">
        <v>5.2</v>
      </c>
      <c r="AC11" s="38">
        <v>5.7</v>
      </c>
      <c r="AD11" s="11">
        <f aca="true" t="shared" si="19" ref="AD11:AD19">AC11/AB11*100</f>
        <v>109.61538461538463</v>
      </c>
      <c r="AE11" s="38">
        <v>8.2</v>
      </c>
      <c r="AF11" s="38">
        <v>4.2</v>
      </c>
      <c r="AG11" s="11">
        <f>AF11/AE11*100</f>
        <v>51.21951219512195</v>
      </c>
      <c r="AH11" s="38">
        <v>5.7</v>
      </c>
      <c r="AI11" s="38">
        <v>5.9</v>
      </c>
      <c r="AJ11" s="80">
        <f t="shared" si="6"/>
        <v>19.099999999999998</v>
      </c>
      <c r="AK11" s="80">
        <f t="shared" si="7"/>
        <v>15.8</v>
      </c>
      <c r="AL11" s="11">
        <f aca="true" t="shared" si="20" ref="AL11:AL19">AK11/AJ11*100</f>
        <v>82.72251308900525</v>
      </c>
      <c r="AM11" s="38">
        <v>7.5</v>
      </c>
      <c r="AN11" s="38">
        <v>6.5</v>
      </c>
      <c r="AO11" s="38">
        <v>10.6</v>
      </c>
      <c r="AP11" s="38">
        <v>9.2</v>
      </c>
      <c r="AQ11" s="38">
        <v>4.4</v>
      </c>
      <c r="AR11" s="38">
        <v>14.8</v>
      </c>
      <c r="AS11" s="65">
        <f t="shared" si="8"/>
        <v>86.8</v>
      </c>
      <c r="AT11" s="65">
        <f t="shared" si="9"/>
        <v>82.6</v>
      </c>
      <c r="AU11" s="11">
        <f t="shared" si="2"/>
        <v>95.16129032258064</v>
      </c>
      <c r="AV11" s="65">
        <f t="shared" si="10"/>
        <v>4.200000000000003</v>
      </c>
      <c r="AW11" s="18">
        <f t="shared" si="11"/>
        <v>-13.099999999999994</v>
      </c>
    </row>
    <row r="12" spans="1:49" ht="24.75" customHeight="1">
      <c r="A12" s="13" t="s">
        <v>16</v>
      </c>
      <c r="B12" s="41" t="s">
        <v>93</v>
      </c>
      <c r="C12" s="98">
        <v>0</v>
      </c>
      <c r="D12" s="38">
        <v>5</v>
      </c>
      <c r="E12" s="38">
        <v>2.1</v>
      </c>
      <c r="F12" s="60">
        <f>E12/D12*100</f>
        <v>42.00000000000001</v>
      </c>
      <c r="G12" s="38">
        <v>4.7</v>
      </c>
      <c r="H12" s="38">
        <v>6.3</v>
      </c>
      <c r="I12" s="11">
        <f t="shared" si="0"/>
        <v>134.04255319148933</v>
      </c>
      <c r="J12" s="38">
        <v>4.8</v>
      </c>
      <c r="K12" s="38">
        <v>4.8</v>
      </c>
      <c r="L12" s="11">
        <f t="shared" si="12"/>
        <v>100</v>
      </c>
      <c r="M12" s="80">
        <f t="shared" si="4"/>
        <v>14.5</v>
      </c>
      <c r="N12" s="80">
        <f t="shared" si="5"/>
        <v>13.2</v>
      </c>
      <c r="O12" s="11">
        <f t="shared" si="3"/>
        <v>91.03448275862068</v>
      </c>
      <c r="P12" s="38">
        <v>4.8</v>
      </c>
      <c r="Q12" s="38">
        <v>4</v>
      </c>
      <c r="R12" s="11">
        <f t="shared" si="13"/>
        <v>83.33333333333334</v>
      </c>
      <c r="S12" s="38">
        <v>4.5</v>
      </c>
      <c r="T12" s="38">
        <v>3.6</v>
      </c>
      <c r="U12" s="11">
        <f t="shared" si="14"/>
        <v>80</v>
      </c>
      <c r="V12" s="38">
        <v>5</v>
      </c>
      <c r="W12" s="38">
        <v>3.6</v>
      </c>
      <c r="X12" s="11">
        <f t="shared" si="15"/>
        <v>72</v>
      </c>
      <c r="Y12" s="80">
        <f t="shared" si="16"/>
        <v>14.3</v>
      </c>
      <c r="Z12" s="80">
        <f t="shared" si="17"/>
        <v>11.2</v>
      </c>
      <c r="AA12" s="11">
        <f t="shared" si="18"/>
        <v>78.3216783216783</v>
      </c>
      <c r="AB12" s="38">
        <v>4.5</v>
      </c>
      <c r="AC12" s="38">
        <v>6.4</v>
      </c>
      <c r="AD12" s="11">
        <f t="shared" si="19"/>
        <v>142.22222222222223</v>
      </c>
      <c r="AE12" s="38">
        <v>4.4</v>
      </c>
      <c r="AF12" s="38">
        <v>6.5</v>
      </c>
      <c r="AG12" s="129">
        <f aca="true" t="shared" si="21" ref="AG12:AG24">AF12/AE12*100</f>
        <v>147.72727272727272</v>
      </c>
      <c r="AH12" s="38">
        <v>4.8</v>
      </c>
      <c r="AI12" s="38">
        <v>3.7</v>
      </c>
      <c r="AJ12" s="80">
        <f t="shared" si="6"/>
        <v>13.7</v>
      </c>
      <c r="AK12" s="80">
        <f t="shared" si="7"/>
        <v>16.6</v>
      </c>
      <c r="AL12" s="11">
        <f t="shared" si="20"/>
        <v>121.16788321167884</v>
      </c>
      <c r="AM12" s="38">
        <v>5.5</v>
      </c>
      <c r="AN12" s="38">
        <v>4.7</v>
      </c>
      <c r="AO12" s="38">
        <v>6.2</v>
      </c>
      <c r="AP12" s="38">
        <v>5.7</v>
      </c>
      <c r="AQ12" s="38">
        <v>9.3</v>
      </c>
      <c r="AR12" s="38">
        <v>13.1</v>
      </c>
      <c r="AS12" s="65">
        <f t="shared" si="8"/>
        <v>63.5</v>
      </c>
      <c r="AT12" s="65">
        <f t="shared" si="9"/>
        <v>64.5</v>
      </c>
      <c r="AU12" s="11">
        <f t="shared" si="2"/>
        <v>101.5748031496063</v>
      </c>
      <c r="AV12" s="65">
        <f t="shared" si="10"/>
        <v>-1</v>
      </c>
      <c r="AW12" s="18">
        <f t="shared" si="11"/>
        <v>-1</v>
      </c>
    </row>
    <row r="13" spans="1:49" ht="24.75" customHeight="1">
      <c r="A13" s="13" t="s">
        <v>17</v>
      </c>
      <c r="B13" s="41" t="s">
        <v>94</v>
      </c>
      <c r="C13" s="98">
        <v>-0.1</v>
      </c>
      <c r="D13" s="38">
        <v>8.8</v>
      </c>
      <c r="E13" s="38">
        <v>3.3</v>
      </c>
      <c r="F13" s="11">
        <f aca="true" t="shared" si="22" ref="F13:F18">E13/D13*100</f>
        <v>37.49999999999999</v>
      </c>
      <c r="G13" s="38">
        <v>8.4</v>
      </c>
      <c r="H13" s="38">
        <v>6.1</v>
      </c>
      <c r="I13" s="11">
        <f t="shared" si="0"/>
        <v>72.61904761904762</v>
      </c>
      <c r="J13" s="38">
        <v>7.9</v>
      </c>
      <c r="K13" s="38">
        <v>8.5</v>
      </c>
      <c r="L13" s="11">
        <f t="shared" si="12"/>
        <v>107.59493670886076</v>
      </c>
      <c r="M13" s="80">
        <f t="shared" si="4"/>
        <v>25.1</v>
      </c>
      <c r="N13" s="80">
        <f t="shared" si="5"/>
        <v>17.9</v>
      </c>
      <c r="O13" s="11">
        <f t="shared" si="3"/>
        <v>71.31474103585657</v>
      </c>
      <c r="P13" s="38">
        <v>7.5</v>
      </c>
      <c r="Q13" s="38">
        <v>7.1</v>
      </c>
      <c r="R13" s="11">
        <f t="shared" si="13"/>
        <v>94.66666666666667</v>
      </c>
      <c r="S13" s="38">
        <v>6.2</v>
      </c>
      <c r="T13" s="38">
        <v>6.6</v>
      </c>
      <c r="U13" s="11">
        <f t="shared" si="14"/>
        <v>106.4516129032258</v>
      </c>
      <c r="V13" s="38">
        <v>7.7</v>
      </c>
      <c r="W13" s="38">
        <v>5.2</v>
      </c>
      <c r="X13" s="11">
        <f t="shared" si="15"/>
        <v>67.53246753246754</v>
      </c>
      <c r="Y13" s="80">
        <f t="shared" si="16"/>
        <v>21.4</v>
      </c>
      <c r="Z13" s="80">
        <f t="shared" si="17"/>
        <v>18.9</v>
      </c>
      <c r="AA13" s="11">
        <f t="shared" si="18"/>
        <v>88.3177570093458</v>
      </c>
      <c r="AB13" s="38">
        <v>7.4</v>
      </c>
      <c r="AC13" s="38">
        <v>7.2</v>
      </c>
      <c r="AD13" s="11">
        <f t="shared" si="19"/>
        <v>97.29729729729729</v>
      </c>
      <c r="AE13" s="38">
        <v>6.4</v>
      </c>
      <c r="AF13" s="38">
        <v>8.2</v>
      </c>
      <c r="AG13" s="11">
        <f t="shared" si="21"/>
        <v>128.12499999999997</v>
      </c>
      <c r="AH13" s="38">
        <v>8.9</v>
      </c>
      <c r="AI13" s="38">
        <v>9.5</v>
      </c>
      <c r="AJ13" s="80">
        <f t="shared" si="6"/>
        <v>22.700000000000003</v>
      </c>
      <c r="AK13" s="80">
        <f t="shared" si="7"/>
        <v>24.9</v>
      </c>
      <c r="AL13" s="11">
        <f t="shared" si="20"/>
        <v>109.69162995594712</v>
      </c>
      <c r="AM13" s="38">
        <v>8.4</v>
      </c>
      <c r="AN13" s="38">
        <v>12.2</v>
      </c>
      <c r="AO13" s="38">
        <v>10.9</v>
      </c>
      <c r="AP13" s="38">
        <v>8.8</v>
      </c>
      <c r="AQ13" s="38">
        <v>11</v>
      </c>
      <c r="AR13" s="38">
        <v>22.6</v>
      </c>
      <c r="AS13" s="65">
        <f t="shared" si="8"/>
        <v>99.50000000000001</v>
      </c>
      <c r="AT13" s="65">
        <f t="shared" si="9"/>
        <v>105.29999999999998</v>
      </c>
      <c r="AU13" s="11">
        <f t="shared" si="2"/>
        <v>105.8291457286432</v>
      </c>
      <c r="AV13" s="65">
        <f t="shared" si="10"/>
        <v>-5.799999999999969</v>
      </c>
      <c r="AW13" s="18">
        <f t="shared" si="11"/>
        <v>-5.899999999999963</v>
      </c>
    </row>
    <row r="14" spans="1:49" ht="24.75" customHeight="1">
      <c r="A14" s="13" t="s">
        <v>18</v>
      </c>
      <c r="B14" s="41" t="s">
        <v>95</v>
      </c>
      <c r="C14" s="98">
        <v>-0.9</v>
      </c>
      <c r="D14" s="38">
        <v>3.2</v>
      </c>
      <c r="E14" s="38">
        <v>2.5</v>
      </c>
      <c r="F14" s="11">
        <f t="shared" si="22"/>
        <v>78.125</v>
      </c>
      <c r="G14" s="38">
        <v>3.2</v>
      </c>
      <c r="H14" s="38">
        <v>3.4</v>
      </c>
      <c r="I14" s="11">
        <f t="shared" si="0"/>
        <v>106.25</v>
      </c>
      <c r="J14" s="38">
        <v>3.1</v>
      </c>
      <c r="K14" s="38">
        <v>5.7</v>
      </c>
      <c r="L14" s="11">
        <f t="shared" si="12"/>
        <v>183.8709677419355</v>
      </c>
      <c r="M14" s="80">
        <f t="shared" si="4"/>
        <v>9.5</v>
      </c>
      <c r="N14" s="80">
        <f t="shared" si="5"/>
        <v>11.600000000000001</v>
      </c>
      <c r="O14" s="11">
        <f t="shared" si="3"/>
        <v>122.10526315789477</v>
      </c>
      <c r="P14" s="38">
        <v>3.1</v>
      </c>
      <c r="Q14" s="38">
        <v>1.5</v>
      </c>
      <c r="R14" s="11">
        <f t="shared" si="13"/>
        <v>48.387096774193544</v>
      </c>
      <c r="S14" s="38">
        <v>1.7</v>
      </c>
      <c r="T14" s="38">
        <v>6.3</v>
      </c>
      <c r="U14" s="11">
        <f t="shared" si="14"/>
        <v>370.5882352941177</v>
      </c>
      <c r="V14" s="38">
        <v>3.2</v>
      </c>
      <c r="W14" s="38">
        <v>3</v>
      </c>
      <c r="X14" s="11">
        <f t="shared" si="15"/>
        <v>93.75</v>
      </c>
      <c r="Y14" s="80">
        <f t="shared" si="16"/>
        <v>8</v>
      </c>
      <c r="Z14" s="80">
        <f t="shared" si="17"/>
        <v>10.8</v>
      </c>
      <c r="AA14" s="11">
        <f t="shared" si="18"/>
        <v>135</v>
      </c>
      <c r="AB14" s="38">
        <v>3.4</v>
      </c>
      <c r="AC14" s="38">
        <v>3.3</v>
      </c>
      <c r="AD14" s="11">
        <f t="shared" si="19"/>
        <v>97.05882352941177</v>
      </c>
      <c r="AE14" s="38">
        <v>2.9</v>
      </c>
      <c r="AF14" s="38">
        <v>0.8</v>
      </c>
      <c r="AG14" s="11">
        <f t="shared" si="21"/>
        <v>27.586206896551722</v>
      </c>
      <c r="AH14" s="38">
        <v>0.7</v>
      </c>
      <c r="AI14" s="38">
        <v>1.5</v>
      </c>
      <c r="AJ14" s="80">
        <f t="shared" si="6"/>
        <v>7</v>
      </c>
      <c r="AK14" s="80">
        <f t="shared" si="7"/>
        <v>5.6</v>
      </c>
      <c r="AL14" s="11">
        <f t="shared" si="20"/>
        <v>80</v>
      </c>
      <c r="AM14" s="38">
        <v>3.2</v>
      </c>
      <c r="AN14" s="38">
        <v>0.9</v>
      </c>
      <c r="AO14" s="38">
        <v>3.2</v>
      </c>
      <c r="AP14" s="38">
        <v>2.9</v>
      </c>
      <c r="AQ14" s="38">
        <v>8</v>
      </c>
      <c r="AR14" s="38">
        <v>6.8</v>
      </c>
      <c r="AS14" s="65">
        <f t="shared" si="8"/>
        <v>38.9</v>
      </c>
      <c r="AT14" s="65">
        <f t="shared" si="9"/>
        <v>38.599999999999994</v>
      </c>
      <c r="AU14" s="11">
        <f t="shared" si="2"/>
        <v>99.22879177377891</v>
      </c>
      <c r="AV14" s="65">
        <f t="shared" si="10"/>
        <v>0.30000000000000426</v>
      </c>
      <c r="AW14" s="18">
        <f t="shared" si="11"/>
        <v>-0.5999999999999943</v>
      </c>
    </row>
    <row r="15" spans="1:49" ht="24.75" customHeight="1">
      <c r="A15" s="13" t="s">
        <v>19</v>
      </c>
      <c r="B15" s="41" t="s">
        <v>96</v>
      </c>
      <c r="C15" s="98">
        <v>3.2</v>
      </c>
      <c r="D15" s="38">
        <v>4.6</v>
      </c>
      <c r="E15" s="38">
        <v>4.5</v>
      </c>
      <c r="F15" s="11">
        <f t="shared" si="22"/>
        <v>97.82608695652175</v>
      </c>
      <c r="G15" s="38">
        <v>13.3</v>
      </c>
      <c r="H15" s="38">
        <v>6.5</v>
      </c>
      <c r="I15" s="11">
        <f t="shared" si="0"/>
        <v>48.87218045112782</v>
      </c>
      <c r="J15" s="38">
        <v>8.2</v>
      </c>
      <c r="K15" s="38">
        <v>8.4</v>
      </c>
      <c r="L15" s="11">
        <f t="shared" si="12"/>
        <v>102.4390243902439</v>
      </c>
      <c r="M15" s="80">
        <f t="shared" si="4"/>
        <v>26.099999999999998</v>
      </c>
      <c r="N15" s="80">
        <f t="shared" si="5"/>
        <v>19.4</v>
      </c>
      <c r="O15" s="11">
        <f t="shared" si="3"/>
        <v>74.32950191570882</v>
      </c>
      <c r="P15" s="38">
        <v>9.2</v>
      </c>
      <c r="Q15" s="38">
        <v>14.5</v>
      </c>
      <c r="R15" s="11">
        <f t="shared" si="13"/>
        <v>157.60869565217394</v>
      </c>
      <c r="S15" s="38">
        <v>4.2</v>
      </c>
      <c r="T15" s="38">
        <v>9.3</v>
      </c>
      <c r="U15" s="11">
        <f t="shared" si="14"/>
        <v>221.42857142857144</v>
      </c>
      <c r="V15" s="38">
        <v>15.8</v>
      </c>
      <c r="W15" s="38">
        <v>18.7</v>
      </c>
      <c r="X15" s="11">
        <f t="shared" si="15"/>
        <v>118.35443037974682</v>
      </c>
      <c r="Y15" s="80">
        <f t="shared" si="16"/>
        <v>29.2</v>
      </c>
      <c r="Z15" s="80">
        <f t="shared" si="17"/>
        <v>42.5</v>
      </c>
      <c r="AA15" s="11">
        <f t="shared" si="18"/>
        <v>145.54794520547944</v>
      </c>
      <c r="AB15" s="38">
        <v>6.9</v>
      </c>
      <c r="AC15" s="38">
        <v>4.6</v>
      </c>
      <c r="AD15" s="11">
        <f t="shared" si="19"/>
        <v>66.66666666666666</v>
      </c>
      <c r="AE15" s="38">
        <v>5</v>
      </c>
      <c r="AF15" s="38">
        <v>8.8</v>
      </c>
      <c r="AG15" s="11">
        <f t="shared" si="21"/>
        <v>176.00000000000003</v>
      </c>
      <c r="AH15" s="38">
        <v>2.4</v>
      </c>
      <c r="AI15" s="38">
        <v>0.2</v>
      </c>
      <c r="AJ15" s="80">
        <f t="shared" si="6"/>
        <v>14.3</v>
      </c>
      <c r="AK15" s="80">
        <f t="shared" si="7"/>
        <v>13.6</v>
      </c>
      <c r="AL15" s="11">
        <f t="shared" si="20"/>
        <v>95.10489510489509</v>
      </c>
      <c r="AM15" s="38">
        <v>11</v>
      </c>
      <c r="AN15" s="38">
        <v>6.7</v>
      </c>
      <c r="AO15" s="38">
        <v>14.3</v>
      </c>
      <c r="AP15" s="38">
        <v>8.5</v>
      </c>
      <c r="AQ15" s="38">
        <v>17.4</v>
      </c>
      <c r="AR15" s="38">
        <v>30.1</v>
      </c>
      <c r="AS15" s="65">
        <f t="shared" si="8"/>
        <v>112.29999999999998</v>
      </c>
      <c r="AT15" s="65">
        <f t="shared" si="9"/>
        <v>120.80000000000001</v>
      </c>
      <c r="AU15" s="11">
        <f t="shared" si="2"/>
        <v>107.56901157613538</v>
      </c>
      <c r="AV15" s="65">
        <f t="shared" si="10"/>
        <v>-8.500000000000028</v>
      </c>
      <c r="AW15" s="18">
        <f t="shared" si="11"/>
        <v>-5.300000000000026</v>
      </c>
    </row>
    <row r="16" spans="1:49" ht="24.75" customHeight="1">
      <c r="A16" s="13" t="s">
        <v>20</v>
      </c>
      <c r="B16" s="41" t="s">
        <v>97</v>
      </c>
      <c r="C16" s="107">
        <v>-0.1</v>
      </c>
      <c r="D16" s="38">
        <v>1.2</v>
      </c>
      <c r="E16" s="38">
        <v>0.2</v>
      </c>
      <c r="F16" s="11">
        <f t="shared" si="22"/>
        <v>16.666666666666668</v>
      </c>
      <c r="G16" s="38">
        <v>1.3</v>
      </c>
      <c r="H16" s="38">
        <v>1.2</v>
      </c>
      <c r="I16" s="11">
        <f t="shared" si="0"/>
        <v>92.3076923076923</v>
      </c>
      <c r="J16" s="38">
        <v>0.9</v>
      </c>
      <c r="K16" s="38">
        <v>1.2</v>
      </c>
      <c r="L16" s="11">
        <f t="shared" si="12"/>
        <v>133.33333333333331</v>
      </c>
      <c r="M16" s="80">
        <f t="shared" si="4"/>
        <v>3.4</v>
      </c>
      <c r="N16" s="80">
        <f t="shared" si="5"/>
        <v>2.5999999999999996</v>
      </c>
      <c r="O16" s="11">
        <f t="shared" si="3"/>
        <v>76.47058823529412</v>
      </c>
      <c r="P16" s="38">
        <v>1.2</v>
      </c>
      <c r="Q16" s="38">
        <v>1.3</v>
      </c>
      <c r="R16" s="11">
        <f t="shared" si="13"/>
        <v>108.33333333333334</v>
      </c>
      <c r="S16" s="38">
        <v>1.2</v>
      </c>
      <c r="T16" s="38">
        <v>0.9</v>
      </c>
      <c r="U16" s="11">
        <f t="shared" si="14"/>
        <v>75</v>
      </c>
      <c r="V16" s="38">
        <v>1</v>
      </c>
      <c r="W16" s="38">
        <v>1.2</v>
      </c>
      <c r="X16" s="11">
        <f t="shared" si="15"/>
        <v>120</v>
      </c>
      <c r="Y16" s="80">
        <f t="shared" si="16"/>
        <v>3.4</v>
      </c>
      <c r="Z16" s="80">
        <f t="shared" si="17"/>
        <v>3.4000000000000004</v>
      </c>
      <c r="AA16" s="11">
        <f t="shared" si="18"/>
        <v>100.00000000000003</v>
      </c>
      <c r="AB16" s="38">
        <v>1</v>
      </c>
      <c r="AC16" s="38">
        <v>0.7</v>
      </c>
      <c r="AD16" s="11">
        <f t="shared" si="19"/>
        <v>70</v>
      </c>
      <c r="AE16" s="38">
        <v>0.9</v>
      </c>
      <c r="AF16" s="38">
        <v>0.8</v>
      </c>
      <c r="AG16" s="11">
        <f t="shared" si="21"/>
        <v>88.8888888888889</v>
      </c>
      <c r="AH16" s="38">
        <v>1.5</v>
      </c>
      <c r="AI16" s="38">
        <v>1.4</v>
      </c>
      <c r="AJ16" s="80">
        <f t="shared" si="6"/>
        <v>3.4</v>
      </c>
      <c r="AK16" s="80">
        <f t="shared" si="7"/>
        <v>2.9</v>
      </c>
      <c r="AL16" s="11">
        <f t="shared" si="20"/>
        <v>85.29411764705883</v>
      </c>
      <c r="AM16" s="38">
        <v>1.1</v>
      </c>
      <c r="AN16" s="38">
        <v>1.1</v>
      </c>
      <c r="AO16" s="38">
        <v>1</v>
      </c>
      <c r="AP16" s="38">
        <v>0.5</v>
      </c>
      <c r="AQ16" s="38">
        <v>1.1</v>
      </c>
      <c r="AR16" s="38">
        <v>2.6</v>
      </c>
      <c r="AS16" s="65">
        <f t="shared" si="8"/>
        <v>13.399999999999999</v>
      </c>
      <c r="AT16" s="65">
        <f t="shared" si="9"/>
        <v>13.1</v>
      </c>
      <c r="AU16" s="11">
        <f t="shared" si="2"/>
        <v>97.76119402985076</v>
      </c>
      <c r="AV16" s="65">
        <f t="shared" si="10"/>
        <v>0.29999999999999893</v>
      </c>
      <c r="AW16" s="18">
        <f t="shared" si="11"/>
        <v>0.1999999999999993</v>
      </c>
    </row>
    <row r="17" spans="1:49" ht="24.75" customHeight="1">
      <c r="A17" s="13" t="s">
        <v>21</v>
      </c>
      <c r="B17" s="15" t="s">
        <v>98</v>
      </c>
      <c r="C17" s="107">
        <v>-0.3</v>
      </c>
      <c r="D17" s="38">
        <f>0.1+0.6</f>
        <v>0.7</v>
      </c>
      <c r="E17" s="38">
        <v>0.6</v>
      </c>
      <c r="F17" s="60">
        <f t="shared" si="22"/>
        <v>85.71428571428572</v>
      </c>
      <c r="G17" s="38">
        <f>0.2+0.6</f>
        <v>0.8</v>
      </c>
      <c r="H17" s="38">
        <v>0.6</v>
      </c>
      <c r="I17" s="11">
        <f t="shared" si="0"/>
        <v>74.99999999999999</v>
      </c>
      <c r="J17" s="38">
        <f>0.2+0.6</f>
        <v>0.8</v>
      </c>
      <c r="K17" s="38">
        <f>0.1+0.6</f>
        <v>0.7</v>
      </c>
      <c r="L17" s="11">
        <f t="shared" si="12"/>
        <v>87.49999999999999</v>
      </c>
      <c r="M17" s="80">
        <f t="shared" si="4"/>
        <v>2.3</v>
      </c>
      <c r="N17" s="80">
        <f t="shared" si="5"/>
        <v>1.9</v>
      </c>
      <c r="O17" s="11">
        <f t="shared" si="3"/>
        <v>82.6086956521739</v>
      </c>
      <c r="P17" s="38">
        <f>0.1+0.6</f>
        <v>0.7</v>
      </c>
      <c r="Q17" s="38">
        <f>0+0.6</f>
        <v>0.6</v>
      </c>
      <c r="R17" s="11">
        <f t="shared" si="13"/>
        <v>85.71428571428572</v>
      </c>
      <c r="S17" s="38">
        <f>0.1+0.7</f>
        <v>0.7999999999999999</v>
      </c>
      <c r="T17" s="38">
        <f>0.2+0.7</f>
        <v>0.8999999999999999</v>
      </c>
      <c r="U17" s="11">
        <f t="shared" si="14"/>
        <v>112.5</v>
      </c>
      <c r="V17" s="38">
        <f>0.2+0.8</f>
        <v>1</v>
      </c>
      <c r="W17" s="38">
        <f>0.1+0.8</f>
        <v>0.9</v>
      </c>
      <c r="X17" s="11">
        <f t="shared" si="15"/>
        <v>90</v>
      </c>
      <c r="Y17" s="80">
        <f t="shared" si="16"/>
        <v>2.5</v>
      </c>
      <c r="Z17" s="80">
        <f t="shared" si="17"/>
        <v>2.4</v>
      </c>
      <c r="AA17" s="11">
        <f t="shared" si="18"/>
        <v>96</v>
      </c>
      <c r="AB17" s="38">
        <f>0.1+0.8</f>
        <v>0.9</v>
      </c>
      <c r="AC17" s="38">
        <v>0.8</v>
      </c>
      <c r="AD17" s="11">
        <f t="shared" si="19"/>
        <v>88.8888888888889</v>
      </c>
      <c r="AE17" s="38">
        <f>1.2+0.1</f>
        <v>1.3</v>
      </c>
      <c r="AF17" s="38">
        <f>1.2+0.9</f>
        <v>2.1</v>
      </c>
      <c r="AG17" s="11">
        <f t="shared" si="21"/>
        <v>161.53846153846155</v>
      </c>
      <c r="AH17" s="38">
        <f>0.8+0.1</f>
        <v>0.9</v>
      </c>
      <c r="AI17" s="38">
        <f>0.8</f>
        <v>0.8</v>
      </c>
      <c r="AJ17" s="80">
        <f t="shared" si="6"/>
        <v>3.1</v>
      </c>
      <c r="AK17" s="80">
        <f t="shared" si="7"/>
        <v>3.7</v>
      </c>
      <c r="AL17" s="11">
        <f t="shared" si="20"/>
        <v>119.35483870967742</v>
      </c>
      <c r="AM17" s="38">
        <v>0.7</v>
      </c>
      <c r="AN17" s="38">
        <v>0.8</v>
      </c>
      <c r="AO17" s="38">
        <v>0.9</v>
      </c>
      <c r="AP17" s="38">
        <v>0.8</v>
      </c>
      <c r="AQ17" s="38">
        <v>0.9</v>
      </c>
      <c r="AR17" s="38">
        <v>0.9</v>
      </c>
      <c r="AS17" s="65">
        <f t="shared" si="8"/>
        <v>10.4</v>
      </c>
      <c r="AT17" s="65">
        <f t="shared" si="9"/>
        <v>10.500000000000002</v>
      </c>
      <c r="AU17" s="11">
        <f t="shared" si="2"/>
        <v>100.96153846153848</v>
      </c>
      <c r="AV17" s="65">
        <f t="shared" si="10"/>
        <v>-0.10000000000000142</v>
      </c>
      <c r="AW17" s="18">
        <f t="shared" si="11"/>
        <v>-0.40000000000000213</v>
      </c>
    </row>
    <row r="18" spans="1:49" s="126" customFormat="1" ht="24.75" customHeight="1">
      <c r="A18" s="119" t="s">
        <v>22</v>
      </c>
      <c r="B18" s="120" t="s">
        <v>99</v>
      </c>
      <c r="C18" s="121">
        <v>-1.5</v>
      </c>
      <c r="D18" s="122">
        <v>3.6</v>
      </c>
      <c r="E18" s="122">
        <v>0.9</v>
      </c>
      <c r="F18" s="123">
        <f t="shared" si="22"/>
        <v>25</v>
      </c>
      <c r="G18" s="122">
        <v>2.5</v>
      </c>
      <c r="H18" s="122">
        <v>1.6</v>
      </c>
      <c r="I18" s="123">
        <f t="shared" si="0"/>
        <v>64</v>
      </c>
      <c r="J18" s="122">
        <v>4.6</v>
      </c>
      <c r="K18" s="122">
        <v>3.9</v>
      </c>
      <c r="L18" s="123">
        <f t="shared" si="12"/>
        <v>84.78260869565219</v>
      </c>
      <c r="M18" s="80">
        <f t="shared" si="4"/>
        <v>10.7</v>
      </c>
      <c r="N18" s="80">
        <f t="shared" si="5"/>
        <v>6.4</v>
      </c>
      <c r="O18" s="11">
        <f t="shared" si="3"/>
        <v>59.81308411214954</v>
      </c>
      <c r="P18" s="122">
        <v>3.6</v>
      </c>
      <c r="Q18" s="122">
        <v>1.3</v>
      </c>
      <c r="R18" s="123">
        <f t="shared" si="13"/>
        <v>36.11111111111111</v>
      </c>
      <c r="S18" s="122">
        <v>2.9</v>
      </c>
      <c r="T18" s="122">
        <v>5.1</v>
      </c>
      <c r="U18" s="123">
        <f t="shared" si="14"/>
        <v>175.86206896551724</v>
      </c>
      <c r="V18" s="122">
        <v>3.1</v>
      </c>
      <c r="W18" s="122">
        <v>3.8</v>
      </c>
      <c r="X18" s="123">
        <f t="shared" si="15"/>
        <v>122.5806451612903</v>
      </c>
      <c r="Y18" s="80">
        <f t="shared" si="16"/>
        <v>9.6</v>
      </c>
      <c r="Z18" s="80">
        <f t="shared" si="17"/>
        <v>10.2</v>
      </c>
      <c r="AA18" s="11">
        <f t="shared" si="18"/>
        <v>106.25</v>
      </c>
      <c r="AB18" s="122">
        <v>2.5</v>
      </c>
      <c r="AC18" s="122">
        <v>2.9</v>
      </c>
      <c r="AD18" s="123">
        <f t="shared" si="19"/>
        <v>115.99999999999999</v>
      </c>
      <c r="AE18" s="38">
        <v>3</v>
      </c>
      <c r="AF18" s="38">
        <v>2.3</v>
      </c>
      <c r="AG18" s="11">
        <f t="shared" si="21"/>
        <v>76.66666666666666</v>
      </c>
      <c r="AH18" s="38">
        <v>2.6</v>
      </c>
      <c r="AI18" s="38">
        <v>1.6</v>
      </c>
      <c r="AJ18" s="80">
        <f t="shared" si="6"/>
        <v>8.1</v>
      </c>
      <c r="AK18" s="80">
        <f t="shared" si="7"/>
        <v>6.799999999999999</v>
      </c>
      <c r="AL18" s="11">
        <f t="shared" si="20"/>
        <v>83.9506172839506</v>
      </c>
      <c r="AM18" s="38">
        <v>3.1</v>
      </c>
      <c r="AN18" s="38">
        <v>4.4</v>
      </c>
      <c r="AO18" s="38">
        <v>2.9</v>
      </c>
      <c r="AP18" s="38">
        <v>3.2</v>
      </c>
      <c r="AQ18" s="38">
        <v>3.3</v>
      </c>
      <c r="AR18" s="38">
        <v>5</v>
      </c>
      <c r="AS18" s="65">
        <f t="shared" si="8"/>
        <v>37.699999999999996</v>
      </c>
      <c r="AT18" s="65">
        <f t="shared" si="9"/>
        <v>36</v>
      </c>
      <c r="AU18" s="123">
        <f t="shared" si="2"/>
        <v>95.49071618037136</v>
      </c>
      <c r="AV18" s="124">
        <f t="shared" si="10"/>
        <v>1.6999999999999957</v>
      </c>
      <c r="AW18" s="125">
        <f t="shared" si="11"/>
        <v>0.19999999999999574</v>
      </c>
    </row>
    <row r="19" spans="1:49" ht="25.5" customHeight="1">
      <c r="A19" s="13" t="s">
        <v>23</v>
      </c>
      <c r="B19" s="41" t="s">
        <v>100</v>
      </c>
      <c r="C19" s="98">
        <v>0.5</v>
      </c>
      <c r="D19" s="38">
        <v>5.3</v>
      </c>
      <c r="E19" s="38">
        <v>2.4</v>
      </c>
      <c r="F19" s="60">
        <f>E19/D19*100</f>
        <v>45.28301886792453</v>
      </c>
      <c r="G19" s="38">
        <v>8.1</v>
      </c>
      <c r="H19" s="38">
        <v>6.7</v>
      </c>
      <c r="I19" s="68">
        <f t="shared" si="0"/>
        <v>82.71604938271605</v>
      </c>
      <c r="J19" s="38">
        <v>6</v>
      </c>
      <c r="K19" s="38">
        <v>6.7</v>
      </c>
      <c r="L19" s="123">
        <f t="shared" si="12"/>
        <v>111.66666666666667</v>
      </c>
      <c r="M19" s="80">
        <f t="shared" si="4"/>
        <v>19.4</v>
      </c>
      <c r="N19" s="80">
        <f t="shared" si="5"/>
        <v>15.8</v>
      </c>
      <c r="O19" s="11">
        <f t="shared" si="3"/>
        <v>81.44329896907217</v>
      </c>
      <c r="P19" s="38">
        <v>7.3</v>
      </c>
      <c r="Q19" s="38">
        <v>4.6</v>
      </c>
      <c r="R19" s="128">
        <f t="shared" si="13"/>
        <v>63.013698630136986</v>
      </c>
      <c r="S19" s="38">
        <v>7.2</v>
      </c>
      <c r="T19" s="38">
        <v>5.4</v>
      </c>
      <c r="U19" s="128">
        <f t="shared" si="14"/>
        <v>75</v>
      </c>
      <c r="V19" s="38">
        <v>7.4</v>
      </c>
      <c r="W19" s="38">
        <v>4.1</v>
      </c>
      <c r="X19" s="128">
        <f t="shared" si="15"/>
        <v>55.405405405405396</v>
      </c>
      <c r="Y19" s="80">
        <f t="shared" si="16"/>
        <v>21.9</v>
      </c>
      <c r="Z19" s="80">
        <f t="shared" si="17"/>
        <v>14.1</v>
      </c>
      <c r="AA19" s="11">
        <f t="shared" si="18"/>
        <v>64.38356164383562</v>
      </c>
      <c r="AB19" s="38">
        <v>6.1</v>
      </c>
      <c r="AC19" s="38">
        <v>6.9</v>
      </c>
      <c r="AD19" s="128">
        <f t="shared" si="19"/>
        <v>113.11475409836066</v>
      </c>
      <c r="AE19" s="38">
        <v>6.5</v>
      </c>
      <c r="AF19" s="38">
        <v>4.9</v>
      </c>
      <c r="AG19" s="129">
        <f t="shared" si="21"/>
        <v>75.3846153846154</v>
      </c>
      <c r="AH19" s="38">
        <v>7.6</v>
      </c>
      <c r="AI19" s="38">
        <v>4.7</v>
      </c>
      <c r="AJ19" s="80">
        <f t="shared" si="6"/>
        <v>20.2</v>
      </c>
      <c r="AK19" s="80">
        <f t="shared" si="7"/>
        <v>16.5</v>
      </c>
      <c r="AL19" s="11">
        <f t="shared" si="20"/>
        <v>81.68316831683168</v>
      </c>
      <c r="AM19" s="38">
        <v>7.2</v>
      </c>
      <c r="AN19" s="38">
        <v>7.9</v>
      </c>
      <c r="AO19" s="38">
        <v>6.8</v>
      </c>
      <c r="AP19" s="38">
        <v>7.2</v>
      </c>
      <c r="AQ19" s="38">
        <v>8.7</v>
      </c>
      <c r="AR19" s="38">
        <v>22.3</v>
      </c>
      <c r="AS19" s="65">
        <f t="shared" si="8"/>
        <v>84.2</v>
      </c>
      <c r="AT19" s="65">
        <f t="shared" si="9"/>
        <v>83.8</v>
      </c>
      <c r="AU19" s="11">
        <f t="shared" si="2"/>
        <v>99.5249406175772</v>
      </c>
      <c r="AV19" s="65">
        <f t="shared" si="10"/>
        <v>0.4000000000000057</v>
      </c>
      <c r="AW19" s="18">
        <f t="shared" si="11"/>
        <v>0.9000000000000057</v>
      </c>
    </row>
    <row r="20" spans="1:49" ht="24.75" customHeight="1">
      <c r="A20" s="13" t="s">
        <v>24</v>
      </c>
      <c r="B20" s="15" t="s">
        <v>101</v>
      </c>
      <c r="C20" s="108"/>
      <c r="D20" s="38"/>
      <c r="E20" s="38"/>
      <c r="F20" s="85"/>
      <c r="G20" s="38"/>
      <c r="H20" s="38"/>
      <c r="I20" s="101"/>
      <c r="J20" s="38"/>
      <c r="K20" s="38"/>
      <c r="L20" s="101"/>
      <c r="M20" s="80"/>
      <c r="N20" s="80"/>
      <c r="O20" s="11"/>
      <c r="P20" s="38"/>
      <c r="Q20" s="38"/>
      <c r="R20" s="128"/>
      <c r="S20" s="38"/>
      <c r="T20" s="38"/>
      <c r="U20" s="128"/>
      <c r="V20" s="38"/>
      <c r="W20" s="38"/>
      <c r="X20" s="128"/>
      <c r="Y20" s="80"/>
      <c r="Z20" s="80"/>
      <c r="AA20" s="11"/>
      <c r="AB20" s="38"/>
      <c r="AC20" s="38"/>
      <c r="AD20" s="128"/>
      <c r="AE20" s="38"/>
      <c r="AF20" s="38"/>
      <c r="AG20" s="11"/>
      <c r="AH20" s="38"/>
      <c r="AI20" s="38"/>
      <c r="AJ20" s="80"/>
      <c r="AK20" s="80"/>
      <c r="AL20" s="11"/>
      <c r="AM20" s="38"/>
      <c r="AN20" s="38"/>
      <c r="AO20" s="38"/>
      <c r="AP20" s="38"/>
      <c r="AQ20" s="38"/>
      <c r="AR20" s="38"/>
      <c r="AS20" s="65"/>
      <c r="AT20" s="65"/>
      <c r="AU20" s="101"/>
      <c r="AV20" s="65"/>
      <c r="AW20" s="18"/>
    </row>
    <row r="21" spans="1:49" ht="24.75" customHeight="1">
      <c r="A21" s="13" t="s">
        <v>25</v>
      </c>
      <c r="B21" s="50" t="s">
        <v>102</v>
      </c>
      <c r="C21" s="104">
        <v>0</v>
      </c>
      <c r="D21" s="38">
        <v>1</v>
      </c>
      <c r="E21" s="38">
        <v>1</v>
      </c>
      <c r="F21" s="60">
        <f aca="true" t="shared" si="23" ref="F21:F28">E21/D21*100</f>
        <v>100</v>
      </c>
      <c r="G21" s="38">
        <v>0.2</v>
      </c>
      <c r="H21" s="38">
        <v>0.2</v>
      </c>
      <c r="I21" s="68">
        <f t="shared" si="0"/>
        <v>100</v>
      </c>
      <c r="J21" s="38">
        <v>0.4</v>
      </c>
      <c r="K21" s="38">
        <v>0.4</v>
      </c>
      <c r="L21" s="11">
        <f>K21/J21*100</f>
        <v>100</v>
      </c>
      <c r="M21" s="80">
        <f t="shared" si="4"/>
        <v>1.6</v>
      </c>
      <c r="N21" s="80">
        <f t="shared" si="5"/>
        <v>1.6</v>
      </c>
      <c r="O21" s="11">
        <f t="shared" si="3"/>
        <v>100</v>
      </c>
      <c r="P21" s="38">
        <v>0.3</v>
      </c>
      <c r="Q21" s="38">
        <v>0.3</v>
      </c>
      <c r="R21" s="128">
        <f>Q21/P21*100</f>
        <v>100</v>
      </c>
      <c r="S21" s="38">
        <v>0.3</v>
      </c>
      <c r="T21" s="38">
        <v>0.3</v>
      </c>
      <c r="U21" s="128">
        <f>T21/S21*100</f>
        <v>100</v>
      </c>
      <c r="V21" s="38">
        <v>0.2</v>
      </c>
      <c r="W21" s="38">
        <v>0.2</v>
      </c>
      <c r="X21" s="128">
        <f>W21/V21*100</f>
        <v>100</v>
      </c>
      <c r="Y21" s="80">
        <f aca="true" t="shared" si="24" ref="Y21:Z25">P21+S21+V21</f>
        <v>0.8</v>
      </c>
      <c r="Z21" s="80">
        <f t="shared" si="24"/>
        <v>0.8</v>
      </c>
      <c r="AA21" s="11">
        <f>Z21/Y21*100</f>
        <v>100</v>
      </c>
      <c r="AB21" s="38">
        <v>0.6</v>
      </c>
      <c r="AC21" s="38">
        <v>0.6</v>
      </c>
      <c r="AD21" s="128">
        <f>AC21/AB21*100</f>
        <v>100</v>
      </c>
      <c r="AE21" s="38">
        <v>0.6</v>
      </c>
      <c r="AF21" s="38">
        <v>0.6</v>
      </c>
      <c r="AG21" s="11">
        <f t="shared" si="21"/>
        <v>100</v>
      </c>
      <c r="AH21" s="38">
        <v>0.6</v>
      </c>
      <c r="AI21" s="38">
        <v>0.6</v>
      </c>
      <c r="AJ21" s="80">
        <f t="shared" si="6"/>
        <v>1.7999999999999998</v>
      </c>
      <c r="AK21" s="80">
        <f t="shared" si="7"/>
        <v>1.7999999999999998</v>
      </c>
      <c r="AL21" s="11">
        <f>AK21/AJ21*100</f>
        <v>100</v>
      </c>
      <c r="AM21" s="38">
        <v>0.2</v>
      </c>
      <c r="AN21" s="38">
        <v>0.2</v>
      </c>
      <c r="AO21" s="38">
        <v>0.2</v>
      </c>
      <c r="AP21" s="38">
        <v>0.2</v>
      </c>
      <c r="AQ21" s="38">
        <v>0.2</v>
      </c>
      <c r="AR21" s="38">
        <v>0.2</v>
      </c>
      <c r="AS21" s="65">
        <f t="shared" si="8"/>
        <v>4.800000000000001</v>
      </c>
      <c r="AT21" s="65">
        <f t="shared" si="9"/>
        <v>4.800000000000001</v>
      </c>
      <c r="AU21" s="11">
        <f t="shared" si="2"/>
        <v>100</v>
      </c>
      <c r="AV21" s="65">
        <f t="shared" si="10"/>
        <v>0</v>
      </c>
      <c r="AW21" s="18">
        <f t="shared" si="11"/>
        <v>0</v>
      </c>
    </row>
    <row r="22" spans="1:49" ht="24.75" customHeight="1">
      <c r="A22" s="13" t="s">
        <v>26</v>
      </c>
      <c r="B22" s="15" t="s">
        <v>103</v>
      </c>
      <c r="C22" s="109">
        <v>1</v>
      </c>
      <c r="D22" s="38">
        <v>2.7</v>
      </c>
      <c r="E22" s="38">
        <v>1.9</v>
      </c>
      <c r="F22" s="11">
        <f t="shared" si="23"/>
        <v>70.37037037037037</v>
      </c>
      <c r="G22" s="38">
        <v>2.4</v>
      </c>
      <c r="H22" s="38">
        <v>2.9</v>
      </c>
      <c r="I22" s="68">
        <f t="shared" si="0"/>
        <v>120.83333333333333</v>
      </c>
      <c r="J22" s="38">
        <v>3.2</v>
      </c>
      <c r="K22" s="38">
        <v>3.5</v>
      </c>
      <c r="L22" s="11">
        <f>K22/J22*100</f>
        <v>109.375</v>
      </c>
      <c r="M22" s="80">
        <f t="shared" si="4"/>
        <v>8.3</v>
      </c>
      <c r="N22" s="80">
        <f t="shared" si="5"/>
        <v>8.3</v>
      </c>
      <c r="O22" s="11">
        <f t="shared" si="3"/>
        <v>100</v>
      </c>
      <c r="P22" s="38">
        <v>2.2</v>
      </c>
      <c r="Q22" s="38">
        <v>2.2</v>
      </c>
      <c r="R22" s="128">
        <f>Q22/P22*100</f>
        <v>100</v>
      </c>
      <c r="S22" s="38">
        <v>2.5</v>
      </c>
      <c r="T22" s="38">
        <v>3.5</v>
      </c>
      <c r="U22" s="128">
        <f>T22/S22*100</f>
        <v>140</v>
      </c>
      <c r="V22" s="38">
        <v>2.6</v>
      </c>
      <c r="W22" s="38">
        <v>3.8</v>
      </c>
      <c r="X22" s="128">
        <f>W22/V22*100</f>
        <v>146.15384615384613</v>
      </c>
      <c r="Y22" s="80">
        <f t="shared" si="24"/>
        <v>7.300000000000001</v>
      </c>
      <c r="Z22" s="80">
        <f t="shared" si="24"/>
        <v>9.5</v>
      </c>
      <c r="AA22" s="11">
        <f>Z22/Y22*100</f>
        <v>130.13698630136986</v>
      </c>
      <c r="AB22" s="38">
        <v>3.9</v>
      </c>
      <c r="AC22" s="38">
        <v>2.3</v>
      </c>
      <c r="AD22" s="128">
        <f>AC22/AB22*100</f>
        <v>58.97435897435898</v>
      </c>
      <c r="AE22" s="38">
        <v>2.5</v>
      </c>
      <c r="AF22" s="38">
        <v>2.8</v>
      </c>
      <c r="AG22" s="130">
        <f t="shared" si="21"/>
        <v>111.99999999999999</v>
      </c>
      <c r="AH22" s="38">
        <v>3.1</v>
      </c>
      <c r="AI22" s="38">
        <v>2.2</v>
      </c>
      <c r="AJ22" s="80">
        <f t="shared" si="6"/>
        <v>9.5</v>
      </c>
      <c r="AK22" s="80">
        <f t="shared" si="7"/>
        <v>7.3</v>
      </c>
      <c r="AL22" s="11">
        <f>AK22/AJ22*100</f>
        <v>76.84210526315789</v>
      </c>
      <c r="AM22" s="38">
        <v>8.5</v>
      </c>
      <c r="AN22" s="38">
        <v>7.9</v>
      </c>
      <c r="AO22" s="38">
        <v>8.1</v>
      </c>
      <c r="AP22" s="38">
        <v>7.2</v>
      </c>
      <c r="AQ22" s="38">
        <v>9.8</v>
      </c>
      <c r="AR22" s="38">
        <v>15.6</v>
      </c>
      <c r="AS22" s="65">
        <f t="shared" si="8"/>
        <v>51.5</v>
      </c>
      <c r="AT22" s="65">
        <f t="shared" si="9"/>
        <v>55.800000000000004</v>
      </c>
      <c r="AU22" s="11">
        <f t="shared" si="2"/>
        <v>108.3495145631068</v>
      </c>
      <c r="AV22" s="65">
        <f t="shared" si="10"/>
        <v>-4.300000000000004</v>
      </c>
      <c r="AW22" s="18">
        <f t="shared" si="11"/>
        <v>-3.3000000000000043</v>
      </c>
    </row>
    <row r="23" spans="1:49" ht="24.75" customHeight="1">
      <c r="A23" s="13" t="s">
        <v>27</v>
      </c>
      <c r="B23" s="15" t="s">
        <v>124</v>
      </c>
      <c r="C23" s="98">
        <v>-0.2</v>
      </c>
      <c r="D23" s="38">
        <v>1.4</v>
      </c>
      <c r="E23" s="38">
        <v>0.1</v>
      </c>
      <c r="F23" s="87">
        <f t="shared" si="23"/>
        <v>7.142857142857144</v>
      </c>
      <c r="G23" s="38">
        <v>0.8</v>
      </c>
      <c r="H23" s="38">
        <v>0.5</v>
      </c>
      <c r="I23" s="11">
        <f t="shared" si="0"/>
        <v>62.5</v>
      </c>
      <c r="J23" s="38">
        <v>0.7</v>
      </c>
      <c r="K23" s="38">
        <v>0.9</v>
      </c>
      <c r="L23" s="11">
        <f>K23/J23*100</f>
        <v>128.57142857142858</v>
      </c>
      <c r="M23" s="80">
        <f t="shared" si="4"/>
        <v>2.9000000000000004</v>
      </c>
      <c r="N23" s="80">
        <f t="shared" si="5"/>
        <v>1.5</v>
      </c>
      <c r="O23" s="11">
        <f t="shared" si="3"/>
        <v>51.72413793103448</v>
      </c>
      <c r="P23" s="38">
        <v>0.8</v>
      </c>
      <c r="Q23" s="38">
        <v>0.4</v>
      </c>
      <c r="R23" s="11">
        <f>Q23/P23*100</f>
        <v>50</v>
      </c>
      <c r="S23" s="38">
        <v>0.6</v>
      </c>
      <c r="T23" s="38">
        <v>1.6</v>
      </c>
      <c r="U23" s="11">
        <f>T23/S23*100</f>
        <v>266.6666666666667</v>
      </c>
      <c r="V23" s="38">
        <v>0.7</v>
      </c>
      <c r="W23" s="38">
        <v>0.6</v>
      </c>
      <c r="X23" s="11">
        <f>W23/V23*100</f>
        <v>85.71428571428572</v>
      </c>
      <c r="Y23" s="80">
        <f t="shared" si="24"/>
        <v>2.0999999999999996</v>
      </c>
      <c r="Z23" s="80">
        <f t="shared" si="24"/>
        <v>2.6</v>
      </c>
      <c r="AA23" s="11">
        <f>Z23/Y23*100</f>
        <v>123.80952380952384</v>
      </c>
      <c r="AB23" s="38">
        <v>0.7</v>
      </c>
      <c r="AC23" s="38">
        <v>0.5</v>
      </c>
      <c r="AD23" s="11">
        <f>AC23/AB23*100</f>
        <v>71.42857142857143</v>
      </c>
      <c r="AE23" s="38">
        <v>0.8</v>
      </c>
      <c r="AF23" s="38">
        <v>1</v>
      </c>
      <c r="AG23" s="130">
        <f t="shared" si="21"/>
        <v>125</v>
      </c>
      <c r="AH23" s="38">
        <v>0.7</v>
      </c>
      <c r="AI23" s="38">
        <v>0.5</v>
      </c>
      <c r="AJ23" s="80">
        <f t="shared" si="6"/>
        <v>2.2</v>
      </c>
      <c r="AK23" s="80">
        <f t="shared" si="7"/>
        <v>2</v>
      </c>
      <c r="AL23" s="11">
        <f>AK23/AJ23*100</f>
        <v>90.9090909090909</v>
      </c>
      <c r="AM23" s="38">
        <v>0.8</v>
      </c>
      <c r="AN23" s="38">
        <v>0.4</v>
      </c>
      <c r="AO23" s="38">
        <v>0.8</v>
      </c>
      <c r="AP23" s="38">
        <v>1.4</v>
      </c>
      <c r="AQ23" s="38">
        <v>0.8</v>
      </c>
      <c r="AR23" s="38">
        <v>1.5</v>
      </c>
      <c r="AS23" s="65">
        <f t="shared" si="8"/>
        <v>9.600000000000001</v>
      </c>
      <c r="AT23" s="65">
        <f t="shared" si="9"/>
        <v>9.4</v>
      </c>
      <c r="AU23" s="11">
        <f t="shared" si="2"/>
        <v>97.91666666666666</v>
      </c>
      <c r="AV23" s="65">
        <f t="shared" si="10"/>
        <v>0.20000000000000107</v>
      </c>
      <c r="AW23" s="18">
        <f t="shared" si="11"/>
        <v>0</v>
      </c>
    </row>
    <row r="24" spans="1:49" ht="24.75" customHeight="1">
      <c r="A24" s="13" t="s">
        <v>28</v>
      </c>
      <c r="B24" s="15" t="s">
        <v>104</v>
      </c>
      <c r="C24" s="98">
        <v>0.3</v>
      </c>
      <c r="D24" s="38">
        <v>10.7</v>
      </c>
      <c r="E24" s="38">
        <v>6.9</v>
      </c>
      <c r="F24" s="11">
        <f t="shared" si="23"/>
        <v>64.48598130841123</v>
      </c>
      <c r="G24" s="38">
        <v>17.4</v>
      </c>
      <c r="H24" s="38">
        <v>7.9</v>
      </c>
      <c r="I24" s="11">
        <f t="shared" si="0"/>
        <v>45.40229885057472</v>
      </c>
      <c r="J24" s="38">
        <v>11.3</v>
      </c>
      <c r="K24" s="38">
        <v>24</v>
      </c>
      <c r="L24" s="11">
        <f>K24/J24*100</f>
        <v>212.38938053097343</v>
      </c>
      <c r="M24" s="80">
        <f t="shared" si="4"/>
        <v>39.4</v>
      </c>
      <c r="N24" s="80">
        <f t="shared" si="5"/>
        <v>38.8</v>
      </c>
      <c r="O24" s="11">
        <f t="shared" si="3"/>
        <v>98.47715736040608</v>
      </c>
      <c r="P24" s="38">
        <v>11</v>
      </c>
      <c r="Q24" s="38">
        <v>10.3</v>
      </c>
      <c r="R24" s="11">
        <f>Q24/P24*100</f>
        <v>93.63636363636364</v>
      </c>
      <c r="S24" s="38">
        <v>9.5</v>
      </c>
      <c r="T24" s="38">
        <v>9.6</v>
      </c>
      <c r="U24" s="11">
        <f>T24/S24*100</f>
        <v>101.05263157894737</v>
      </c>
      <c r="V24" s="38">
        <v>5.6</v>
      </c>
      <c r="W24" s="38">
        <v>4</v>
      </c>
      <c r="X24" s="11">
        <f>W24/V24*100</f>
        <v>71.42857142857143</v>
      </c>
      <c r="Y24" s="80">
        <f t="shared" si="24"/>
        <v>26.1</v>
      </c>
      <c r="Z24" s="80">
        <f t="shared" si="24"/>
        <v>23.9</v>
      </c>
      <c r="AA24" s="11">
        <f>Z24/Y24*100</f>
        <v>91.57088122605363</v>
      </c>
      <c r="AB24" s="38">
        <v>8.7</v>
      </c>
      <c r="AC24" s="38">
        <v>5.2</v>
      </c>
      <c r="AD24" s="11">
        <f>AC24/AB24*100</f>
        <v>59.77011494252874</v>
      </c>
      <c r="AE24" s="38">
        <v>5.4</v>
      </c>
      <c r="AF24" s="38">
        <v>3.6</v>
      </c>
      <c r="AG24" s="130">
        <f t="shared" si="21"/>
        <v>66.66666666666666</v>
      </c>
      <c r="AH24" s="38">
        <v>7.9</v>
      </c>
      <c r="AI24" s="38">
        <v>4.1</v>
      </c>
      <c r="AJ24" s="80">
        <f t="shared" si="6"/>
        <v>22</v>
      </c>
      <c r="AK24" s="80">
        <f t="shared" si="7"/>
        <v>12.9</v>
      </c>
      <c r="AL24" s="11">
        <f>AK24/AJ24*100</f>
        <v>58.63636363636364</v>
      </c>
      <c r="AM24" s="38">
        <v>7.1</v>
      </c>
      <c r="AN24" s="38">
        <v>15.4</v>
      </c>
      <c r="AO24" s="38">
        <v>10.1</v>
      </c>
      <c r="AP24" s="38">
        <v>11.9</v>
      </c>
      <c r="AQ24" s="38">
        <v>20.5</v>
      </c>
      <c r="AR24" s="38">
        <v>22.4</v>
      </c>
      <c r="AS24" s="65">
        <f t="shared" si="8"/>
        <v>125.19999999999999</v>
      </c>
      <c r="AT24" s="65">
        <f t="shared" si="9"/>
        <v>125.30000000000001</v>
      </c>
      <c r="AU24" s="11">
        <f t="shared" si="2"/>
        <v>100.07987220447285</v>
      </c>
      <c r="AV24" s="65">
        <f t="shared" si="10"/>
        <v>-0.10000000000002274</v>
      </c>
      <c r="AW24" s="18">
        <f t="shared" si="11"/>
        <v>0.19999999999997442</v>
      </c>
    </row>
    <row r="25" spans="1:49" ht="24.75" customHeight="1">
      <c r="A25" s="13" t="s">
        <v>29</v>
      </c>
      <c r="B25" s="41" t="s">
        <v>105</v>
      </c>
      <c r="C25" s="98">
        <v>-0.7</v>
      </c>
      <c r="D25" s="38">
        <v>5.4</v>
      </c>
      <c r="E25" s="38">
        <v>2.7</v>
      </c>
      <c r="F25" s="11">
        <f t="shared" si="23"/>
        <v>50</v>
      </c>
      <c r="G25" s="38">
        <v>5.8</v>
      </c>
      <c r="H25" s="38">
        <v>5.5</v>
      </c>
      <c r="I25" s="11">
        <f t="shared" si="0"/>
        <v>94.82758620689656</v>
      </c>
      <c r="J25" s="38">
        <v>6.4</v>
      </c>
      <c r="K25" s="38">
        <v>5</v>
      </c>
      <c r="L25" s="11">
        <f>K25/J25*100</f>
        <v>78.125</v>
      </c>
      <c r="M25" s="80">
        <f t="shared" si="4"/>
        <v>17.6</v>
      </c>
      <c r="N25" s="80">
        <f t="shared" si="5"/>
        <v>13.2</v>
      </c>
      <c r="O25" s="11">
        <f t="shared" si="3"/>
        <v>74.99999999999999</v>
      </c>
      <c r="P25" s="38">
        <v>5.9</v>
      </c>
      <c r="Q25" s="38">
        <v>5.7</v>
      </c>
      <c r="R25" s="11">
        <f>Q25/P25*100</f>
        <v>96.61016949152543</v>
      </c>
      <c r="S25" s="38">
        <v>8.7</v>
      </c>
      <c r="T25" s="38">
        <v>9.7</v>
      </c>
      <c r="U25" s="11">
        <f>T25/S25*100</f>
        <v>111.49425287356323</v>
      </c>
      <c r="V25" s="38">
        <v>9.3</v>
      </c>
      <c r="W25" s="38">
        <v>8.9</v>
      </c>
      <c r="X25" s="11">
        <f>W25/V25*100</f>
        <v>95.69892473118279</v>
      </c>
      <c r="Y25" s="80">
        <f t="shared" si="24"/>
        <v>23.9</v>
      </c>
      <c r="Z25" s="80">
        <f t="shared" si="24"/>
        <v>24.299999999999997</v>
      </c>
      <c r="AA25" s="11">
        <f>Z25/Y25*100</f>
        <v>101.67364016736403</v>
      </c>
      <c r="AB25" s="38">
        <v>4</v>
      </c>
      <c r="AC25" s="38">
        <v>4.1</v>
      </c>
      <c r="AD25" s="11">
        <f>AC25/AB25*100</f>
        <v>102.49999999999999</v>
      </c>
      <c r="AE25" s="38">
        <v>6.5</v>
      </c>
      <c r="AF25" s="38">
        <v>6.2</v>
      </c>
      <c r="AG25" s="11">
        <f>AF25/AE25*100</f>
        <v>95.38461538461539</v>
      </c>
      <c r="AH25" s="38">
        <v>7.3</v>
      </c>
      <c r="AI25" s="38">
        <v>7.6</v>
      </c>
      <c r="AJ25" s="80">
        <f t="shared" si="6"/>
        <v>17.8</v>
      </c>
      <c r="AK25" s="80">
        <f t="shared" si="7"/>
        <v>17.9</v>
      </c>
      <c r="AL25" s="11">
        <f>AK25/AJ25*100</f>
        <v>100.56179775280899</v>
      </c>
      <c r="AM25" s="38">
        <v>5.2</v>
      </c>
      <c r="AN25" s="38">
        <v>6.1</v>
      </c>
      <c r="AO25" s="38">
        <v>6.4</v>
      </c>
      <c r="AP25" s="38">
        <v>2.9</v>
      </c>
      <c r="AQ25" s="38">
        <v>6.4</v>
      </c>
      <c r="AR25" s="38">
        <v>11.7</v>
      </c>
      <c r="AS25" s="65">
        <f t="shared" si="8"/>
        <v>77.30000000000001</v>
      </c>
      <c r="AT25" s="65">
        <f t="shared" si="9"/>
        <v>76.10000000000001</v>
      </c>
      <c r="AU25" s="11">
        <f t="shared" si="2"/>
        <v>98.44760672703752</v>
      </c>
      <c r="AV25" s="65">
        <f t="shared" si="10"/>
        <v>1.2000000000000028</v>
      </c>
      <c r="AW25" s="18">
        <f t="shared" si="11"/>
        <v>0.5</v>
      </c>
    </row>
    <row r="26" spans="1:49" ht="24.75" customHeight="1">
      <c r="A26" s="13" t="s">
        <v>30</v>
      </c>
      <c r="B26" s="15" t="s">
        <v>106</v>
      </c>
      <c r="C26" s="98"/>
      <c r="D26" s="38"/>
      <c r="E26" s="38"/>
      <c r="F26" s="103"/>
      <c r="G26" s="38"/>
      <c r="H26" s="38"/>
      <c r="I26" s="11"/>
      <c r="J26" s="38"/>
      <c r="K26" s="38"/>
      <c r="L26" s="101"/>
      <c r="M26" s="80"/>
      <c r="N26" s="80"/>
      <c r="O26" s="11"/>
      <c r="P26" s="38"/>
      <c r="Q26" s="38"/>
      <c r="R26" s="101"/>
      <c r="S26" s="38"/>
      <c r="T26" s="38"/>
      <c r="U26" s="101"/>
      <c r="V26" s="38"/>
      <c r="W26" s="38"/>
      <c r="X26" s="101"/>
      <c r="Y26" s="80"/>
      <c r="Z26" s="80"/>
      <c r="AA26" s="11"/>
      <c r="AB26" s="38"/>
      <c r="AC26" s="38"/>
      <c r="AD26" s="101"/>
      <c r="AE26" s="38"/>
      <c r="AF26" s="38"/>
      <c r="AG26" s="11"/>
      <c r="AH26" s="38"/>
      <c r="AI26" s="38"/>
      <c r="AJ26" s="80"/>
      <c r="AK26" s="80"/>
      <c r="AL26" s="11"/>
      <c r="AM26" s="38"/>
      <c r="AN26" s="38"/>
      <c r="AO26" s="38"/>
      <c r="AP26" s="38"/>
      <c r="AQ26" s="38"/>
      <c r="AR26" s="38"/>
      <c r="AS26" s="65"/>
      <c r="AT26" s="65"/>
      <c r="AU26" s="101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01"/>
      <c r="G27" s="38"/>
      <c r="H27" s="38"/>
      <c r="I27" s="11"/>
      <c r="J27" s="38"/>
      <c r="K27" s="38"/>
      <c r="L27" s="103"/>
      <c r="M27" s="80"/>
      <c r="N27" s="80"/>
      <c r="O27" s="11"/>
      <c r="P27" s="38"/>
      <c r="Q27" s="38"/>
      <c r="R27" s="103"/>
      <c r="S27" s="38"/>
      <c r="T27" s="38"/>
      <c r="U27" s="103"/>
      <c r="V27" s="38"/>
      <c r="W27" s="38"/>
      <c r="X27" s="103"/>
      <c r="Y27" s="80"/>
      <c r="Z27" s="80"/>
      <c r="AA27" s="11"/>
      <c r="AB27" s="38"/>
      <c r="AC27" s="38"/>
      <c r="AD27" s="103"/>
      <c r="AE27" s="38"/>
      <c r="AF27" s="38"/>
      <c r="AG27" s="11"/>
      <c r="AH27" s="38"/>
      <c r="AI27" s="38"/>
      <c r="AJ27" s="80"/>
      <c r="AK27" s="80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08">
        <v>2.9</v>
      </c>
      <c r="D28" s="38">
        <v>4.6</v>
      </c>
      <c r="E28" s="38">
        <v>0.6</v>
      </c>
      <c r="F28" s="11">
        <f t="shared" si="23"/>
        <v>13.043478260869565</v>
      </c>
      <c r="G28" s="38">
        <v>3.1</v>
      </c>
      <c r="H28" s="38">
        <v>5.6</v>
      </c>
      <c r="I28" s="11">
        <f t="shared" si="0"/>
        <v>180.64516129032256</v>
      </c>
      <c r="J28" s="38">
        <v>5.6</v>
      </c>
      <c r="K28" s="38">
        <v>5.6</v>
      </c>
      <c r="L28" s="68">
        <f aca="true" t="shared" si="25" ref="L28:L45">K28/J28*100</f>
        <v>100</v>
      </c>
      <c r="M28" s="80">
        <f t="shared" si="4"/>
        <v>13.299999999999999</v>
      </c>
      <c r="N28" s="80">
        <f t="shared" si="5"/>
        <v>11.799999999999999</v>
      </c>
      <c r="O28" s="11">
        <f t="shared" si="3"/>
        <v>88.7218045112782</v>
      </c>
      <c r="P28" s="38">
        <v>3.9</v>
      </c>
      <c r="Q28" s="38">
        <v>2.6</v>
      </c>
      <c r="R28" s="128">
        <f>Q28/P28*100</f>
        <v>66.66666666666667</v>
      </c>
      <c r="S28" s="38">
        <v>3.7</v>
      </c>
      <c r="T28" s="38">
        <v>3.6</v>
      </c>
      <c r="U28" s="128">
        <f>T28/S28*100</f>
        <v>97.29729729729729</v>
      </c>
      <c r="V28" s="38">
        <v>3.3</v>
      </c>
      <c r="W28" s="38">
        <v>3.5</v>
      </c>
      <c r="X28" s="128">
        <f>W28/V28*100</f>
        <v>106.06060606060606</v>
      </c>
      <c r="Y28" s="80">
        <f>P28+S28+V28</f>
        <v>10.899999999999999</v>
      </c>
      <c r="Z28" s="80">
        <f>Q28+T28+W28</f>
        <v>9.7</v>
      </c>
      <c r="AA28" s="11">
        <f>Z28/Y28*100</f>
        <v>88.9908256880734</v>
      </c>
      <c r="AB28" s="38">
        <v>6.5</v>
      </c>
      <c r="AC28" s="38">
        <v>5.3</v>
      </c>
      <c r="AD28" s="128">
        <f>AC28/AB28*100</f>
        <v>81.53846153846153</v>
      </c>
      <c r="AE28" s="38">
        <v>6.7</v>
      </c>
      <c r="AF28" s="90">
        <v>4.7</v>
      </c>
      <c r="AG28" s="85">
        <f>AF28/AE28*100</f>
        <v>70.1492537313433</v>
      </c>
      <c r="AH28" s="38">
        <v>7.2</v>
      </c>
      <c r="AI28" s="90">
        <v>8.1</v>
      </c>
      <c r="AJ28" s="80">
        <f t="shared" si="6"/>
        <v>20.4</v>
      </c>
      <c r="AK28" s="80">
        <f t="shared" si="7"/>
        <v>18.1</v>
      </c>
      <c r="AL28" s="11">
        <f>AK28/AJ28*100</f>
        <v>88.72549019607845</v>
      </c>
      <c r="AM28" s="38">
        <v>7.3</v>
      </c>
      <c r="AN28" s="90">
        <v>10</v>
      </c>
      <c r="AO28" s="38">
        <v>9.5</v>
      </c>
      <c r="AP28" s="90">
        <v>5.8</v>
      </c>
      <c r="AQ28" s="38">
        <v>18.5</v>
      </c>
      <c r="AR28" s="90">
        <v>25.5</v>
      </c>
      <c r="AS28" s="65">
        <f t="shared" si="8"/>
        <v>79.89999999999999</v>
      </c>
      <c r="AT28" s="65">
        <f t="shared" si="9"/>
        <v>80.9</v>
      </c>
      <c r="AU28" s="11">
        <f t="shared" si="2"/>
        <v>101.2515644555695</v>
      </c>
      <c r="AV28" s="65">
        <f t="shared" si="10"/>
        <v>-1.0000000000000142</v>
      </c>
      <c r="AW28" s="18">
        <f t="shared" si="11"/>
        <v>1.8999999999999915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68"/>
      <c r="M29" s="80"/>
      <c r="N29" s="80"/>
      <c r="O29" s="11"/>
      <c r="P29" s="70"/>
      <c r="Q29" s="70"/>
      <c r="R29" s="68"/>
      <c r="S29" s="70"/>
      <c r="T29" s="70"/>
      <c r="U29" s="68"/>
      <c r="V29" s="70"/>
      <c r="W29" s="70"/>
      <c r="X29" s="68"/>
      <c r="Y29" s="80"/>
      <c r="Z29" s="80"/>
      <c r="AA29" s="11"/>
      <c r="AB29" s="70"/>
      <c r="AC29" s="70"/>
      <c r="AD29" s="68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0">
        <v>-1.3</v>
      </c>
      <c r="D30" s="38">
        <v>3.2</v>
      </c>
      <c r="E30" s="38">
        <v>0.5</v>
      </c>
      <c r="F30" s="87">
        <f>E30/D30*100</f>
        <v>15.625</v>
      </c>
      <c r="G30" s="38">
        <v>3.2</v>
      </c>
      <c r="H30" s="38">
        <v>3.9</v>
      </c>
      <c r="I30" s="68">
        <f t="shared" si="0"/>
        <v>121.875</v>
      </c>
      <c r="J30" s="38">
        <v>3.5</v>
      </c>
      <c r="K30" s="38">
        <v>4.6</v>
      </c>
      <c r="L30" s="68">
        <f t="shared" si="25"/>
        <v>131.42857142857142</v>
      </c>
      <c r="M30" s="80">
        <f t="shared" si="4"/>
        <v>9.9</v>
      </c>
      <c r="N30" s="80">
        <f t="shared" si="5"/>
        <v>9</v>
      </c>
      <c r="O30" s="11">
        <f t="shared" si="3"/>
        <v>90.9090909090909</v>
      </c>
      <c r="P30" s="38">
        <v>3.8</v>
      </c>
      <c r="Q30" s="38">
        <v>1.7</v>
      </c>
      <c r="R30" s="128">
        <f aca="true" t="shared" si="26" ref="R30:R45">Q30/P30*100</f>
        <v>44.73684210526316</v>
      </c>
      <c r="S30" s="38">
        <v>3.7</v>
      </c>
      <c r="T30" s="38">
        <v>3.8</v>
      </c>
      <c r="U30" s="128">
        <f aca="true" t="shared" si="27" ref="U30:U45">T30/S30*100</f>
        <v>102.7027027027027</v>
      </c>
      <c r="V30" s="38">
        <v>3.6</v>
      </c>
      <c r="W30" s="38">
        <v>4.4</v>
      </c>
      <c r="X30" s="128">
        <f aca="true" t="shared" si="28" ref="X30:X45">W30/V30*100</f>
        <v>122.22222222222223</v>
      </c>
      <c r="Y30" s="80">
        <f aca="true" t="shared" si="29" ref="Y30:Y42">P30+S30+V30</f>
        <v>11.1</v>
      </c>
      <c r="Z30" s="80">
        <f aca="true" t="shared" si="30" ref="Z30:Z42">Q30+T30+W30</f>
        <v>9.9</v>
      </c>
      <c r="AA30" s="11">
        <f aca="true" t="shared" si="31" ref="AA30:AA45">Z30/Y30*100</f>
        <v>89.1891891891892</v>
      </c>
      <c r="AB30" s="38">
        <v>10.3</v>
      </c>
      <c r="AC30" s="38">
        <v>10.8</v>
      </c>
      <c r="AD30" s="128">
        <f aca="true" t="shared" si="32" ref="AD30:AD45">AC30/AB30*100</f>
        <v>104.85436893203884</v>
      </c>
      <c r="AE30" s="38">
        <v>3.9</v>
      </c>
      <c r="AF30" s="38">
        <v>3.8</v>
      </c>
      <c r="AG30" s="129">
        <f aca="true" t="shared" si="33" ref="AG30:AG43">AF30/AE30*100</f>
        <v>97.43589743589743</v>
      </c>
      <c r="AH30" s="38">
        <v>3.1</v>
      </c>
      <c r="AI30" s="38">
        <v>2.3</v>
      </c>
      <c r="AJ30" s="80">
        <f t="shared" si="6"/>
        <v>17.3</v>
      </c>
      <c r="AK30" s="80">
        <f t="shared" si="7"/>
        <v>16.900000000000002</v>
      </c>
      <c r="AL30" s="11">
        <f aca="true" t="shared" si="34" ref="AL30:AL45">AK30/AJ30*100</f>
        <v>97.68786127167631</v>
      </c>
      <c r="AM30" s="38">
        <v>4.2</v>
      </c>
      <c r="AN30" s="38">
        <v>5.1</v>
      </c>
      <c r="AO30" s="38">
        <v>6.4</v>
      </c>
      <c r="AP30" s="38">
        <v>6.7</v>
      </c>
      <c r="AQ30" s="38">
        <v>8.6</v>
      </c>
      <c r="AR30" s="38">
        <v>10.4</v>
      </c>
      <c r="AS30" s="65">
        <f t="shared" si="8"/>
        <v>57.5</v>
      </c>
      <c r="AT30" s="65">
        <f t="shared" si="9"/>
        <v>58</v>
      </c>
      <c r="AU30" s="11">
        <f t="shared" si="2"/>
        <v>100.8695652173913</v>
      </c>
      <c r="AV30" s="65">
        <f t="shared" si="10"/>
        <v>-0.5</v>
      </c>
      <c r="AW30" s="18">
        <f t="shared" si="11"/>
        <v>-1.7999999999999972</v>
      </c>
    </row>
    <row r="31" spans="1:49" ht="27" customHeight="1">
      <c r="A31" s="13" t="s">
        <v>35</v>
      </c>
      <c r="B31" s="15" t="s">
        <v>111</v>
      </c>
      <c r="C31" s="98">
        <v>-1</v>
      </c>
      <c r="D31" s="38">
        <v>0.7</v>
      </c>
      <c r="E31" s="38">
        <v>0.5</v>
      </c>
      <c r="F31" s="11">
        <f>E31/D31*100</f>
        <v>71.42857142857143</v>
      </c>
      <c r="G31" s="38">
        <v>1.1</v>
      </c>
      <c r="H31" s="38">
        <v>0.6</v>
      </c>
      <c r="I31" s="11">
        <f t="shared" si="0"/>
        <v>54.54545454545454</v>
      </c>
      <c r="J31" s="38">
        <v>2.5</v>
      </c>
      <c r="K31" s="38">
        <v>2.3</v>
      </c>
      <c r="L31" s="11">
        <f t="shared" si="25"/>
        <v>92</v>
      </c>
      <c r="M31" s="80">
        <f t="shared" si="4"/>
        <v>4.3</v>
      </c>
      <c r="N31" s="80">
        <f t="shared" si="5"/>
        <v>3.4</v>
      </c>
      <c r="O31" s="11">
        <f t="shared" si="3"/>
        <v>79.06976744186046</v>
      </c>
      <c r="P31" s="38">
        <v>1.1</v>
      </c>
      <c r="Q31" s="38">
        <v>1.3</v>
      </c>
      <c r="R31" s="11">
        <f t="shared" si="26"/>
        <v>118.18181818181816</v>
      </c>
      <c r="S31" s="38">
        <v>1</v>
      </c>
      <c r="T31" s="38">
        <v>0.8</v>
      </c>
      <c r="U31" s="11">
        <f t="shared" si="27"/>
        <v>80</v>
      </c>
      <c r="V31" s="38">
        <v>1</v>
      </c>
      <c r="W31" s="38">
        <v>1.2</v>
      </c>
      <c r="X31" s="11">
        <f t="shared" si="28"/>
        <v>120</v>
      </c>
      <c r="Y31" s="80">
        <f t="shared" si="29"/>
        <v>3.1</v>
      </c>
      <c r="Z31" s="80">
        <f t="shared" si="30"/>
        <v>3.3</v>
      </c>
      <c r="AA31" s="11">
        <f t="shared" si="31"/>
        <v>106.4516129032258</v>
      </c>
      <c r="AB31" s="38">
        <v>2.7</v>
      </c>
      <c r="AC31" s="38">
        <v>2.7</v>
      </c>
      <c r="AD31" s="11">
        <f t="shared" si="32"/>
        <v>100</v>
      </c>
      <c r="AE31" s="38">
        <v>0.9</v>
      </c>
      <c r="AF31" s="38">
        <v>0.7</v>
      </c>
      <c r="AG31" s="129">
        <f t="shared" si="33"/>
        <v>77.77777777777777</v>
      </c>
      <c r="AH31" s="38">
        <v>1.3</v>
      </c>
      <c r="AI31" s="38">
        <v>1.2</v>
      </c>
      <c r="AJ31" s="80">
        <f t="shared" si="6"/>
        <v>4.9</v>
      </c>
      <c r="AK31" s="80">
        <f t="shared" si="7"/>
        <v>4.6000000000000005</v>
      </c>
      <c r="AL31" s="11">
        <f t="shared" si="34"/>
        <v>93.87755102040816</v>
      </c>
      <c r="AM31" s="38">
        <v>0.9</v>
      </c>
      <c r="AN31" s="38">
        <v>1.2</v>
      </c>
      <c r="AO31" s="38">
        <v>3.3</v>
      </c>
      <c r="AP31" s="38">
        <v>2.6</v>
      </c>
      <c r="AQ31" s="38">
        <v>2.1</v>
      </c>
      <c r="AR31" s="38">
        <v>3.1</v>
      </c>
      <c r="AS31" s="65">
        <f t="shared" si="8"/>
        <v>18.6</v>
      </c>
      <c r="AT31" s="65">
        <f t="shared" si="9"/>
        <v>18.2</v>
      </c>
      <c r="AU31" s="11">
        <f t="shared" si="2"/>
        <v>97.84946236559139</v>
      </c>
      <c r="AV31" s="65">
        <f t="shared" si="10"/>
        <v>0.40000000000000213</v>
      </c>
      <c r="AW31" s="18">
        <f t="shared" si="11"/>
        <v>-0.5999999999999979</v>
      </c>
    </row>
    <row r="32" spans="1:49" ht="30" customHeight="1">
      <c r="A32" s="13" t="s">
        <v>36</v>
      </c>
      <c r="B32" s="15" t="s">
        <v>112</v>
      </c>
      <c r="C32" s="98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98">
        <v>-5.3</v>
      </c>
      <c r="D33" s="38">
        <v>4.1</v>
      </c>
      <c r="E33" s="38">
        <v>0</v>
      </c>
      <c r="F33" s="60">
        <f>E33/D33*100</f>
        <v>0</v>
      </c>
      <c r="G33" s="38">
        <v>4.1</v>
      </c>
      <c r="H33" s="38">
        <v>2.8</v>
      </c>
      <c r="I33" s="11">
        <f t="shared" si="0"/>
        <v>68.29268292682927</v>
      </c>
      <c r="J33" s="38">
        <v>4.5</v>
      </c>
      <c r="K33" s="38">
        <v>3.9</v>
      </c>
      <c r="L33" s="11">
        <f t="shared" si="25"/>
        <v>86.66666666666667</v>
      </c>
      <c r="M33" s="80">
        <f t="shared" si="4"/>
        <v>12.7</v>
      </c>
      <c r="N33" s="80">
        <f t="shared" si="5"/>
        <v>6.699999999999999</v>
      </c>
      <c r="O33" s="11">
        <f t="shared" si="3"/>
        <v>52.75590551181102</v>
      </c>
      <c r="P33" s="38">
        <v>4.1</v>
      </c>
      <c r="Q33" s="38">
        <v>4.4</v>
      </c>
      <c r="R33" s="11">
        <f t="shared" si="26"/>
        <v>107.31707317073173</v>
      </c>
      <c r="S33" s="38">
        <v>4.4</v>
      </c>
      <c r="T33" s="38">
        <v>4.3</v>
      </c>
      <c r="U33" s="11">
        <f t="shared" si="27"/>
        <v>97.72727272727272</v>
      </c>
      <c r="V33" s="38">
        <v>6.7</v>
      </c>
      <c r="W33" s="38">
        <v>2.7</v>
      </c>
      <c r="X33" s="11">
        <f t="shared" si="28"/>
        <v>40.298507462686565</v>
      </c>
      <c r="Y33" s="80">
        <f t="shared" si="29"/>
        <v>15.2</v>
      </c>
      <c r="Z33" s="80">
        <f t="shared" si="30"/>
        <v>11.399999999999999</v>
      </c>
      <c r="AA33" s="11">
        <f t="shared" si="31"/>
        <v>74.99999999999999</v>
      </c>
      <c r="AB33" s="38">
        <v>7.1</v>
      </c>
      <c r="AC33" s="38">
        <v>5</v>
      </c>
      <c r="AD33" s="11">
        <f t="shared" si="32"/>
        <v>70.42253521126761</v>
      </c>
      <c r="AE33" s="38">
        <v>5.5</v>
      </c>
      <c r="AF33" s="38">
        <v>6.7</v>
      </c>
      <c r="AG33" s="11">
        <f t="shared" si="33"/>
        <v>121.81818181818183</v>
      </c>
      <c r="AH33" s="38">
        <v>5.5</v>
      </c>
      <c r="AI33" s="38">
        <v>5.1</v>
      </c>
      <c r="AJ33" s="80">
        <f t="shared" si="6"/>
        <v>18.1</v>
      </c>
      <c r="AK33" s="80">
        <f t="shared" si="7"/>
        <v>16.799999999999997</v>
      </c>
      <c r="AL33" s="11">
        <f t="shared" si="34"/>
        <v>92.81767955801102</v>
      </c>
      <c r="AM33" s="38">
        <v>7.4</v>
      </c>
      <c r="AN33" s="38">
        <v>5.5</v>
      </c>
      <c r="AO33" s="38">
        <v>6.9</v>
      </c>
      <c r="AP33" s="38">
        <v>8.4</v>
      </c>
      <c r="AQ33" s="38">
        <v>11.4</v>
      </c>
      <c r="AR33" s="38">
        <v>16.8</v>
      </c>
      <c r="AS33" s="65">
        <f t="shared" si="8"/>
        <v>71.7</v>
      </c>
      <c r="AT33" s="65">
        <f t="shared" si="9"/>
        <v>65.6</v>
      </c>
      <c r="AU33" s="11">
        <f t="shared" si="2"/>
        <v>91.4923291492329</v>
      </c>
      <c r="AV33" s="65">
        <f t="shared" si="10"/>
        <v>6.1000000000000085</v>
      </c>
      <c r="AW33" s="18">
        <f t="shared" si="11"/>
        <v>0.8000000000000114</v>
      </c>
    </row>
    <row r="34" spans="1:51" ht="24.75" customHeight="1">
      <c r="A34" s="13"/>
      <c r="B34" s="136" t="s">
        <v>157</v>
      </c>
      <c r="C34" s="98">
        <v>4.4</v>
      </c>
      <c r="D34" s="38">
        <v>204.5</v>
      </c>
      <c r="E34" s="134">
        <v>0</v>
      </c>
      <c r="F34" s="60">
        <f>E34/D34*100</f>
        <v>0</v>
      </c>
      <c r="G34" s="38">
        <v>215.3</v>
      </c>
      <c r="H34" s="38">
        <v>38.9</v>
      </c>
      <c r="I34" s="11">
        <f t="shared" si="0"/>
        <v>18.06781235485369</v>
      </c>
      <c r="J34" s="38">
        <v>220.8</v>
      </c>
      <c r="K34" s="38">
        <v>424.9</v>
      </c>
      <c r="L34" s="11">
        <f t="shared" si="25"/>
        <v>192.43659420289853</v>
      </c>
      <c r="M34" s="80">
        <f t="shared" si="4"/>
        <v>640.6</v>
      </c>
      <c r="N34" s="80">
        <f t="shared" si="5"/>
        <v>463.79999999999995</v>
      </c>
      <c r="O34" s="11">
        <f t="shared" si="3"/>
        <v>72.40087418045582</v>
      </c>
      <c r="P34" s="38">
        <v>198</v>
      </c>
      <c r="Q34" s="38">
        <v>25.6</v>
      </c>
      <c r="R34" s="11">
        <f t="shared" si="26"/>
        <v>12.929292929292929</v>
      </c>
      <c r="S34" s="38">
        <v>212.2</v>
      </c>
      <c r="T34" s="38">
        <v>200.6</v>
      </c>
      <c r="U34" s="11">
        <f t="shared" si="27"/>
        <v>94.53345900094251</v>
      </c>
      <c r="V34" s="38">
        <v>190.6</v>
      </c>
      <c r="W34" s="38">
        <v>23</v>
      </c>
      <c r="X34" s="11">
        <f t="shared" si="28"/>
        <v>12.067156348373558</v>
      </c>
      <c r="Y34" s="80">
        <f>P34+S34+V34</f>
        <v>600.8</v>
      </c>
      <c r="Z34" s="80">
        <f>Q34+T34+W34</f>
        <v>249.2</v>
      </c>
      <c r="AA34" s="11">
        <f>Z34/Y34*100</f>
        <v>41.47802929427431</v>
      </c>
      <c r="AB34" s="38">
        <v>180.8</v>
      </c>
      <c r="AC34" s="38">
        <v>32.8</v>
      </c>
      <c r="AD34" s="11">
        <f t="shared" si="32"/>
        <v>18.14159292035398</v>
      </c>
      <c r="AE34" s="38">
        <v>171.2</v>
      </c>
      <c r="AF34" s="38">
        <v>34.1</v>
      </c>
      <c r="AG34" s="11">
        <f t="shared" si="33"/>
        <v>19.91822429906542</v>
      </c>
      <c r="AH34" s="38">
        <v>212.5</v>
      </c>
      <c r="AI34" s="38">
        <v>852.9</v>
      </c>
      <c r="AJ34" s="80">
        <f t="shared" si="6"/>
        <v>564.5</v>
      </c>
      <c r="AK34" s="80">
        <f t="shared" si="7"/>
        <v>919.8</v>
      </c>
      <c r="AL34" s="11">
        <f t="shared" si="34"/>
        <v>162.94065544729847</v>
      </c>
      <c r="AM34" s="38">
        <v>195</v>
      </c>
      <c r="AN34" s="38">
        <v>208.2</v>
      </c>
      <c r="AO34" s="38">
        <v>188.9</v>
      </c>
      <c r="AP34" s="38">
        <v>182</v>
      </c>
      <c r="AQ34" s="38">
        <v>104.8</v>
      </c>
      <c r="AR34" s="38">
        <v>276.1</v>
      </c>
      <c r="AS34" s="65">
        <f t="shared" si="8"/>
        <v>2294.6000000000004</v>
      </c>
      <c r="AT34" s="65">
        <f t="shared" si="9"/>
        <v>2299.1</v>
      </c>
      <c r="AU34" s="11">
        <f t="shared" si="2"/>
        <v>100.19611261221996</v>
      </c>
      <c r="AV34" s="65">
        <f t="shared" si="10"/>
        <v>-4.499999999999545</v>
      </c>
      <c r="AW34" s="18">
        <f t="shared" si="11"/>
        <v>-0.0999999999994543</v>
      </c>
      <c r="AX34" s="19">
        <f>M34+Y34+AB34+AE34+AH34</f>
        <v>1805.9</v>
      </c>
      <c r="AY34" s="19">
        <f>N34+Z34+AC34+AF34+AI34</f>
        <v>1632.8</v>
      </c>
    </row>
    <row r="35" spans="1:49" ht="24.75" customHeight="1">
      <c r="A35" s="13" t="s">
        <v>37</v>
      </c>
      <c r="B35" s="15" t="s">
        <v>113</v>
      </c>
      <c r="C35" s="98">
        <v>8.9</v>
      </c>
      <c r="D35" s="37">
        <v>7</v>
      </c>
      <c r="E35" s="135">
        <v>2.6</v>
      </c>
      <c r="F35" s="57">
        <f>E35/D35*100</f>
        <v>37.142857142857146</v>
      </c>
      <c r="G35" s="38">
        <v>6.6</v>
      </c>
      <c r="H35" s="38">
        <v>19.9</v>
      </c>
      <c r="I35" s="11">
        <f t="shared" si="0"/>
        <v>301.5151515151515</v>
      </c>
      <c r="J35" s="38">
        <v>6.9</v>
      </c>
      <c r="K35" s="38">
        <v>6.9</v>
      </c>
      <c r="L35" s="11">
        <f t="shared" si="25"/>
        <v>100</v>
      </c>
      <c r="M35" s="80">
        <f t="shared" si="4"/>
        <v>20.5</v>
      </c>
      <c r="N35" s="80">
        <f t="shared" si="5"/>
        <v>29.4</v>
      </c>
      <c r="O35" s="11">
        <f t="shared" si="3"/>
        <v>143.41463414634146</v>
      </c>
      <c r="P35" s="38">
        <v>10.3</v>
      </c>
      <c r="Q35" s="38">
        <v>10.3</v>
      </c>
      <c r="R35" s="11">
        <f t="shared" si="26"/>
        <v>100</v>
      </c>
      <c r="S35" s="38">
        <v>10.2</v>
      </c>
      <c r="T35" s="38">
        <v>10.2</v>
      </c>
      <c r="U35" s="11">
        <f t="shared" si="27"/>
        <v>100</v>
      </c>
      <c r="V35" s="38">
        <v>9</v>
      </c>
      <c r="W35" s="38">
        <v>9</v>
      </c>
      <c r="X35" s="11">
        <f t="shared" si="28"/>
        <v>100</v>
      </c>
      <c r="Y35" s="80">
        <f t="shared" si="29"/>
        <v>29.5</v>
      </c>
      <c r="Z35" s="80">
        <f t="shared" si="30"/>
        <v>29.5</v>
      </c>
      <c r="AA35" s="11">
        <f t="shared" si="31"/>
        <v>100</v>
      </c>
      <c r="AB35" s="38">
        <v>8.2</v>
      </c>
      <c r="AC35" s="38">
        <v>0</v>
      </c>
      <c r="AD35" s="11">
        <f t="shared" si="32"/>
        <v>0</v>
      </c>
      <c r="AE35" s="38">
        <v>6.7</v>
      </c>
      <c r="AF35" s="38">
        <v>14.9</v>
      </c>
      <c r="AG35" s="11">
        <f t="shared" si="33"/>
        <v>222.38805970149252</v>
      </c>
      <c r="AH35" s="38">
        <v>9.7</v>
      </c>
      <c r="AI35" s="38">
        <v>0</v>
      </c>
      <c r="AJ35" s="80">
        <f t="shared" si="6"/>
        <v>24.599999999999998</v>
      </c>
      <c r="AK35" s="80">
        <f t="shared" si="7"/>
        <v>14.9</v>
      </c>
      <c r="AL35" s="11">
        <f t="shared" si="34"/>
        <v>60.56910569105691</v>
      </c>
      <c r="AM35" s="38">
        <v>7.5</v>
      </c>
      <c r="AN35" s="38">
        <v>9.7</v>
      </c>
      <c r="AO35" s="38">
        <v>8.5</v>
      </c>
      <c r="AP35" s="38">
        <v>16</v>
      </c>
      <c r="AQ35" s="38">
        <v>8.3</v>
      </c>
      <c r="AR35" s="38">
        <v>12.4</v>
      </c>
      <c r="AS35" s="65">
        <f t="shared" si="8"/>
        <v>98.89999999999999</v>
      </c>
      <c r="AT35" s="65">
        <f t="shared" si="9"/>
        <v>111.9</v>
      </c>
      <c r="AU35" s="11">
        <f t="shared" si="2"/>
        <v>113.14459049544996</v>
      </c>
      <c r="AV35" s="65">
        <f t="shared" si="10"/>
        <v>-13.000000000000014</v>
      </c>
      <c r="AW35" s="18">
        <f t="shared" si="11"/>
        <v>-4.1000000000000085</v>
      </c>
    </row>
    <row r="36" spans="1:49" ht="24.75" customHeight="1">
      <c r="A36" s="13" t="s">
        <v>38</v>
      </c>
      <c r="B36" s="41" t="s">
        <v>114</v>
      </c>
      <c r="C36" s="107">
        <f>1+3.7</f>
        <v>4.7</v>
      </c>
      <c r="D36" s="72">
        <v>7.4</v>
      </c>
      <c r="E36" s="72">
        <v>0.5</v>
      </c>
      <c r="F36" s="11">
        <f>E36/D36*100</f>
        <v>6.756756756756756</v>
      </c>
      <c r="G36" s="38">
        <v>4.9</v>
      </c>
      <c r="H36" s="38">
        <v>6.7</v>
      </c>
      <c r="I36" s="68">
        <f t="shared" si="0"/>
        <v>136.73469387755102</v>
      </c>
      <c r="J36" s="38">
        <v>3.9</v>
      </c>
      <c r="K36" s="38">
        <v>6.2</v>
      </c>
      <c r="L36" s="68">
        <f t="shared" si="25"/>
        <v>158.97435897435898</v>
      </c>
      <c r="M36" s="80">
        <f t="shared" si="4"/>
        <v>16.2</v>
      </c>
      <c r="N36" s="80">
        <f t="shared" si="5"/>
        <v>13.4</v>
      </c>
      <c r="O36" s="11">
        <f t="shared" si="3"/>
        <v>82.71604938271605</v>
      </c>
      <c r="P36" s="38">
        <v>3.4</v>
      </c>
      <c r="Q36" s="38">
        <v>3.7</v>
      </c>
      <c r="R36" s="128">
        <f t="shared" si="26"/>
        <v>108.82352941176472</v>
      </c>
      <c r="S36" s="38">
        <v>3.3</v>
      </c>
      <c r="T36" s="38">
        <v>3.3</v>
      </c>
      <c r="U36" s="128">
        <f t="shared" si="27"/>
        <v>100</v>
      </c>
      <c r="V36" s="38">
        <v>3.2</v>
      </c>
      <c r="W36" s="38">
        <v>1.9</v>
      </c>
      <c r="X36" s="128">
        <f t="shared" si="28"/>
        <v>59.374999999999986</v>
      </c>
      <c r="Y36" s="80">
        <f t="shared" si="29"/>
        <v>9.899999999999999</v>
      </c>
      <c r="Z36" s="80">
        <f t="shared" si="30"/>
        <v>8.9</v>
      </c>
      <c r="AA36" s="11">
        <f t="shared" si="31"/>
        <v>89.89898989898991</v>
      </c>
      <c r="AB36" s="38">
        <v>3.1</v>
      </c>
      <c r="AC36" s="38">
        <v>8.7</v>
      </c>
      <c r="AD36" s="128">
        <f t="shared" si="32"/>
        <v>280.64516129032256</v>
      </c>
      <c r="AE36" s="38">
        <v>2.8</v>
      </c>
      <c r="AF36" s="38">
        <v>2</v>
      </c>
      <c r="AG36" s="11">
        <f t="shared" si="33"/>
        <v>71.42857142857143</v>
      </c>
      <c r="AH36" s="38">
        <v>3.3</v>
      </c>
      <c r="AI36" s="38">
        <v>3.3</v>
      </c>
      <c r="AJ36" s="80">
        <f>AB36+AE36+AH36</f>
        <v>9.2</v>
      </c>
      <c r="AK36" s="80">
        <f>AC36+AF36+AI36</f>
        <v>14</v>
      </c>
      <c r="AL36" s="11">
        <f t="shared" si="34"/>
        <v>152.17391304347828</v>
      </c>
      <c r="AM36" s="38">
        <v>3.9</v>
      </c>
      <c r="AN36" s="38">
        <v>5.9</v>
      </c>
      <c r="AO36" s="38">
        <v>4.4</v>
      </c>
      <c r="AP36" s="38">
        <v>4.4</v>
      </c>
      <c r="AQ36" s="38">
        <v>4</v>
      </c>
      <c r="AR36" s="38">
        <v>6.2</v>
      </c>
      <c r="AS36" s="65">
        <f t="shared" si="8"/>
        <v>47.599999999999994</v>
      </c>
      <c r="AT36" s="65">
        <f t="shared" si="9"/>
        <v>52.8</v>
      </c>
      <c r="AU36" s="11">
        <f t="shared" si="2"/>
        <v>110.92436974789916</v>
      </c>
      <c r="AV36" s="65">
        <f t="shared" si="10"/>
        <v>-5.200000000000003</v>
      </c>
      <c r="AW36" s="18">
        <f t="shared" si="11"/>
        <v>-0.5</v>
      </c>
    </row>
    <row r="37" spans="1:49" ht="24.75" customHeight="1">
      <c r="A37" s="13" t="s">
        <v>39</v>
      </c>
      <c r="B37" s="15" t="s">
        <v>115</v>
      </c>
      <c r="C37" s="98">
        <v>-11.8</v>
      </c>
      <c r="D37" s="38">
        <v>30.2</v>
      </c>
      <c r="E37" s="38">
        <v>1.6</v>
      </c>
      <c r="F37" s="11">
        <f aca="true" t="shared" si="35" ref="F37:F44">E37/D37*100</f>
        <v>5.298013245033113</v>
      </c>
      <c r="G37" s="38">
        <v>44.2</v>
      </c>
      <c r="H37" s="38">
        <v>66.9</v>
      </c>
      <c r="I37" s="11">
        <f t="shared" si="0"/>
        <v>151.3574660633484</v>
      </c>
      <c r="J37" s="38">
        <v>32.9</v>
      </c>
      <c r="K37" s="38">
        <v>41.9</v>
      </c>
      <c r="L37" s="11">
        <f t="shared" si="25"/>
        <v>127.35562310030394</v>
      </c>
      <c r="M37" s="80">
        <f t="shared" si="4"/>
        <v>107.30000000000001</v>
      </c>
      <c r="N37" s="80">
        <f t="shared" si="5"/>
        <v>110.4</v>
      </c>
      <c r="O37" s="11">
        <f t="shared" si="3"/>
        <v>102.88909599254426</v>
      </c>
      <c r="P37" s="38">
        <v>48.9</v>
      </c>
      <c r="Q37" s="38">
        <v>34.1</v>
      </c>
      <c r="R37" s="11">
        <f t="shared" si="26"/>
        <v>69.73415132924336</v>
      </c>
      <c r="S37" s="38">
        <v>30.5</v>
      </c>
      <c r="T37" s="38">
        <v>29.3</v>
      </c>
      <c r="U37" s="11">
        <f t="shared" si="27"/>
        <v>96.06557377049181</v>
      </c>
      <c r="V37" s="38">
        <v>31.9</v>
      </c>
      <c r="W37" s="38">
        <v>18.3</v>
      </c>
      <c r="X37" s="11">
        <f t="shared" si="28"/>
        <v>57.36677115987461</v>
      </c>
      <c r="Y37" s="80">
        <f t="shared" si="29"/>
        <v>111.30000000000001</v>
      </c>
      <c r="Z37" s="80">
        <f t="shared" si="30"/>
        <v>81.7</v>
      </c>
      <c r="AA37" s="11">
        <f t="shared" si="31"/>
        <v>73.40521114106019</v>
      </c>
      <c r="AB37" s="38">
        <v>34.8</v>
      </c>
      <c r="AC37" s="38">
        <v>35.1</v>
      </c>
      <c r="AD37" s="11">
        <f t="shared" si="32"/>
        <v>100.86206896551727</v>
      </c>
      <c r="AE37" s="38">
        <v>34.7</v>
      </c>
      <c r="AF37" s="38">
        <v>35</v>
      </c>
      <c r="AG37" s="11">
        <f t="shared" si="33"/>
        <v>100.86455331412103</v>
      </c>
      <c r="AH37" s="38">
        <v>24.9</v>
      </c>
      <c r="AI37" s="38">
        <v>18.9</v>
      </c>
      <c r="AJ37" s="80">
        <f t="shared" si="6"/>
        <v>94.4</v>
      </c>
      <c r="AK37" s="80">
        <f t="shared" si="7"/>
        <v>89</v>
      </c>
      <c r="AL37" s="11">
        <f t="shared" si="34"/>
        <v>94.27966101694915</v>
      </c>
      <c r="AM37" s="38">
        <v>36.1</v>
      </c>
      <c r="AN37" s="38">
        <v>54.5</v>
      </c>
      <c r="AO37" s="38">
        <v>39.5</v>
      </c>
      <c r="AP37" s="38">
        <v>60.9</v>
      </c>
      <c r="AQ37" s="38">
        <v>38.9</v>
      </c>
      <c r="AR37" s="38">
        <v>77.5</v>
      </c>
      <c r="AS37" s="65">
        <f t="shared" si="8"/>
        <v>427.5</v>
      </c>
      <c r="AT37" s="65">
        <f t="shared" si="9"/>
        <v>474</v>
      </c>
      <c r="AU37" s="11">
        <f t="shared" si="2"/>
        <v>110.87719298245614</v>
      </c>
      <c r="AV37" s="65">
        <f t="shared" si="10"/>
        <v>-46.5</v>
      </c>
      <c r="AW37" s="18">
        <f t="shared" si="11"/>
        <v>-58.30000000000001</v>
      </c>
    </row>
    <row r="38" spans="1:49" ht="24.75" customHeight="1">
      <c r="A38" s="13" t="s">
        <v>40</v>
      </c>
      <c r="B38" s="15" t="s">
        <v>116</v>
      </c>
      <c r="C38" s="98">
        <f>-30.7</f>
        <v>-30.7</v>
      </c>
      <c r="D38" s="38">
        <v>20.9</v>
      </c>
      <c r="E38" s="38">
        <v>6.8</v>
      </c>
      <c r="F38" s="11">
        <f t="shared" si="35"/>
        <v>32.535885167464116</v>
      </c>
      <c r="G38" s="38">
        <v>30.8</v>
      </c>
      <c r="H38" s="38">
        <v>17.8</v>
      </c>
      <c r="I38" s="11">
        <f t="shared" si="0"/>
        <v>57.7922077922078</v>
      </c>
      <c r="J38" s="38">
        <v>25.7</v>
      </c>
      <c r="K38" s="38">
        <v>28.4</v>
      </c>
      <c r="L38" s="11">
        <f t="shared" si="25"/>
        <v>110.50583657587549</v>
      </c>
      <c r="M38" s="80">
        <f t="shared" si="4"/>
        <v>77.4</v>
      </c>
      <c r="N38" s="80">
        <f t="shared" si="5"/>
        <v>53</v>
      </c>
      <c r="O38" s="11">
        <f t="shared" si="3"/>
        <v>68.47545219638242</v>
      </c>
      <c r="P38" s="38">
        <v>26.3</v>
      </c>
      <c r="Q38" s="38">
        <v>22.6</v>
      </c>
      <c r="R38" s="11">
        <f t="shared" si="26"/>
        <v>85.93155893536122</v>
      </c>
      <c r="S38" s="38">
        <v>25.9</v>
      </c>
      <c r="T38" s="38">
        <v>28</v>
      </c>
      <c r="U38" s="11">
        <f t="shared" si="27"/>
        <v>108.10810810810811</v>
      </c>
      <c r="V38" s="38">
        <v>29.1</v>
      </c>
      <c r="W38" s="38">
        <v>21.4</v>
      </c>
      <c r="X38" s="11">
        <f t="shared" si="28"/>
        <v>73.53951890034364</v>
      </c>
      <c r="Y38" s="80">
        <f t="shared" si="29"/>
        <v>81.30000000000001</v>
      </c>
      <c r="Z38" s="80">
        <f t="shared" si="30"/>
        <v>72</v>
      </c>
      <c r="AA38" s="11">
        <f t="shared" si="31"/>
        <v>88.56088560885608</v>
      </c>
      <c r="AB38" s="38">
        <v>35.2</v>
      </c>
      <c r="AC38" s="38">
        <v>37.1</v>
      </c>
      <c r="AD38" s="11">
        <f t="shared" si="32"/>
        <v>105.39772727272727</v>
      </c>
      <c r="AE38" s="38">
        <v>26.3</v>
      </c>
      <c r="AF38" s="38">
        <v>16.9</v>
      </c>
      <c r="AG38" s="11">
        <f t="shared" si="33"/>
        <v>64.25855513307984</v>
      </c>
      <c r="AH38" s="38">
        <v>25.6</v>
      </c>
      <c r="AI38" s="38">
        <v>26.5</v>
      </c>
      <c r="AJ38" s="80">
        <f t="shared" si="6"/>
        <v>87.1</v>
      </c>
      <c r="AK38" s="80">
        <f t="shared" si="7"/>
        <v>80.5</v>
      </c>
      <c r="AL38" s="11">
        <f t="shared" si="34"/>
        <v>92.42250287026407</v>
      </c>
      <c r="AM38" s="38">
        <v>27.3</v>
      </c>
      <c r="AN38" s="38">
        <v>28.6</v>
      </c>
      <c r="AO38" s="38">
        <v>26.8</v>
      </c>
      <c r="AP38" s="38">
        <v>27.7</v>
      </c>
      <c r="AQ38" s="38">
        <v>38.5</v>
      </c>
      <c r="AR38" s="38">
        <v>69</v>
      </c>
      <c r="AS38" s="65">
        <f t="shared" si="8"/>
        <v>338.40000000000003</v>
      </c>
      <c r="AT38" s="65">
        <f t="shared" si="9"/>
        <v>330.8</v>
      </c>
      <c r="AU38" s="11">
        <f>AT38/AS38*100</f>
        <v>97.75413711583923</v>
      </c>
      <c r="AV38" s="65">
        <f t="shared" si="10"/>
        <v>7.600000000000023</v>
      </c>
      <c r="AW38" s="18">
        <f t="shared" si="11"/>
        <v>-23.099999999999966</v>
      </c>
    </row>
    <row r="39" spans="1:49" ht="24.75" customHeight="1">
      <c r="A39" s="13" t="s">
        <v>41</v>
      </c>
      <c r="B39" s="15" t="s">
        <v>117</v>
      </c>
      <c r="C39" s="98">
        <f>24.5-24</f>
        <v>0.5</v>
      </c>
      <c r="D39" s="38">
        <v>35</v>
      </c>
      <c r="E39" s="38">
        <v>9.8</v>
      </c>
      <c r="F39" s="11">
        <f t="shared" si="35"/>
        <v>28.000000000000004</v>
      </c>
      <c r="G39" s="38">
        <v>36.4</v>
      </c>
      <c r="H39" s="38">
        <v>30.4</v>
      </c>
      <c r="I39" s="11">
        <f t="shared" si="0"/>
        <v>83.51648351648352</v>
      </c>
      <c r="J39" s="38">
        <v>35.1</v>
      </c>
      <c r="K39" s="38">
        <v>50.8</v>
      </c>
      <c r="L39" s="11">
        <f t="shared" si="25"/>
        <v>144.72934472934472</v>
      </c>
      <c r="M39" s="80">
        <f t="shared" si="4"/>
        <v>106.5</v>
      </c>
      <c r="N39" s="80">
        <f t="shared" si="5"/>
        <v>91</v>
      </c>
      <c r="O39" s="11">
        <f t="shared" si="3"/>
        <v>85.44600938967136</v>
      </c>
      <c r="P39" s="38">
        <v>33.3</v>
      </c>
      <c r="Q39" s="38">
        <v>29.5</v>
      </c>
      <c r="R39" s="11">
        <f t="shared" si="26"/>
        <v>88.5885885885886</v>
      </c>
      <c r="S39" s="38">
        <v>32.3</v>
      </c>
      <c r="T39" s="38">
        <v>25.2</v>
      </c>
      <c r="U39" s="128">
        <f t="shared" si="27"/>
        <v>78.0185758513932</v>
      </c>
      <c r="V39" s="38">
        <v>32.9</v>
      </c>
      <c r="W39" s="38">
        <v>32.2</v>
      </c>
      <c r="X39" s="128">
        <f t="shared" si="28"/>
        <v>97.87234042553192</v>
      </c>
      <c r="Y39" s="80">
        <f t="shared" si="29"/>
        <v>98.5</v>
      </c>
      <c r="Z39" s="80">
        <f t="shared" si="30"/>
        <v>86.9</v>
      </c>
      <c r="AA39" s="11">
        <f t="shared" si="31"/>
        <v>88.22335025380711</v>
      </c>
      <c r="AB39" s="38">
        <v>51.3</v>
      </c>
      <c r="AC39" s="38">
        <v>28.4</v>
      </c>
      <c r="AD39" s="128">
        <f t="shared" si="32"/>
        <v>55.36062378167641</v>
      </c>
      <c r="AE39" s="38">
        <v>36.5</v>
      </c>
      <c r="AF39" s="38">
        <v>32.4</v>
      </c>
      <c r="AG39" s="11">
        <f t="shared" si="33"/>
        <v>88.76712328767123</v>
      </c>
      <c r="AH39" s="38">
        <v>43.5</v>
      </c>
      <c r="AI39" s="38">
        <v>65.7</v>
      </c>
      <c r="AJ39" s="80">
        <f t="shared" si="6"/>
        <v>131.3</v>
      </c>
      <c r="AK39" s="80">
        <f t="shared" si="7"/>
        <v>126.5</v>
      </c>
      <c r="AL39" s="11">
        <f t="shared" si="34"/>
        <v>96.34424980959633</v>
      </c>
      <c r="AM39" s="38">
        <v>41.4</v>
      </c>
      <c r="AN39" s="38">
        <v>42.8</v>
      </c>
      <c r="AO39" s="38">
        <v>43.7</v>
      </c>
      <c r="AP39" s="38">
        <v>32.6</v>
      </c>
      <c r="AQ39" s="38">
        <v>40.6</v>
      </c>
      <c r="AR39" s="38">
        <v>84.7</v>
      </c>
      <c r="AS39" s="65">
        <f t="shared" si="8"/>
        <v>462</v>
      </c>
      <c r="AT39" s="65">
        <f t="shared" si="9"/>
        <v>464.5</v>
      </c>
      <c r="AU39" s="11">
        <f t="shared" si="2"/>
        <v>100.54112554112552</v>
      </c>
      <c r="AV39" s="65">
        <f t="shared" si="10"/>
        <v>-2.5</v>
      </c>
      <c r="AW39" s="18">
        <f t="shared" si="11"/>
        <v>-2</v>
      </c>
    </row>
    <row r="40" spans="1:49" ht="24.75" customHeight="1">
      <c r="A40" s="13" t="s">
        <v>42</v>
      </c>
      <c r="B40" s="15" t="s">
        <v>125</v>
      </c>
      <c r="C40" s="98">
        <v>0.6</v>
      </c>
      <c r="D40" s="38">
        <v>7.2</v>
      </c>
      <c r="E40" s="38">
        <v>3.2</v>
      </c>
      <c r="F40" s="11">
        <f t="shared" si="35"/>
        <v>44.44444444444445</v>
      </c>
      <c r="G40" s="38">
        <v>15.8</v>
      </c>
      <c r="H40" s="38">
        <v>17.9</v>
      </c>
      <c r="I40" s="11">
        <f t="shared" si="0"/>
        <v>113.29113924050631</v>
      </c>
      <c r="J40" s="38">
        <v>7.6</v>
      </c>
      <c r="K40" s="38">
        <v>7.5</v>
      </c>
      <c r="L40" s="11">
        <f t="shared" si="25"/>
        <v>98.6842105263158</v>
      </c>
      <c r="M40" s="80">
        <f t="shared" si="4"/>
        <v>30.6</v>
      </c>
      <c r="N40" s="80">
        <f t="shared" si="5"/>
        <v>28.599999999999998</v>
      </c>
      <c r="O40" s="11">
        <f t="shared" si="3"/>
        <v>93.4640522875817</v>
      </c>
      <c r="P40" s="38">
        <v>6.3</v>
      </c>
      <c r="Q40" s="38">
        <v>5.3</v>
      </c>
      <c r="R40" s="11">
        <f t="shared" si="26"/>
        <v>84.12698412698413</v>
      </c>
      <c r="S40" s="38">
        <v>4.2</v>
      </c>
      <c r="T40" s="38">
        <v>5</v>
      </c>
      <c r="U40" s="11">
        <f t="shared" si="27"/>
        <v>119.04761904761905</v>
      </c>
      <c r="V40" s="38">
        <v>6.6</v>
      </c>
      <c r="W40" s="38">
        <v>3.3</v>
      </c>
      <c r="X40" s="11">
        <f t="shared" si="28"/>
        <v>50</v>
      </c>
      <c r="Y40" s="80">
        <f t="shared" si="29"/>
        <v>17.1</v>
      </c>
      <c r="Z40" s="80">
        <f t="shared" si="30"/>
        <v>13.600000000000001</v>
      </c>
      <c r="AA40" s="11">
        <f t="shared" si="31"/>
        <v>79.53216374269006</v>
      </c>
      <c r="AB40" s="38">
        <v>6.2</v>
      </c>
      <c r="AC40" s="38">
        <v>6.8</v>
      </c>
      <c r="AD40" s="11">
        <f t="shared" si="32"/>
        <v>109.6774193548387</v>
      </c>
      <c r="AE40" s="38">
        <v>5.4</v>
      </c>
      <c r="AF40" s="38">
        <v>8.7</v>
      </c>
      <c r="AG40" s="11">
        <f t="shared" si="33"/>
        <v>161.1111111111111</v>
      </c>
      <c r="AH40" s="38">
        <v>8.7</v>
      </c>
      <c r="AI40" s="38">
        <v>8.6</v>
      </c>
      <c r="AJ40" s="80">
        <f t="shared" si="6"/>
        <v>20.3</v>
      </c>
      <c r="AK40" s="80">
        <f t="shared" si="7"/>
        <v>24.1</v>
      </c>
      <c r="AL40" s="11">
        <f t="shared" si="34"/>
        <v>118.7192118226601</v>
      </c>
      <c r="AM40" s="38">
        <v>9.9</v>
      </c>
      <c r="AN40" s="38">
        <v>9</v>
      </c>
      <c r="AO40" s="38">
        <v>10.7</v>
      </c>
      <c r="AP40" s="38">
        <v>10.2</v>
      </c>
      <c r="AQ40" s="38">
        <v>9.5</v>
      </c>
      <c r="AR40" s="38">
        <v>20.5</v>
      </c>
      <c r="AS40" s="65">
        <f t="shared" si="8"/>
        <v>98.10000000000001</v>
      </c>
      <c r="AT40" s="65">
        <f t="shared" si="9"/>
        <v>106.00000000000001</v>
      </c>
      <c r="AU40" s="11">
        <f t="shared" si="2"/>
        <v>108.05300713557595</v>
      </c>
      <c r="AV40" s="65">
        <f t="shared" si="10"/>
        <v>-7.900000000000006</v>
      </c>
      <c r="AW40" s="18">
        <f t="shared" si="11"/>
        <v>-7.300000000000011</v>
      </c>
    </row>
    <row r="41" spans="1:49" ht="24.75" customHeight="1">
      <c r="A41" s="13" t="s">
        <v>43</v>
      </c>
      <c r="B41" s="41" t="s">
        <v>126</v>
      </c>
      <c r="C41" s="107">
        <v>2.3</v>
      </c>
      <c r="D41" s="38">
        <v>10.8</v>
      </c>
      <c r="E41" s="38">
        <v>3.7</v>
      </c>
      <c r="F41" s="11">
        <f t="shared" si="35"/>
        <v>34.25925925925925</v>
      </c>
      <c r="G41" s="38">
        <v>11.2</v>
      </c>
      <c r="H41" s="38">
        <v>9.7</v>
      </c>
      <c r="I41" s="68">
        <f t="shared" si="0"/>
        <v>86.60714285714286</v>
      </c>
      <c r="J41" s="38">
        <v>11.3</v>
      </c>
      <c r="K41" s="38">
        <v>15.2</v>
      </c>
      <c r="L41" s="68">
        <f t="shared" si="25"/>
        <v>134.51327433628316</v>
      </c>
      <c r="M41" s="80">
        <f t="shared" si="4"/>
        <v>33.3</v>
      </c>
      <c r="N41" s="80">
        <f t="shared" si="5"/>
        <v>28.599999999999998</v>
      </c>
      <c r="O41" s="11">
        <f t="shared" si="3"/>
        <v>85.88588588588588</v>
      </c>
      <c r="P41" s="38">
        <v>10.3</v>
      </c>
      <c r="Q41" s="38">
        <v>10.2</v>
      </c>
      <c r="R41" s="128">
        <f t="shared" si="26"/>
        <v>99.02912621359222</v>
      </c>
      <c r="S41" s="38">
        <v>10.8</v>
      </c>
      <c r="T41" s="38">
        <v>8.9</v>
      </c>
      <c r="U41" s="128">
        <f t="shared" si="27"/>
        <v>82.4074074074074</v>
      </c>
      <c r="V41" s="38">
        <v>13.1</v>
      </c>
      <c r="W41" s="38">
        <v>5.6</v>
      </c>
      <c r="X41" s="128">
        <f t="shared" si="28"/>
        <v>42.74809160305343</v>
      </c>
      <c r="Y41" s="80">
        <f t="shared" si="29"/>
        <v>34.2</v>
      </c>
      <c r="Z41" s="80">
        <f t="shared" si="30"/>
        <v>24.700000000000003</v>
      </c>
      <c r="AA41" s="11">
        <f t="shared" si="31"/>
        <v>72.22222222222221</v>
      </c>
      <c r="AB41" s="38">
        <v>6</v>
      </c>
      <c r="AC41" s="38">
        <v>11.8</v>
      </c>
      <c r="AD41" s="128">
        <f t="shared" si="32"/>
        <v>196.66666666666669</v>
      </c>
      <c r="AE41" s="38">
        <v>7.4</v>
      </c>
      <c r="AF41" s="38">
        <v>6.1</v>
      </c>
      <c r="AG41" s="11">
        <f t="shared" si="33"/>
        <v>82.43243243243242</v>
      </c>
      <c r="AH41" s="38">
        <v>9.5</v>
      </c>
      <c r="AI41" s="38">
        <v>11.5</v>
      </c>
      <c r="AJ41" s="80">
        <f t="shared" si="6"/>
        <v>22.9</v>
      </c>
      <c r="AK41" s="80">
        <f t="shared" si="7"/>
        <v>29.4</v>
      </c>
      <c r="AL41" s="11">
        <f t="shared" si="34"/>
        <v>128.38427947598254</v>
      </c>
      <c r="AM41" s="38">
        <v>9.1</v>
      </c>
      <c r="AN41" s="38">
        <v>15.6</v>
      </c>
      <c r="AO41" s="38">
        <v>9.3</v>
      </c>
      <c r="AP41" s="38">
        <v>8.3</v>
      </c>
      <c r="AQ41" s="38">
        <v>11</v>
      </c>
      <c r="AR41" s="38">
        <v>21.4</v>
      </c>
      <c r="AS41" s="65">
        <f t="shared" si="8"/>
        <v>119.8</v>
      </c>
      <c r="AT41" s="65">
        <f t="shared" si="9"/>
        <v>127.99999999999997</v>
      </c>
      <c r="AU41" s="11">
        <f t="shared" si="2"/>
        <v>106.84474123539229</v>
      </c>
      <c r="AV41" s="65">
        <f t="shared" si="10"/>
        <v>-8.199999999999974</v>
      </c>
      <c r="AW41" s="18">
        <f t="shared" si="11"/>
        <v>-5.899999999999977</v>
      </c>
    </row>
    <row r="42" spans="1:49" ht="24.75" customHeight="1">
      <c r="A42" s="13" t="s">
        <v>44</v>
      </c>
      <c r="B42" s="15" t="s">
        <v>118</v>
      </c>
      <c r="C42" s="98">
        <v>15.3</v>
      </c>
      <c r="D42" s="38">
        <v>94.3</v>
      </c>
      <c r="E42" s="38">
        <v>1.2</v>
      </c>
      <c r="F42" s="11">
        <f t="shared" si="35"/>
        <v>1.2725344644750796</v>
      </c>
      <c r="G42" s="38">
        <v>61</v>
      </c>
      <c r="H42" s="38">
        <v>10.1</v>
      </c>
      <c r="I42" s="68">
        <f t="shared" si="0"/>
        <v>16.557377049180328</v>
      </c>
      <c r="J42" s="38">
        <v>54.6</v>
      </c>
      <c r="K42" s="38">
        <v>187</v>
      </c>
      <c r="L42" s="68">
        <f t="shared" si="25"/>
        <v>342.49084249084245</v>
      </c>
      <c r="M42" s="80">
        <f t="shared" si="4"/>
        <v>209.9</v>
      </c>
      <c r="N42" s="80">
        <f t="shared" si="5"/>
        <v>198.3</v>
      </c>
      <c r="O42" s="11">
        <f t="shared" si="3"/>
        <v>94.47355883754169</v>
      </c>
      <c r="P42" s="38">
        <v>96.9</v>
      </c>
      <c r="Q42" s="38">
        <v>18.2</v>
      </c>
      <c r="R42" s="128">
        <f t="shared" si="26"/>
        <v>18.78224974200206</v>
      </c>
      <c r="S42" s="38">
        <v>97.4</v>
      </c>
      <c r="T42" s="38">
        <v>12</v>
      </c>
      <c r="U42" s="128">
        <f t="shared" si="27"/>
        <v>12.320328542094455</v>
      </c>
      <c r="V42" s="38">
        <v>92.8</v>
      </c>
      <c r="W42" s="38">
        <v>96</v>
      </c>
      <c r="X42" s="128">
        <f t="shared" si="28"/>
        <v>103.44827586206897</v>
      </c>
      <c r="Y42" s="80">
        <f t="shared" si="29"/>
        <v>287.1</v>
      </c>
      <c r="Z42" s="80">
        <f t="shared" si="30"/>
        <v>126.2</v>
      </c>
      <c r="AA42" s="11">
        <f t="shared" si="31"/>
        <v>43.95680947405085</v>
      </c>
      <c r="AB42" s="38">
        <v>112.9</v>
      </c>
      <c r="AC42" s="38">
        <v>90.7</v>
      </c>
      <c r="AD42" s="128">
        <f t="shared" si="32"/>
        <v>80.33658104517272</v>
      </c>
      <c r="AE42" s="38">
        <v>119.8</v>
      </c>
      <c r="AF42" s="38">
        <v>148</v>
      </c>
      <c r="AG42" s="11">
        <f t="shared" si="33"/>
        <v>123.53923205342237</v>
      </c>
      <c r="AH42" s="38">
        <v>108.8</v>
      </c>
      <c r="AI42" s="38">
        <v>58.2</v>
      </c>
      <c r="AJ42" s="80">
        <f t="shared" si="6"/>
        <v>341.5</v>
      </c>
      <c r="AK42" s="80">
        <f t="shared" si="7"/>
        <v>296.9</v>
      </c>
      <c r="AL42" s="11">
        <f t="shared" si="34"/>
        <v>86.93997071742314</v>
      </c>
      <c r="AM42" s="38">
        <v>104.2</v>
      </c>
      <c r="AN42" s="38">
        <v>8.5</v>
      </c>
      <c r="AO42" s="38">
        <v>91.2</v>
      </c>
      <c r="AP42" s="38">
        <v>395.5</v>
      </c>
      <c r="AQ42" s="38">
        <v>84.6</v>
      </c>
      <c r="AR42" s="38">
        <v>111.7</v>
      </c>
      <c r="AS42" s="65">
        <f t="shared" si="8"/>
        <v>1118.5</v>
      </c>
      <c r="AT42" s="65">
        <f t="shared" si="9"/>
        <v>1137.1000000000001</v>
      </c>
      <c r="AU42" s="11">
        <f t="shared" si="2"/>
        <v>101.66294143942783</v>
      </c>
      <c r="AV42" s="65">
        <f t="shared" si="10"/>
        <v>-18.600000000000136</v>
      </c>
      <c r="AW42" s="18">
        <f t="shared" si="11"/>
        <v>-3.300000000000182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-687.1</v>
      </c>
      <c r="D43" s="18">
        <f>SUM(D44:D44)</f>
        <v>5644</v>
      </c>
      <c r="E43" s="18">
        <f>SUM(E44:E44)</f>
        <v>945.2</v>
      </c>
      <c r="F43" s="11">
        <f t="shared" si="35"/>
        <v>16.74698795180723</v>
      </c>
      <c r="G43" s="18">
        <f>SUM(G44:G44)</f>
        <v>5857</v>
      </c>
      <c r="H43" s="18">
        <f>SUM(H44:H44)</f>
        <v>4953</v>
      </c>
      <c r="I43" s="11">
        <f t="shared" si="0"/>
        <v>84.56547720676114</v>
      </c>
      <c r="J43" s="18">
        <f>SUM(J44:J44)</f>
        <v>6179.7</v>
      </c>
      <c r="K43" s="18">
        <f>SUM(K44:K44)</f>
        <v>6443.4</v>
      </c>
      <c r="L43" s="68">
        <f t="shared" si="25"/>
        <v>104.26719743676878</v>
      </c>
      <c r="M43" s="18">
        <f>SUM(M44:M44)</f>
        <v>17680.7</v>
      </c>
      <c r="N43" s="18">
        <f>SUM(N44:N44)</f>
        <v>12341.599999999999</v>
      </c>
      <c r="O43" s="11">
        <f t="shared" si="3"/>
        <v>69.80266618403115</v>
      </c>
      <c r="P43" s="18">
        <f>SUM(P44:P44)</f>
        <v>6110.4</v>
      </c>
      <c r="Q43" s="18">
        <f>SUM(Q44:Q44)</f>
        <v>5165.6</v>
      </c>
      <c r="R43" s="11">
        <f t="shared" si="26"/>
        <v>84.5378371301388</v>
      </c>
      <c r="S43" s="18">
        <f>SUM(S44:S44)</f>
        <v>6494.4</v>
      </c>
      <c r="T43" s="18">
        <f>SUM(T44:T44)</f>
        <v>5281.7</v>
      </c>
      <c r="U43" s="11">
        <f t="shared" si="27"/>
        <v>81.3269894062577</v>
      </c>
      <c r="V43" s="18">
        <f>SUM(V44:V44)</f>
        <v>6603.3</v>
      </c>
      <c r="W43" s="18">
        <f>SUM(W44:W44)</f>
        <v>7015.900000000001</v>
      </c>
      <c r="X43" s="11">
        <f t="shared" si="28"/>
        <v>106.24839095603713</v>
      </c>
      <c r="Y43" s="18">
        <f>SUM(Y44:Y44)</f>
        <v>19208.1</v>
      </c>
      <c r="Z43" s="18">
        <f>SUM(Z44:Z44)</f>
        <v>17463.2</v>
      </c>
      <c r="AA43" s="11">
        <f t="shared" si="31"/>
        <v>90.91581155866535</v>
      </c>
      <c r="AB43" s="18">
        <f>SUM(AB44:AB44)</f>
        <v>5609.8</v>
      </c>
      <c r="AC43" s="18">
        <f>SUM(AC44:AC44)</f>
        <v>5494.4</v>
      </c>
      <c r="AD43" s="11">
        <f t="shared" si="32"/>
        <v>97.94288566437305</v>
      </c>
      <c r="AE43" s="18">
        <f>SUM(AE44:AE44)</f>
        <v>4790.8</v>
      </c>
      <c r="AF43" s="18">
        <f>SUM(AF44:AF44)</f>
        <v>6030.2</v>
      </c>
      <c r="AG43" s="11">
        <f t="shared" si="33"/>
        <v>125.87041830174502</v>
      </c>
      <c r="AH43" s="18">
        <f>SUM(AH44:AH44)</f>
        <v>5787.7</v>
      </c>
      <c r="AI43" s="18">
        <f>SUM(AI44:AI44)</f>
        <v>4911.3</v>
      </c>
      <c r="AJ43" s="18">
        <f>SUM(AJ44:AJ44)</f>
        <v>16188.3</v>
      </c>
      <c r="AK43" s="18">
        <f>SUM(AK44:AK44)</f>
        <v>16435.899999999998</v>
      </c>
      <c r="AL43" s="11">
        <f t="shared" si="34"/>
        <v>101.5294997004009</v>
      </c>
      <c r="AM43" s="18">
        <f aca="true" t="shared" si="36" ref="AM43:AR43">SUM(AM44:AM44)</f>
        <v>6434.1</v>
      </c>
      <c r="AN43" s="18">
        <f t="shared" si="36"/>
        <v>5061.9</v>
      </c>
      <c r="AO43" s="18">
        <f t="shared" si="36"/>
        <v>6989.2</v>
      </c>
      <c r="AP43" s="18">
        <f t="shared" si="36"/>
        <v>6365.2</v>
      </c>
      <c r="AQ43" s="18">
        <f t="shared" si="36"/>
        <v>7268.5</v>
      </c>
      <c r="AR43" s="18">
        <f t="shared" si="36"/>
        <v>14639.2</v>
      </c>
      <c r="AS43" s="128">
        <f>AS44</f>
        <v>73768.90000000001</v>
      </c>
      <c r="AT43" s="128">
        <f>AT44</f>
        <v>72307</v>
      </c>
      <c r="AU43" s="11">
        <f t="shared" si="2"/>
        <v>98.0182705720161</v>
      </c>
      <c r="AV43" s="18">
        <f>SUM(AV44:AV44)</f>
        <v>1461.9000000000087</v>
      </c>
      <c r="AW43" s="18">
        <f>SUM(AW44:AW44)</f>
        <v>774.8000000000029</v>
      </c>
    </row>
    <row r="44" spans="1:49" s="12" customFormat="1" ht="24.75" customHeight="1">
      <c r="A44" s="8"/>
      <c r="B44" s="41" t="s">
        <v>120</v>
      </c>
      <c r="C44" s="98">
        <v>-687.1</v>
      </c>
      <c r="D44" s="38">
        <v>5644</v>
      </c>
      <c r="E44" s="75">
        <v>945.2</v>
      </c>
      <c r="F44" s="11">
        <f t="shared" si="35"/>
        <v>16.74698795180723</v>
      </c>
      <c r="G44" s="38">
        <v>5857</v>
      </c>
      <c r="H44" s="38">
        <v>4953</v>
      </c>
      <c r="I44" s="11">
        <f t="shared" si="0"/>
        <v>84.56547720676114</v>
      </c>
      <c r="J44" s="38">
        <v>6179.7</v>
      </c>
      <c r="K44" s="38">
        <v>6443.4</v>
      </c>
      <c r="L44" s="11">
        <f t="shared" si="25"/>
        <v>104.26719743676878</v>
      </c>
      <c r="M44" s="80">
        <f t="shared" si="4"/>
        <v>17680.7</v>
      </c>
      <c r="N44" s="80">
        <f t="shared" si="5"/>
        <v>12341.599999999999</v>
      </c>
      <c r="O44" s="11">
        <f t="shared" si="3"/>
        <v>69.80266618403115</v>
      </c>
      <c r="P44" s="38">
        <v>6110.4</v>
      </c>
      <c r="Q44" s="38">
        <v>5165.6</v>
      </c>
      <c r="R44" s="11">
        <f t="shared" si="26"/>
        <v>84.5378371301388</v>
      </c>
      <c r="S44" s="38">
        <v>6494.4</v>
      </c>
      <c r="T44" s="38">
        <v>5281.7</v>
      </c>
      <c r="U44" s="11">
        <f t="shared" si="27"/>
        <v>81.3269894062577</v>
      </c>
      <c r="V44" s="38">
        <v>6603.3</v>
      </c>
      <c r="W44" s="38">
        <f>7009.1+6.8</f>
        <v>7015.900000000001</v>
      </c>
      <c r="X44" s="11">
        <f t="shared" si="28"/>
        <v>106.24839095603713</v>
      </c>
      <c r="Y44" s="80">
        <f>P44+S44+V44</f>
        <v>19208.1</v>
      </c>
      <c r="Z44" s="80">
        <f>Q44+T44+W44</f>
        <v>17463.2</v>
      </c>
      <c r="AA44" s="11">
        <f t="shared" si="31"/>
        <v>90.91581155866535</v>
      </c>
      <c r="AB44" s="38">
        <v>5609.8</v>
      </c>
      <c r="AC44" s="38">
        <v>5494.4</v>
      </c>
      <c r="AD44" s="11">
        <f t="shared" si="32"/>
        <v>97.94288566437305</v>
      </c>
      <c r="AE44" s="38">
        <v>4790.8</v>
      </c>
      <c r="AF44" s="38">
        <v>6030.2</v>
      </c>
      <c r="AG44" s="11">
        <f>AF44/AE44*100</f>
        <v>125.87041830174502</v>
      </c>
      <c r="AH44" s="38">
        <v>5787.7</v>
      </c>
      <c r="AI44" s="38">
        <v>4911.3</v>
      </c>
      <c r="AJ44" s="80">
        <f>AB44+AE44+AH44</f>
        <v>16188.3</v>
      </c>
      <c r="AK44" s="80">
        <f>AC44+AF44+AI44</f>
        <v>16435.899999999998</v>
      </c>
      <c r="AL44" s="11">
        <f t="shared" si="34"/>
        <v>101.5294997004009</v>
      </c>
      <c r="AM44" s="38">
        <v>6434.1</v>
      </c>
      <c r="AN44" s="38">
        <v>5061.9</v>
      </c>
      <c r="AO44" s="38">
        <v>6989.2</v>
      </c>
      <c r="AP44" s="38">
        <v>6365.2</v>
      </c>
      <c r="AQ44" s="38">
        <v>7268.5</v>
      </c>
      <c r="AR44" s="38">
        <v>14639.2</v>
      </c>
      <c r="AS44" s="65">
        <f>M44+Y44+AJ44+AM44+AO44+AQ44</f>
        <v>73768.90000000001</v>
      </c>
      <c r="AT44" s="65">
        <f>N44+Z44+AK44+AN44+AP44+AR44</f>
        <v>72307</v>
      </c>
      <c r="AU44" s="11">
        <f t="shared" si="2"/>
        <v>98.0182705720161</v>
      </c>
      <c r="AV44" s="65">
        <f t="shared" si="10"/>
        <v>1461.9000000000087</v>
      </c>
      <c r="AW44" s="14">
        <f t="shared" si="11"/>
        <v>774.8000000000029</v>
      </c>
    </row>
    <row r="45" spans="1:49" ht="31.5" customHeight="1">
      <c r="A45" s="13"/>
      <c r="B45" s="16" t="s">
        <v>121</v>
      </c>
      <c r="C45" s="76">
        <f>C43+C7</f>
        <v>-722.7</v>
      </c>
      <c r="D45" s="18">
        <f>D43+D7</f>
        <v>6168.5</v>
      </c>
      <c r="E45" s="18">
        <f>E43+E7</f>
        <v>1009.3000000000001</v>
      </c>
      <c r="F45" s="11">
        <f>E45/D45*100</f>
        <v>16.362162600308018</v>
      </c>
      <c r="G45" s="18">
        <f>G7+G43</f>
        <v>6409.5</v>
      </c>
      <c r="H45" s="18">
        <f>H7+H43</f>
        <v>5276</v>
      </c>
      <c r="I45" s="11">
        <f t="shared" si="0"/>
        <v>82.31531320695842</v>
      </c>
      <c r="J45" s="18">
        <f>J7+J43</f>
        <v>6691.599999999999</v>
      </c>
      <c r="K45" s="18">
        <f>K7+K43</f>
        <v>7359.799999999999</v>
      </c>
      <c r="L45" s="11">
        <f t="shared" si="25"/>
        <v>109.98565365532906</v>
      </c>
      <c r="M45" s="18">
        <f>M7+M43</f>
        <v>19269.600000000002</v>
      </c>
      <c r="N45" s="18">
        <f>N7+N43</f>
        <v>13645.099999999999</v>
      </c>
      <c r="O45" s="11">
        <f t="shared" si="3"/>
        <v>70.8115373437954</v>
      </c>
      <c r="P45" s="18">
        <f>P7+P43</f>
        <v>6656.5</v>
      </c>
      <c r="Q45" s="18">
        <f>Q7+Q43</f>
        <v>5423.6</v>
      </c>
      <c r="R45" s="11">
        <f t="shared" si="26"/>
        <v>81.47825433786525</v>
      </c>
      <c r="S45" s="18">
        <f>S7+S43</f>
        <v>7032.799999999999</v>
      </c>
      <c r="T45" s="18">
        <f>T7+T43</f>
        <v>5702.5</v>
      </c>
      <c r="U45" s="11">
        <f t="shared" si="27"/>
        <v>81.08434762825618</v>
      </c>
      <c r="V45" s="18">
        <f>V7+V43</f>
        <v>7133.400000000001</v>
      </c>
      <c r="W45" s="18">
        <f>W7+W43</f>
        <v>7336.700000000001</v>
      </c>
      <c r="X45" s="11">
        <f t="shared" si="28"/>
        <v>102.84997336473492</v>
      </c>
      <c r="Y45" s="18">
        <f>Y7+Y43</f>
        <v>20822.699999999997</v>
      </c>
      <c r="Z45" s="18">
        <f>Z7+Z43</f>
        <v>18462.8</v>
      </c>
      <c r="AA45" s="11">
        <f t="shared" si="31"/>
        <v>88.66669548137371</v>
      </c>
      <c r="AB45" s="18">
        <f>AB7+AB43</f>
        <v>6165.400000000001</v>
      </c>
      <c r="AC45" s="18">
        <f>AC7+AC43</f>
        <v>5895.599999999999</v>
      </c>
      <c r="AD45" s="11">
        <f t="shared" si="32"/>
        <v>95.6239660038278</v>
      </c>
      <c r="AE45" s="18">
        <f>AE43+AE7</f>
        <v>5309</v>
      </c>
      <c r="AF45" s="18">
        <f>AF43+AF7</f>
        <v>6425</v>
      </c>
      <c r="AG45" s="11">
        <f>AF45/AE45*100</f>
        <v>121.02090789225844</v>
      </c>
      <c r="AH45" s="18">
        <f>AH43+AH7</f>
        <v>6343.099999999999</v>
      </c>
      <c r="AI45" s="18">
        <f>AI43+AI7</f>
        <v>6054.8</v>
      </c>
      <c r="AJ45" s="18">
        <f>AJ7+AJ43</f>
        <v>17817.5</v>
      </c>
      <c r="AK45" s="18">
        <f>AK7+AK43</f>
        <v>18375.399999999998</v>
      </c>
      <c r="AL45" s="11">
        <f t="shared" si="34"/>
        <v>103.13119124456291</v>
      </c>
      <c r="AM45" s="18">
        <f aca="true" t="shared" si="37" ref="AM45:AR45">AM43+AM7</f>
        <v>7002.3</v>
      </c>
      <c r="AN45" s="18">
        <f t="shared" si="37"/>
        <v>5578.4</v>
      </c>
      <c r="AO45" s="18">
        <f t="shared" si="37"/>
        <v>7559.2</v>
      </c>
      <c r="AP45" s="18">
        <f t="shared" si="37"/>
        <v>7238.5</v>
      </c>
      <c r="AQ45" s="18">
        <f t="shared" si="37"/>
        <v>7791.5</v>
      </c>
      <c r="AR45" s="18">
        <f t="shared" si="37"/>
        <v>15607.800000000001</v>
      </c>
      <c r="AS45" s="76">
        <f>AS7+AS43</f>
        <v>80262.8</v>
      </c>
      <c r="AT45" s="76">
        <f>AT7+AT43</f>
        <v>78908</v>
      </c>
      <c r="AU45" s="11">
        <f>AT45/AS45*100</f>
        <v>98.31204493239707</v>
      </c>
      <c r="AV45" s="18">
        <f>AV7+AV43</f>
        <v>1354.800000000009</v>
      </c>
      <c r="AW45" s="18">
        <f>AW7+AW43</f>
        <v>632.1000000000033</v>
      </c>
    </row>
    <row r="46" spans="1:61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2" t="s">
        <v>136</v>
      </c>
      <c r="AW47" s="173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58.5" customHeight="1">
      <c r="A51" s="29"/>
      <c r="B51" s="169" t="s">
        <v>137</v>
      </c>
      <c r="C51" s="169"/>
      <c r="D51" s="169"/>
      <c r="E51" s="169"/>
      <c r="F51" s="169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165" t="s">
        <v>133</v>
      </c>
      <c r="B52" s="165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24.75" customHeight="1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2:49" ht="24.75" customHeight="1">
      <c r="B54" s="111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24.75" customHeight="1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24.75" customHeight="1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24.75" customHeight="1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24.75" customHeight="1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24.75" customHeight="1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24.75" customHeight="1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24.75" customHeight="1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24.75" customHeight="1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24.75" customHeight="1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24.75" customHeight="1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24.75" customHeight="1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24.75" customHeight="1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24.75" customHeight="1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24.75" customHeight="1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24.75" customHeight="1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24.75" customHeight="1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24.75" customHeight="1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24.75" customHeight="1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24.75" customHeight="1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24.75" customHeight="1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24.75" customHeight="1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24.75" customHeight="1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24.75" customHeight="1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24.75" customHeight="1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24.75" customHeight="1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24.75" customHeight="1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24.75" customHeight="1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24.75" customHeight="1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24.75" customHeight="1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24.75" customHeight="1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24.75" customHeight="1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24.75" customHeight="1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24.75" customHeight="1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24.75" customHeight="1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24.75" customHeight="1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24.75" customHeight="1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24.75" customHeight="1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24.75" customHeight="1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24.75" customHeight="1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24.75" customHeight="1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24.75" customHeight="1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24.75" customHeight="1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I1:AW1"/>
    <mergeCell ref="B2:AW2"/>
    <mergeCell ref="B3:AW3"/>
    <mergeCell ref="D5:F5"/>
    <mergeCell ref="G5:I5"/>
    <mergeCell ref="P5:R5"/>
    <mergeCell ref="AE5:AG5"/>
    <mergeCell ref="AV5:AV6"/>
    <mergeCell ref="AW5:AW6"/>
    <mergeCell ref="AS5:AU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AL2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27" sqref="A27:IV27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97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customWidth="1"/>
    <col min="26" max="26" width="12.75390625" style="12" customWidth="1"/>
    <col min="27" max="27" width="11.125" style="12" customWidth="1"/>
    <col min="28" max="28" width="14.00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00390625" style="12" hidden="1" customWidth="1"/>
    <col min="36" max="36" width="14.00390625" style="12" customWidth="1"/>
    <col min="37" max="37" width="12.75390625" style="12" customWidth="1"/>
    <col min="38" max="38" width="11.125" style="12" customWidth="1"/>
    <col min="39" max="39" width="13.125" style="12" customWidth="1"/>
    <col min="40" max="40" width="11.00390625" style="12" customWidth="1"/>
    <col min="41" max="41" width="13.125" style="12" customWidth="1"/>
    <col min="42" max="42" width="11.00390625" style="12" customWidth="1"/>
    <col min="43" max="43" width="13.125" style="12" customWidth="1"/>
    <col min="44" max="44" width="11.00390625" style="12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625" style="2" customWidth="1"/>
    <col min="51" max="51" width="11.125" style="2" customWidth="1"/>
    <col min="52" max="52" width="7.75390625" style="2" bestFit="1" customWidth="1"/>
    <col min="53" max="16384" width="6.75390625" style="2" customWidth="1"/>
  </cols>
  <sheetData>
    <row r="1" spans="9:49" ht="19.5" customHeight="1">
      <c r="I1" s="162" t="s">
        <v>49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56" customFormat="1" ht="42" customHeight="1">
      <c r="A2" s="55"/>
      <c r="B2" s="163" t="s">
        <v>129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56" customFormat="1" ht="42" customHeight="1">
      <c r="A3" s="55"/>
      <c r="B3" s="163" t="s">
        <v>161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8.75">
      <c r="B4" s="164"/>
      <c r="C4" s="164"/>
      <c r="D4" s="164"/>
      <c r="E4" s="164"/>
      <c r="F4" s="164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58" t="s">
        <v>139</v>
      </c>
      <c r="E5" s="159"/>
      <c r="F5" s="160"/>
      <c r="G5" s="153" t="s">
        <v>140</v>
      </c>
      <c r="H5" s="154"/>
      <c r="I5" s="155"/>
      <c r="J5" s="153" t="s">
        <v>142</v>
      </c>
      <c r="K5" s="154"/>
      <c r="L5" s="155"/>
      <c r="M5" s="153" t="s">
        <v>156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159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160</v>
      </c>
      <c r="AK5" s="154"/>
      <c r="AL5" s="155"/>
      <c r="AM5" s="153" t="s">
        <v>150</v>
      </c>
      <c r="AN5" s="155"/>
      <c r="AO5" s="153" t="s">
        <v>151</v>
      </c>
      <c r="AP5" s="155"/>
      <c r="AQ5" s="153" t="s">
        <v>152</v>
      </c>
      <c r="AR5" s="155"/>
      <c r="AS5" s="158" t="s">
        <v>153</v>
      </c>
      <c r="AT5" s="159"/>
      <c r="AU5" s="160"/>
      <c r="AV5" s="156" t="s">
        <v>162</v>
      </c>
      <c r="AW5" s="156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13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7"/>
      <c r="AW6" s="157"/>
    </row>
    <row r="7" spans="1:52" s="12" customFormat="1" ht="36" customHeight="1">
      <c r="A7" s="8"/>
      <c r="B7" s="9" t="s">
        <v>88</v>
      </c>
      <c r="C7" s="60">
        <f>SUM(C8:C42)</f>
        <v>-180.2999999999999</v>
      </c>
      <c r="D7" s="11">
        <f>SUM(D8:D42)</f>
        <v>1843.7</v>
      </c>
      <c r="E7" s="11">
        <f>SUM(E8:E42)</f>
        <v>824.3</v>
      </c>
      <c r="F7" s="11">
        <f aca="true" t="shared" si="0" ref="F7:F12">E7/D7*100</f>
        <v>44.70900905787275</v>
      </c>
      <c r="G7" s="11">
        <f>SUM(G8:G42)</f>
        <v>2457.2999999999997</v>
      </c>
      <c r="H7" s="11">
        <f>SUM(H8:H42)</f>
        <v>2588.5</v>
      </c>
      <c r="I7" s="11">
        <f aca="true" t="shared" si="1" ref="I7:I45">H7/G7*100</f>
        <v>105.33919342367642</v>
      </c>
      <c r="J7" s="11">
        <f>SUM(J8:J42)</f>
        <v>2363.4</v>
      </c>
      <c r="K7" s="11">
        <f>SUM(K8:K42)</f>
        <v>2609.3999999999996</v>
      </c>
      <c r="L7" s="11">
        <f aca="true" t="shared" si="2" ref="L7:L28">K7/J7*100</f>
        <v>110.40873318101039</v>
      </c>
      <c r="M7" s="11">
        <f>SUM(M8:M42)</f>
        <v>6664.4</v>
      </c>
      <c r="N7" s="11">
        <f>SUM(N8:N42)</f>
        <v>6022.199999999999</v>
      </c>
      <c r="O7" s="11">
        <f>N7/M7*100</f>
        <v>90.36372366604645</v>
      </c>
      <c r="P7" s="11">
        <f>SUM(P8:P42)</f>
        <v>2196.7999999999997</v>
      </c>
      <c r="Q7" s="11">
        <f>SUM(Q8:Q42)</f>
        <v>1993.8</v>
      </c>
      <c r="R7" s="11">
        <f aca="true" t="shared" si="3" ref="R7:R28">Q7/P7*100</f>
        <v>90.75928623452295</v>
      </c>
      <c r="S7" s="11">
        <f>SUM(S8:S42)</f>
        <v>2081.2999999999997</v>
      </c>
      <c r="T7" s="11">
        <f>SUM(T8:T42)</f>
        <v>2167.6</v>
      </c>
      <c r="U7" s="11">
        <f aca="true" t="shared" si="4" ref="U7:U28">T7/S7*100</f>
        <v>104.14644693220585</v>
      </c>
      <c r="V7" s="11">
        <f>SUM(V8:V42)</f>
        <v>2063.9999999999995</v>
      </c>
      <c r="W7" s="11">
        <f>SUM(W8:W42)</f>
        <v>1714.6999999999998</v>
      </c>
      <c r="X7" s="11">
        <f aca="true" t="shared" si="5" ref="X7:X28">W7/V7*100</f>
        <v>83.07655038759691</v>
      </c>
      <c r="Y7" s="11">
        <f>SUM(Y8:Y42)</f>
        <v>6342.1</v>
      </c>
      <c r="Z7" s="11">
        <f>SUM(Z8:Z42)</f>
        <v>5876.1</v>
      </c>
      <c r="AA7" s="11">
        <f>Z7/Y7*100</f>
        <v>92.65227605998014</v>
      </c>
      <c r="AB7" s="11">
        <f>SUM(AB8:AB42)</f>
        <v>1877.3999999999999</v>
      </c>
      <c r="AC7" s="11">
        <f>SUM(AC8:AC42)</f>
        <v>2206.8999999999996</v>
      </c>
      <c r="AD7" s="11">
        <f aca="true" t="shared" si="6" ref="AD7:AD28">AC7/AB7*100</f>
        <v>117.55086822200916</v>
      </c>
      <c r="AE7" s="11">
        <f>SUM(AE8:AE42)</f>
        <v>1791.6000000000001</v>
      </c>
      <c r="AF7" s="11">
        <f>SUM(AF8:AF42)</f>
        <v>1819.9</v>
      </c>
      <c r="AG7" s="11">
        <f>AF7/AE7*100</f>
        <v>101.57959365929894</v>
      </c>
      <c r="AH7" s="11">
        <f>SUM(AH8:AH42)</f>
        <v>2042.2</v>
      </c>
      <c r="AI7" s="11">
        <f>SUM(AI8:AI42)</f>
        <v>1979.3000000000004</v>
      </c>
      <c r="AJ7" s="11">
        <f>SUM(AJ8:AJ42)</f>
        <v>5711.2</v>
      </c>
      <c r="AK7" s="11">
        <f>SUM(AK8:AK42)</f>
        <v>6006.1</v>
      </c>
      <c r="AL7" s="11">
        <f>AK7/AJ7*100</f>
        <v>105.16353831068778</v>
      </c>
      <c r="AM7" s="11">
        <f aca="true" t="shared" si="7" ref="AM7:AT7">SUM(AM8:AM42)</f>
        <v>2396.1000000000004</v>
      </c>
      <c r="AN7" s="11">
        <f t="shared" si="7"/>
        <v>2429.2</v>
      </c>
      <c r="AO7" s="11">
        <f t="shared" si="7"/>
        <v>2259.4999999999995</v>
      </c>
      <c r="AP7" s="11">
        <f t="shared" si="7"/>
        <v>2112.4</v>
      </c>
      <c r="AQ7" s="11">
        <f>SUM(AQ8:AQ42)</f>
        <v>2658.2000000000003</v>
      </c>
      <c r="AR7" s="11">
        <f>SUM(AR8:AR42)</f>
        <v>3472.799999999999</v>
      </c>
      <c r="AS7" s="60">
        <f t="shared" si="7"/>
        <v>26031.5</v>
      </c>
      <c r="AT7" s="60">
        <f t="shared" si="7"/>
        <v>25918.800000000003</v>
      </c>
      <c r="AU7" s="11">
        <f aca="true" t="shared" si="8" ref="AU7:AU44">AT7/AS7*100</f>
        <v>99.56706298138795</v>
      </c>
      <c r="AV7" s="60">
        <f>SUM(AV8:AV42)</f>
        <v>112.69999999999897</v>
      </c>
      <c r="AW7" s="60">
        <f>SUM(AW8:AW42)</f>
        <v>-67.60000000000171</v>
      </c>
      <c r="AX7" s="23">
        <f>M7+Y7+AJ7+AM7</f>
        <v>21113.800000000003</v>
      </c>
      <c r="AY7" s="23">
        <f>N7+Z7+AK7+AN7</f>
        <v>20333.600000000002</v>
      </c>
      <c r="AZ7" s="42">
        <f>C7+AX7-AY7</f>
        <v>599.9000000000015</v>
      </c>
    </row>
    <row r="8" spans="1:49" ht="24.75" customHeight="1">
      <c r="A8" s="13" t="s">
        <v>12</v>
      </c>
      <c r="B8" s="41" t="s">
        <v>90</v>
      </c>
      <c r="C8" s="98">
        <f>-0.1+(-53.4)</f>
        <v>-53.5</v>
      </c>
      <c r="D8" s="38">
        <f>30.1+137.6</f>
        <v>167.7</v>
      </c>
      <c r="E8" s="38">
        <f>23.9+88.5</f>
        <v>112.4</v>
      </c>
      <c r="F8" s="11">
        <f t="shared" si="0"/>
        <v>67.02444841979727</v>
      </c>
      <c r="G8" s="38">
        <f>37.1+132.9</f>
        <v>170</v>
      </c>
      <c r="H8" s="38">
        <f>43.3+133.5</f>
        <v>176.8</v>
      </c>
      <c r="I8" s="11">
        <f t="shared" si="1"/>
        <v>104</v>
      </c>
      <c r="J8" s="38">
        <f>34.7+116.6</f>
        <v>151.3</v>
      </c>
      <c r="K8" s="38">
        <f>29.7+115.9</f>
        <v>145.6</v>
      </c>
      <c r="L8" s="11">
        <f t="shared" si="2"/>
        <v>96.23265036351619</v>
      </c>
      <c r="M8" s="80">
        <f>D8+G8+J8</f>
        <v>489</v>
      </c>
      <c r="N8" s="80">
        <f>E8+H8+K8</f>
        <v>434.80000000000007</v>
      </c>
      <c r="O8" s="11">
        <f aca="true" t="shared" si="9" ref="O8:O45">N8/M8*100</f>
        <v>88.91615541922292</v>
      </c>
      <c r="P8" s="38">
        <f>37.2+129.6</f>
        <v>166.8</v>
      </c>
      <c r="Q8" s="38">
        <f>41+129.3</f>
        <v>170.3</v>
      </c>
      <c r="R8" s="11">
        <f t="shared" si="3"/>
        <v>102.09832134292567</v>
      </c>
      <c r="S8" s="38">
        <v>183.1</v>
      </c>
      <c r="T8" s="38">
        <v>186.8</v>
      </c>
      <c r="U8" s="11">
        <f t="shared" si="4"/>
        <v>102.02075368651012</v>
      </c>
      <c r="V8" s="38">
        <f>45.8+136.2</f>
        <v>182</v>
      </c>
      <c r="W8" s="38">
        <f>43.7+129.3</f>
        <v>173</v>
      </c>
      <c r="X8" s="11">
        <f t="shared" si="5"/>
        <v>95.05494505494505</v>
      </c>
      <c r="Y8" s="80">
        <f>P8+S8+V8</f>
        <v>531.9</v>
      </c>
      <c r="Z8" s="80">
        <f>Q8+T8+W8</f>
        <v>530.1</v>
      </c>
      <c r="AA8" s="11">
        <f aca="true" t="shared" si="10" ref="AA8:AA28">Z8/Y8*100</f>
        <v>99.66159052453469</v>
      </c>
      <c r="AB8" s="38">
        <f>44.7+137.8</f>
        <v>182.5</v>
      </c>
      <c r="AC8" s="38">
        <f>46.8+146</f>
        <v>192.8</v>
      </c>
      <c r="AD8" s="11">
        <f t="shared" si="6"/>
        <v>105.64383561643835</v>
      </c>
      <c r="AE8" s="38">
        <f>43.3+133.2</f>
        <v>176.5</v>
      </c>
      <c r="AF8" s="38">
        <f>43.3+124.6</f>
        <v>167.89999999999998</v>
      </c>
      <c r="AG8" s="11">
        <f>AF8/AE8*100</f>
        <v>95.12747875354106</v>
      </c>
      <c r="AH8" s="38">
        <f>46.9+150.5</f>
        <v>197.4</v>
      </c>
      <c r="AI8" s="38">
        <f>46.9+152.7</f>
        <v>199.6</v>
      </c>
      <c r="AJ8" s="80">
        <f>AB8+AE8+AH8</f>
        <v>556.4</v>
      </c>
      <c r="AK8" s="80">
        <f>AC8+AF8+AI8</f>
        <v>560.3</v>
      </c>
      <c r="AL8" s="11">
        <f>AK8/AJ8*100</f>
        <v>100.70093457943925</v>
      </c>
      <c r="AM8" s="38">
        <f>53.4+158.2</f>
        <v>211.6</v>
      </c>
      <c r="AN8" s="38">
        <f>53.4+156.6</f>
        <v>210</v>
      </c>
      <c r="AO8" s="38">
        <f>45.2+153.3</f>
        <v>198.5</v>
      </c>
      <c r="AP8" s="38">
        <f>45.2+47.3</f>
        <v>92.5</v>
      </c>
      <c r="AQ8" s="38">
        <f>52.2+157.8</f>
        <v>210</v>
      </c>
      <c r="AR8" s="38">
        <f>61.8+279.8</f>
        <v>341.6</v>
      </c>
      <c r="AS8" s="65">
        <f>M8+Y8+AJ8+AM8+AO8+AQ8</f>
        <v>2197.3999999999996</v>
      </c>
      <c r="AT8" s="65">
        <f>N8+Z8+AK8+AN8+AP8+AR8</f>
        <v>2169.3</v>
      </c>
      <c r="AU8" s="11">
        <f t="shared" si="8"/>
        <v>98.72121598252482</v>
      </c>
      <c r="AV8" s="65">
        <f>AS8-AT8</f>
        <v>28.099999999999454</v>
      </c>
      <c r="AW8" s="18">
        <f aca="true" t="shared" si="11" ref="AW8:AW28">C8+AS8-AT8</f>
        <v>-25.400000000000546</v>
      </c>
    </row>
    <row r="9" spans="1:49" ht="24.75" customHeight="1">
      <c r="A9" s="13" t="s">
        <v>13</v>
      </c>
      <c r="B9" s="41" t="s">
        <v>91</v>
      </c>
      <c r="C9" s="98">
        <f>-1.3+(-55.6)</f>
        <v>-56.9</v>
      </c>
      <c r="D9" s="38">
        <v>45.2</v>
      </c>
      <c r="E9" s="38">
        <v>6</v>
      </c>
      <c r="F9" s="11">
        <f t="shared" si="0"/>
        <v>13.27433628318584</v>
      </c>
      <c r="G9" s="38">
        <v>49.8</v>
      </c>
      <c r="H9" s="38">
        <v>9.7</v>
      </c>
      <c r="I9" s="11">
        <f t="shared" si="1"/>
        <v>19.477911646586346</v>
      </c>
      <c r="J9" s="38">
        <v>45.4</v>
      </c>
      <c r="K9" s="38">
        <v>36.5</v>
      </c>
      <c r="L9" s="11">
        <f t="shared" si="2"/>
        <v>80.39647577092511</v>
      </c>
      <c r="M9" s="80">
        <f aca="true" t="shared" si="12" ref="M9:M44">D9+G9+J9</f>
        <v>140.4</v>
      </c>
      <c r="N9" s="80">
        <f aca="true" t="shared" si="13" ref="N9:N44">E9+H9+K9</f>
        <v>52.2</v>
      </c>
      <c r="O9" s="11">
        <f t="shared" si="9"/>
        <v>37.17948717948718</v>
      </c>
      <c r="P9" s="38">
        <v>48.6</v>
      </c>
      <c r="Q9" s="38">
        <v>80</v>
      </c>
      <c r="R9" s="11">
        <f t="shared" si="3"/>
        <v>164.6090534979424</v>
      </c>
      <c r="S9" s="38">
        <v>49.4</v>
      </c>
      <c r="T9" s="38">
        <v>48.6</v>
      </c>
      <c r="U9" s="11">
        <f t="shared" si="4"/>
        <v>98.38056680161944</v>
      </c>
      <c r="V9" s="38">
        <v>56.2</v>
      </c>
      <c r="W9" s="38">
        <v>37.8</v>
      </c>
      <c r="X9" s="11">
        <f t="shared" si="5"/>
        <v>67.25978647686833</v>
      </c>
      <c r="Y9" s="80">
        <f aca="true" t="shared" si="14" ref="Y9:Y28">P9+S9+V9</f>
        <v>154.2</v>
      </c>
      <c r="Z9" s="80">
        <f aca="true" t="shared" si="15" ref="Z9:Z28">Q9+T9+W9</f>
        <v>166.39999999999998</v>
      </c>
      <c r="AA9" s="11">
        <f t="shared" si="10"/>
        <v>107.9118028534371</v>
      </c>
      <c r="AB9" s="38">
        <v>48.8</v>
      </c>
      <c r="AC9" s="38">
        <v>45.6</v>
      </c>
      <c r="AD9" s="11">
        <f t="shared" si="6"/>
        <v>93.44262295081968</v>
      </c>
      <c r="AE9" s="38">
        <v>60.7</v>
      </c>
      <c r="AF9" s="38">
        <v>51.3</v>
      </c>
      <c r="AG9" s="11">
        <f>AF9/AE9*100</f>
        <v>84.5140032948929</v>
      </c>
      <c r="AH9" s="38">
        <v>48.1</v>
      </c>
      <c r="AI9" s="38">
        <v>46.5</v>
      </c>
      <c r="AJ9" s="80">
        <f aca="true" t="shared" si="16" ref="AJ9:AJ42">AB9+AE9+AH9</f>
        <v>157.6</v>
      </c>
      <c r="AK9" s="80">
        <f aca="true" t="shared" si="17" ref="AK9:AK42">AC9+AF9+AI9</f>
        <v>143.4</v>
      </c>
      <c r="AL9" s="11">
        <f>AK9/AJ9*100</f>
        <v>90.98984771573605</v>
      </c>
      <c r="AM9" s="38">
        <v>47.5</v>
      </c>
      <c r="AN9" s="38">
        <v>48</v>
      </c>
      <c r="AO9" s="38">
        <v>43.4</v>
      </c>
      <c r="AP9" s="38">
        <v>51.5</v>
      </c>
      <c r="AQ9" s="38">
        <v>54</v>
      </c>
      <c r="AR9" s="38">
        <v>80.3</v>
      </c>
      <c r="AS9" s="65">
        <f aca="true" t="shared" si="18" ref="AS9:AS42">M9+Y9+AJ9+AM9+AO9+AQ9</f>
        <v>597.1</v>
      </c>
      <c r="AT9" s="65">
        <f aca="true" t="shared" si="19" ref="AT9:AT42">N9+Z9+AK9+AN9+AP9+AR9</f>
        <v>541.8</v>
      </c>
      <c r="AU9" s="11">
        <f t="shared" si="8"/>
        <v>90.73856975381007</v>
      </c>
      <c r="AV9" s="65">
        <f aca="true" t="shared" si="20" ref="AV9:AV44">AS9-AT9</f>
        <v>55.30000000000007</v>
      </c>
      <c r="AW9" s="18">
        <f t="shared" si="11"/>
        <v>-1.599999999999909</v>
      </c>
    </row>
    <row r="10" spans="1:49" ht="24.75" customHeight="1">
      <c r="A10" s="13" t="s">
        <v>14</v>
      </c>
      <c r="B10" s="15" t="s">
        <v>132</v>
      </c>
      <c r="C10" s="98">
        <v>0</v>
      </c>
      <c r="D10" s="38">
        <v>40.3</v>
      </c>
      <c r="E10" s="38">
        <v>40.3</v>
      </c>
      <c r="F10" s="128">
        <f t="shared" si="0"/>
        <v>100</v>
      </c>
      <c r="G10" s="38">
        <v>325.9</v>
      </c>
      <c r="H10" s="38">
        <v>325.9</v>
      </c>
      <c r="I10" s="11">
        <f t="shared" si="1"/>
        <v>100</v>
      </c>
      <c r="J10" s="38">
        <v>339.2</v>
      </c>
      <c r="K10" s="38">
        <v>339.2</v>
      </c>
      <c r="L10" s="11">
        <f t="shared" si="2"/>
        <v>100</v>
      </c>
      <c r="M10" s="80">
        <f t="shared" si="12"/>
        <v>705.4</v>
      </c>
      <c r="N10" s="80">
        <f t="shared" si="13"/>
        <v>705.4</v>
      </c>
      <c r="O10" s="11">
        <f t="shared" si="9"/>
        <v>100</v>
      </c>
      <c r="P10" s="38">
        <v>93.2</v>
      </c>
      <c r="Q10" s="38">
        <v>93.2</v>
      </c>
      <c r="R10" s="57">
        <f t="shared" si="3"/>
        <v>100</v>
      </c>
      <c r="S10" s="38">
        <v>8.9</v>
      </c>
      <c r="T10" s="38">
        <v>8.9</v>
      </c>
      <c r="U10" s="11">
        <f t="shared" si="4"/>
        <v>100</v>
      </c>
      <c r="V10" s="38">
        <v>4</v>
      </c>
      <c r="W10" s="38">
        <v>4</v>
      </c>
      <c r="X10" s="11">
        <f t="shared" si="5"/>
        <v>100</v>
      </c>
      <c r="Y10" s="80">
        <f t="shared" si="14"/>
        <v>106.10000000000001</v>
      </c>
      <c r="Z10" s="80">
        <f t="shared" si="15"/>
        <v>106.10000000000001</v>
      </c>
      <c r="AA10" s="11">
        <f t="shared" si="10"/>
        <v>100</v>
      </c>
      <c r="AB10" s="38">
        <v>4</v>
      </c>
      <c r="AC10" s="38">
        <v>4</v>
      </c>
      <c r="AD10" s="11">
        <f t="shared" si="6"/>
        <v>100</v>
      </c>
      <c r="AE10" s="38">
        <v>5.9</v>
      </c>
      <c r="AF10" s="38">
        <v>5.9</v>
      </c>
      <c r="AG10" s="11">
        <f>AF10/AE10*100</f>
        <v>100</v>
      </c>
      <c r="AH10" s="38">
        <v>0</v>
      </c>
      <c r="AI10" s="38">
        <v>0</v>
      </c>
      <c r="AJ10" s="80">
        <f t="shared" si="16"/>
        <v>9.9</v>
      </c>
      <c r="AK10" s="80">
        <f t="shared" si="17"/>
        <v>9.9</v>
      </c>
      <c r="AL10" s="133">
        <v>0</v>
      </c>
      <c r="AM10" s="38">
        <v>6</v>
      </c>
      <c r="AN10" s="38">
        <v>6</v>
      </c>
      <c r="AO10" s="38">
        <v>6</v>
      </c>
      <c r="AP10" s="38">
        <v>6</v>
      </c>
      <c r="AQ10" s="38"/>
      <c r="AR10" s="38"/>
      <c r="AS10" s="65">
        <f t="shared" si="18"/>
        <v>833.4</v>
      </c>
      <c r="AT10" s="65">
        <f t="shared" si="19"/>
        <v>833.4</v>
      </c>
      <c r="AU10" s="128">
        <f t="shared" si="8"/>
        <v>100</v>
      </c>
      <c r="AV10" s="65">
        <f t="shared" si="20"/>
        <v>0</v>
      </c>
      <c r="AW10" s="18">
        <f t="shared" si="11"/>
        <v>0</v>
      </c>
    </row>
    <row r="11" spans="1:49" ht="22.5" customHeight="1">
      <c r="A11" s="13" t="s">
        <v>15</v>
      </c>
      <c r="B11" s="41" t="s">
        <v>92</v>
      </c>
      <c r="C11" s="98">
        <f>-0.1-3.5</f>
        <v>-3.6</v>
      </c>
      <c r="D11" s="38">
        <f>15+57.3</f>
        <v>72.3</v>
      </c>
      <c r="E11" s="38">
        <f>16+9.5</f>
        <v>25.5</v>
      </c>
      <c r="F11" s="11">
        <f t="shared" si="0"/>
        <v>35.26970954356847</v>
      </c>
      <c r="G11" s="38">
        <f>16.4+87.5</f>
        <v>103.9</v>
      </c>
      <c r="H11" s="38">
        <f>18.4+74.6</f>
        <v>93</v>
      </c>
      <c r="I11" s="11">
        <f aca="true" t="shared" si="21" ref="I11:I16">H11/G11*100</f>
        <v>89.50914340712222</v>
      </c>
      <c r="J11" s="38">
        <f>15.2+70.9</f>
        <v>86.10000000000001</v>
      </c>
      <c r="K11" s="38">
        <f>17.6+126.8</f>
        <v>144.4</v>
      </c>
      <c r="L11" s="11">
        <f t="shared" si="2"/>
        <v>167.71196283391404</v>
      </c>
      <c r="M11" s="80">
        <f t="shared" si="12"/>
        <v>262.3</v>
      </c>
      <c r="N11" s="80">
        <f t="shared" si="13"/>
        <v>262.9</v>
      </c>
      <c r="O11" s="11">
        <f t="shared" si="9"/>
        <v>100.2287457110179</v>
      </c>
      <c r="P11" s="38">
        <f>9.8+81.1</f>
        <v>90.89999999999999</v>
      </c>
      <c r="Q11" s="38">
        <f>4.3+81.7</f>
        <v>86</v>
      </c>
      <c r="R11" s="11">
        <f t="shared" si="3"/>
        <v>94.60946094609461</v>
      </c>
      <c r="S11" s="38">
        <f>10.5+86.5</f>
        <v>97</v>
      </c>
      <c r="T11" s="38">
        <f>10.5+25.2</f>
        <v>35.7</v>
      </c>
      <c r="U11" s="11">
        <f t="shared" si="4"/>
        <v>36.80412371134021</v>
      </c>
      <c r="V11" s="38">
        <f>4.4+88.1</f>
        <v>92.5</v>
      </c>
      <c r="W11" s="38">
        <f>4.4+25.8</f>
        <v>30.200000000000003</v>
      </c>
      <c r="X11" s="11">
        <f t="shared" si="5"/>
        <v>32.64864864864865</v>
      </c>
      <c r="Y11" s="80">
        <f t="shared" si="14"/>
        <v>280.4</v>
      </c>
      <c r="Z11" s="80">
        <f t="shared" si="15"/>
        <v>151.9</v>
      </c>
      <c r="AA11" s="11">
        <f t="shared" si="10"/>
        <v>54.172610556348076</v>
      </c>
      <c r="AB11" s="38">
        <f>14.5+76.8</f>
        <v>91.3</v>
      </c>
      <c r="AC11" s="38">
        <f>14.5+192.6</f>
        <v>207.1</v>
      </c>
      <c r="AD11" s="11">
        <f t="shared" si="6"/>
        <v>226.83461117196057</v>
      </c>
      <c r="AE11" s="38">
        <v>75.3</v>
      </c>
      <c r="AF11" s="38">
        <v>80</v>
      </c>
      <c r="AG11" s="11">
        <f>AF11/AE11*100</f>
        <v>106.24169986719787</v>
      </c>
      <c r="AH11" s="38">
        <f>17.3+5.4</f>
        <v>22.700000000000003</v>
      </c>
      <c r="AI11" s="38">
        <f>15.9+11.9</f>
        <v>27.8</v>
      </c>
      <c r="AJ11" s="80">
        <f t="shared" si="16"/>
        <v>189.3</v>
      </c>
      <c r="AK11" s="80">
        <f t="shared" si="17"/>
        <v>314.90000000000003</v>
      </c>
      <c r="AL11" s="11">
        <f aca="true" t="shared" si="22" ref="AL11:AL28">AK11/AJ11*100</f>
        <v>166.34970945589015</v>
      </c>
      <c r="AM11" s="38">
        <f>14.8+11.8</f>
        <v>26.6</v>
      </c>
      <c r="AN11" s="38">
        <f>16.2+11.8</f>
        <v>28</v>
      </c>
      <c r="AO11" s="38">
        <f>20+11.2</f>
        <v>31.2</v>
      </c>
      <c r="AP11" s="38">
        <f>19.2+13.4</f>
        <v>32.6</v>
      </c>
      <c r="AQ11" s="38">
        <f>19.7+46.4</f>
        <v>66.1</v>
      </c>
      <c r="AR11" s="38">
        <f>17.7+51.7</f>
        <v>69.4</v>
      </c>
      <c r="AS11" s="65">
        <f t="shared" si="18"/>
        <v>855.9000000000001</v>
      </c>
      <c r="AT11" s="65">
        <f t="shared" si="19"/>
        <v>859.7</v>
      </c>
      <c r="AU11" s="11">
        <f t="shared" si="8"/>
        <v>100.4439771001285</v>
      </c>
      <c r="AV11" s="65">
        <f t="shared" si="20"/>
        <v>-3.7999999999999545</v>
      </c>
      <c r="AW11" s="18">
        <f t="shared" si="11"/>
        <v>-7.399999999999977</v>
      </c>
    </row>
    <row r="12" spans="1:49" ht="24.75" customHeight="1">
      <c r="A12" s="13" t="s">
        <v>16</v>
      </c>
      <c r="B12" s="41" t="s">
        <v>93</v>
      </c>
      <c r="C12" s="98">
        <v>-6</v>
      </c>
      <c r="D12" s="38">
        <v>76.5</v>
      </c>
      <c r="E12" s="38">
        <v>14.9</v>
      </c>
      <c r="F12" s="60">
        <f t="shared" si="0"/>
        <v>19.477124183006538</v>
      </c>
      <c r="G12" s="38">
        <v>74.1</v>
      </c>
      <c r="H12" s="38">
        <v>101.5</v>
      </c>
      <c r="I12" s="11">
        <f t="shared" si="21"/>
        <v>136.97705802968963</v>
      </c>
      <c r="J12" s="38">
        <v>80</v>
      </c>
      <c r="K12" s="38">
        <v>88</v>
      </c>
      <c r="L12" s="11">
        <f t="shared" si="2"/>
        <v>110.00000000000001</v>
      </c>
      <c r="M12" s="80">
        <f t="shared" si="12"/>
        <v>230.6</v>
      </c>
      <c r="N12" s="80">
        <f t="shared" si="13"/>
        <v>204.4</v>
      </c>
      <c r="O12" s="11">
        <f t="shared" si="9"/>
        <v>88.63833477883783</v>
      </c>
      <c r="P12" s="38">
        <v>91.6</v>
      </c>
      <c r="Q12" s="38">
        <v>90.3</v>
      </c>
      <c r="R12" s="11">
        <f t="shared" si="3"/>
        <v>98.58078602620087</v>
      </c>
      <c r="S12" s="38">
        <v>83.7</v>
      </c>
      <c r="T12" s="38">
        <v>100.8</v>
      </c>
      <c r="U12" s="11">
        <f t="shared" si="4"/>
        <v>120.4301075268817</v>
      </c>
      <c r="V12" s="38">
        <v>85.4</v>
      </c>
      <c r="W12" s="38">
        <v>94.3</v>
      </c>
      <c r="X12" s="11">
        <f t="shared" si="5"/>
        <v>110.42154566744729</v>
      </c>
      <c r="Y12" s="80">
        <f t="shared" si="14"/>
        <v>260.70000000000005</v>
      </c>
      <c r="Z12" s="80">
        <f t="shared" si="15"/>
        <v>285.4</v>
      </c>
      <c r="AA12" s="11">
        <f t="shared" si="10"/>
        <v>109.47449175297275</v>
      </c>
      <c r="AB12" s="38">
        <v>80.3</v>
      </c>
      <c r="AC12" s="38">
        <v>80.1</v>
      </c>
      <c r="AD12" s="11">
        <f t="shared" si="6"/>
        <v>99.75093399750934</v>
      </c>
      <c r="AE12" s="38">
        <v>79.6</v>
      </c>
      <c r="AF12" s="38">
        <v>79.7</v>
      </c>
      <c r="AG12" s="129">
        <f aca="true" t="shared" si="23" ref="AG12:AG24">AF12/AE12*100</f>
        <v>100.12562814070354</v>
      </c>
      <c r="AH12" s="38">
        <v>89.6</v>
      </c>
      <c r="AI12" s="38">
        <v>90.8</v>
      </c>
      <c r="AJ12" s="80">
        <f t="shared" si="16"/>
        <v>249.49999999999997</v>
      </c>
      <c r="AK12" s="80">
        <f t="shared" si="17"/>
        <v>250.60000000000002</v>
      </c>
      <c r="AL12" s="11">
        <f t="shared" si="22"/>
        <v>100.44088176352707</v>
      </c>
      <c r="AM12" s="38">
        <v>113</v>
      </c>
      <c r="AN12" s="38">
        <v>113</v>
      </c>
      <c r="AO12" s="38">
        <v>99.5</v>
      </c>
      <c r="AP12" s="38">
        <v>99.8</v>
      </c>
      <c r="AQ12" s="38">
        <v>147.9</v>
      </c>
      <c r="AR12" s="38">
        <v>150.7</v>
      </c>
      <c r="AS12" s="65">
        <f t="shared" si="18"/>
        <v>1101.2</v>
      </c>
      <c r="AT12" s="65">
        <f t="shared" si="19"/>
        <v>1103.8999999999999</v>
      </c>
      <c r="AU12" s="11">
        <f t="shared" si="8"/>
        <v>100.24518706865236</v>
      </c>
      <c r="AV12" s="65">
        <f t="shared" si="20"/>
        <v>-2.699999999999818</v>
      </c>
      <c r="AW12" s="18">
        <f t="shared" si="11"/>
        <v>-8.699999999999818</v>
      </c>
    </row>
    <row r="13" spans="1:49" ht="24.75" customHeight="1">
      <c r="A13" s="13" t="s">
        <v>17</v>
      </c>
      <c r="B13" s="41" t="s">
        <v>94</v>
      </c>
      <c r="C13" s="98">
        <v>-6.1</v>
      </c>
      <c r="D13" s="38">
        <v>51.7</v>
      </c>
      <c r="E13" s="38">
        <v>48.7</v>
      </c>
      <c r="F13" s="11">
        <f aca="true" t="shared" si="24" ref="F13:F23">E13/D13*100</f>
        <v>94.1972920696325</v>
      </c>
      <c r="G13" s="38">
        <v>61.2</v>
      </c>
      <c r="H13" s="38">
        <v>7.7</v>
      </c>
      <c r="I13" s="11">
        <f t="shared" si="21"/>
        <v>12.581699346405228</v>
      </c>
      <c r="J13" s="38">
        <v>49.9</v>
      </c>
      <c r="K13" s="38">
        <v>63.8</v>
      </c>
      <c r="L13" s="11">
        <f t="shared" si="2"/>
        <v>127.85571142284569</v>
      </c>
      <c r="M13" s="80">
        <f t="shared" si="12"/>
        <v>162.8</v>
      </c>
      <c r="N13" s="80">
        <f t="shared" si="13"/>
        <v>120.2</v>
      </c>
      <c r="O13" s="11">
        <f t="shared" si="9"/>
        <v>73.83292383292383</v>
      </c>
      <c r="P13" s="38">
        <v>58.2</v>
      </c>
      <c r="Q13" s="38">
        <v>88.9</v>
      </c>
      <c r="R13" s="128">
        <f t="shared" si="3"/>
        <v>152.7491408934708</v>
      </c>
      <c r="S13" s="38">
        <v>57.8</v>
      </c>
      <c r="T13" s="38">
        <v>56.8</v>
      </c>
      <c r="U13" s="128">
        <f t="shared" si="4"/>
        <v>98.26989619377161</v>
      </c>
      <c r="V13" s="38">
        <v>53.2</v>
      </c>
      <c r="W13" s="38">
        <v>53.6</v>
      </c>
      <c r="X13" s="11">
        <f t="shared" si="5"/>
        <v>100.75187969924812</v>
      </c>
      <c r="Y13" s="80">
        <f t="shared" si="14"/>
        <v>169.2</v>
      </c>
      <c r="Z13" s="80">
        <f t="shared" si="15"/>
        <v>199.29999999999998</v>
      </c>
      <c r="AA13" s="11">
        <f t="shared" si="10"/>
        <v>117.78959810874706</v>
      </c>
      <c r="AB13" s="38">
        <v>50.9</v>
      </c>
      <c r="AC13" s="38">
        <v>50</v>
      </c>
      <c r="AD13" s="11">
        <f t="shared" si="6"/>
        <v>98.23182711198429</v>
      </c>
      <c r="AE13" s="38">
        <v>47.3</v>
      </c>
      <c r="AF13" s="38">
        <v>53.8</v>
      </c>
      <c r="AG13" s="11">
        <f t="shared" si="23"/>
        <v>113.74207188160676</v>
      </c>
      <c r="AH13" s="38">
        <v>60.1</v>
      </c>
      <c r="AI13" s="38">
        <v>60.7</v>
      </c>
      <c r="AJ13" s="80">
        <f t="shared" si="16"/>
        <v>158.29999999999998</v>
      </c>
      <c r="AK13" s="80">
        <f t="shared" si="17"/>
        <v>164.5</v>
      </c>
      <c r="AL13" s="11">
        <f t="shared" si="22"/>
        <v>103.91661402400507</v>
      </c>
      <c r="AM13" s="38">
        <v>61.5</v>
      </c>
      <c r="AN13" s="38">
        <v>52.5</v>
      </c>
      <c r="AO13" s="38">
        <v>62.3</v>
      </c>
      <c r="AP13" s="38">
        <v>61.7</v>
      </c>
      <c r="AQ13" s="38">
        <v>66.4</v>
      </c>
      <c r="AR13" s="38">
        <v>73.1</v>
      </c>
      <c r="AS13" s="65">
        <f t="shared" si="18"/>
        <v>680.4999999999999</v>
      </c>
      <c r="AT13" s="65">
        <f t="shared" si="19"/>
        <v>671.3000000000001</v>
      </c>
      <c r="AU13" s="11">
        <f t="shared" si="8"/>
        <v>98.64805290227775</v>
      </c>
      <c r="AV13" s="65">
        <f t="shared" si="20"/>
        <v>9.199999999999818</v>
      </c>
      <c r="AW13" s="18">
        <f t="shared" si="11"/>
        <v>3.0999999999997954</v>
      </c>
    </row>
    <row r="14" spans="1:49" ht="24.75" customHeight="1">
      <c r="A14" s="13" t="s">
        <v>18</v>
      </c>
      <c r="B14" s="41" t="s">
        <v>95</v>
      </c>
      <c r="C14" s="98">
        <v>-61.3</v>
      </c>
      <c r="D14" s="38">
        <v>21.8</v>
      </c>
      <c r="E14" s="38">
        <v>6</v>
      </c>
      <c r="F14" s="11">
        <f t="shared" si="24"/>
        <v>27.522935779816514</v>
      </c>
      <c r="G14" s="38">
        <v>27.4</v>
      </c>
      <c r="H14" s="38">
        <v>1.9</v>
      </c>
      <c r="I14" s="11">
        <f t="shared" si="21"/>
        <v>6.934306569343065</v>
      </c>
      <c r="J14" s="38">
        <v>26.3</v>
      </c>
      <c r="K14" s="38">
        <v>26.3</v>
      </c>
      <c r="L14" s="11">
        <f t="shared" si="2"/>
        <v>100</v>
      </c>
      <c r="M14" s="80">
        <f t="shared" si="12"/>
        <v>75.5</v>
      </c>
      <c r="N14" s="80">
        <f t="shared" si="13"/>
        <v>34.2</v>
      </c>
      <c r="O14" s="11">
        <f t="shared" si="9"/>
        <v>45.29801324503311</v>
      </c>
      <c r="P14" s="38">
        <v>27.2</v>
      </c>
      <c r="Q14" s="38">
        <v>14.1</v>
      </c>
      <c r="R14" s="11">
        <f t="shared" si="3"/>
        <v>51.83823529411765</v>
      </c>
      <c r="S14" s="38">
        <v>17.2</v>
      </c>
      <c r="T14" s="38">
        <v>27</v>
      </c>
      <c r="U14" s="11">
        <f t="shared" si="4"/>
        <v>156.97674418604652</v>
      </c>
      <c r="V14" s="38">
        <v>18.7</v>
      </c>
      <c r="W14" s="38">
        <v>16.6</v>
      </c>
      <c r="X14" s="11">
        <f t="shared" si="5"/>
        <v>88.77005347593584</v>
      </c>
      <c r="Y14" s="80">
        <f t="shared" si="14"/>
        <v>63.099999999999994</v>
      </c>
      <c r="Z14" s="80">
        <f t="shared" si="15"/>
        <v>57.7</v>
      </c>
      <c r="AA14" s="11">
        <f t="shared" si="10"/>
        <v>91.4421553090333</v>
      </c>
      <c r="AB14" s="38">
        <v>18.9</v>
      </c>
      <c r="AC14" s="38">
        <v>5.4</v>
      </c>
      <c r="AD14" s="11">
        <f t="shared" si="6"/>
        <v>28.571428571428577</v>
      </c>
      <c r="AE14" s="38">
        <v>20.1</v>
      </c>
      <c r="AF14" s="38">
        <v>20</v>
      </c>
      <c r="AG14" s="11">
        <f t="shared" si="23"/>
        <v>99.50248756218905</v>
      </c>
      <c r="AH14" s="38">
        <v>25.4</v>
      </c>
      <c r="AI14" s="38">
        <v>25</v>
      </c>
      <c r="AJ14" s="80">
        <f t="shared" si="16"/>
        <v>64.4</v>
      </c>
      <c r="AK14" s="80">
        <f t="shared" si="17"/>
        <v>50.4</v>
      </c>
      <c r="AL14" s="11">
        <f t="shared" si="22"/>
        <v>78.26086956521738</v>
      </c>
      <c r="AM14" s="38">
        <v>25.1</v>
      </c>
      <c r="AN14" s="38">
        <v>24.9</v>
      </c>
      <c r="AO14" s="38">
        <v>26.2</v>
      </c>
      <c r="AP14" s="38">
        <v>32.6</v>
      </c>
      <c r="AQ14" s="38">
        <v>29.7</v>
      </c>
      <c r="AR14" s="38">
        <v>54.5</v>
      </c>
      <c r="AS14" s="65">
        <f t="shared" si="18"/>
        <v>284</v>
      </c>
      <c r="AT14" s="65">
        <f t="shared" si="19"/>
        <v>254.3</v>
      </c>
      <c r="AU14" s="11">
        <f t="shared" si="8"/>
        <v>89.54225352112677</v>
      </c>
      <c r="AV14" s="65">
        <f t="shared" si="20"/>
        <v>29.69999999999999</v>
      </c>
      <c r="AW14" s="18">
        <f t="shared" si="11"/>
        <v>-31.600000000000023</v>
      </c>
    </row>
    <row r="15" spans="1:49" ht="24.75" customHeight="1">
      <c r="A15" s="13" t="s">
        <v>19</v>
      </c>
      <c r="B15" s="41" t="s">
        <v>96</v>
      </c>
      <c r="C15" s="98">
        <v>-2.3</v>
      </c>
      <c r="D15" s="38">
        <f>17.4+39.8</f>
        <v>57.199999999999996</v>
      </c>
      <c r="E15" s="38">
        <f>15+23.6</f>
        <v>38.6</v>
      </c>
      <c r="F15" s="11">
        <f t="shared" si="24"/>
        <v>67.4825174825175</v>
      </c>
      <c r="G15" s="38">
        <f>25.7+85.8</f>
        <v>111.5</v>
      </c>
      <c r="H15" s="38">
        <f>24.2+75.1</f>
        <v>99.3</v>
      </c>
      <c r="I15" s="11">
        <f t="shared" si="21"/>
        <v>89.05829596412556</v>
      </c>
      <c r="J15" s="38">
        <f>54.5+66.2</f>
        <v>120.7</v>
      </c>
      <c r="K15" s="38">
        <f>55.1+73.8</f>
        <v>128.9</v>
      </c>
      <c r="L15" s="11">
        <f t="shared" si="2"/>
        <v>106.7937033968517</v>
      </c>
      <c r="M15" s="80">
        <f t="shared" si="12"/>
        <v>289.4</v>
      </c>
      <c r="N15" s="80">
        <f t="shared" si="13"/>
        <v>266.8</v>
      </c>
      <c r="O15" s="11">
        <f t="shared" si="9"/>
        <v>92.19073946095371</v>
      </c>
      <c r="P15" s="38">
        <f>42.9+46.6</f>
        <v>89.5</v>
      </c>
      <c r="Q15" s="38">
        <f>39.3+54.1</f>
        <v>93.4</v>
      </c>
      <c r="R15" s="128">
        <f t="shared" si="3"/>
        <v>104.35754189944136</v>
      </c>
      <c r="S15" s="38">
        <v>92.1</v>
      </c>
      <c r="T15" s="38">
        <v>98</v>
      </c>
      <c r="U15" s="128">
        <f t="shared" si="4"/>
        <v>106.40608034744842</v>
      </c>
      <c r="V15" s="38">
        <f>32.3+43.3</f>
        <v>75.6</v>
      </c>
      <c r="W15" s="38">
        <f>35+44.6</f>
        <v>79.6</v>
      </c>
      <c r="X15" s="11">
        <f t="shared" si="5"/>
        <v>105.2910052910053</v>
      </c>
      <c r="Y15" s="80">
        <f t="shared" si="14"/>
        <v>257.2</v>
      </c>
      <c r="Z15" s="80">
        <f t="shared" si="15"/>
        <v>271</v>
      </c>
      <c r="AA15" s="11">
        <f t="shared" si="10"/>
        <v>105.36547433903579</v>
      </c>
      <c r="AB15" s="38">
        <f>14.8+44.2</f>
        <v>59</v>
      </c>
      <c r="AC15" s="38">
        <f>13+46.1</f>
        <v>59.1</v>
      </c>
      <c r="AD15" s="11">
        <f t="shared" si="6"/>
        <v>100.16949152542374</v>
      </c>
      <c r="AE15" s="38">
        <v>66.7</v>
      </c>
      <c r="AF15" s="38">
        <v>66</v>
      </c>
      <c r="AG15" s="11">
        <f t="shared" si="23"/>
        <v>98.95052473763118</v>
      </c>
      <c r="AH15" s="38">
        <f>36.8+43.7</f>
        <v>80.5</v>
      </c>
      <c r="AI15" s="38">
        <f>37.4+42.6</f>
        <v>80</v>
      </c>
      <c r="AJ15" s="80">
        <f t="shared" si="16"/>
        <v>206.2</v>
      </c>
      <c r="AK15" s="80">
        <f t="shared" si="17"/>
        <v>205.1</v>
      </c>
      <c r="AL15" s="11">
        <f t="shared" si="22"/>
        <v>99.46653734238605</v>
      </c>
      <c r="AM15" s="38">
        <f>41.9+52.6</f>
        <v>94.5</v>
      </c>
      <c r="AN15" s="38">
        <f>31.5+54.2</f>
        <v>85.7</v>
      </c>
      <c r="AO15" s="38">
        <f>32.4+61.1</f>
        <v>93.5</v>
      </c>
      <c r="AP15" s="38">
        <f>41.8+59.3</f>
        <v>101.1</v>
      </c>
      <c r="AQ15" s="38">
        <f>40.2+76.9</f>
        <v>117.10000000000001</v>
      </c>
      <c r="AR15" s="38">
        <f>61.6+78.9</f>
        <v>140.5</v>
      </c>
      <c r="AS15" s="65">
        <f t="shared" si="18"/>
        <v>1057.8999999999999</v>
      </c>
      <c r="AT15" s="65">
        <f t="shared" si="19"/>
        <v>1070.2</v>
      </c>
      <c r="AU15" s="11">
        <f t="shared" si="8"/>
        <v>101.16268078268268</v>
      </c>
      <c r="AV15" s="65">
        <f t="shared" si="20"/>
        <v>-12.300000000000182</v>
      </c>
      <c r="AW15" s="18">
        <f t="shared" si="11"/>
        <v>-14.600000000000136</v>
      </c>
    </row>
    <row r="16" spans="1:49" ht="24.75" customHeight="1">
      <c r="A16" s="13" t="s">
        <v>20</v>
      </c>
      <c r="B16" s="41" t="s">
        <v>97</v>
      </c>
      <c r="C16" s="107">
        <v>-5.7</v>
      </c>
      <c r="D16" s="38">
        <v>5</v>
      </c>
      <c r="E16" s="38">
        <v>3.1</v>
      </c>
      <c r="F16" s="11">
        <f t="shared" si="24"/>
        <v>62</v>
      </c>
      <c r="G16" s="38">
        <v>5.5</v>
      </c>
      <c r="H16" s="38">
        <v>5.2</v>
      </c>
      <c r="I16" s="11">
        <f t="shared" si="21"/>
        <v>94.54545454545455</v>
      </c>
      <c r="J16" s="38">
        <v>4.1</v>
      </c>
      <c r="K16" s="38">
        <v>6.3</v>
      </c>
      <c r="L16" s="11">
        <f t="shared" si="2"/>
        <v>153.65853658536585</v>
      </c>
      <c r="M16" s="80">
        <f t="shared" si="12"/>
        <v>14.6</v>
      </c>
      <c r="N16" s="80">
        <f t="shared" si="13"/>
        <v>14.600000000000001</v>
      </c>
      <c r="O16" s="11">
        <f t="shared" si="9"/>
        <v>100.00000000000003</v>
      </c>
      <c r="P16" s="38">
        <v>4.7</v>
      </c>
      <c r="Q16" s="38">
        <v>1.2</v>
      </c>
      <c r="R16" s="11">
        <f t="shared" si="3"/>
        <v>25.53191489361702</v>
      </c>
      <c r="S16" s="38">
        <v>4.7</v>
      </c>
      <c r="T16" s="38">
        <v>4.9</v>
      </c>
      <c r="U16" s="11">
        <f t="shared" si="4"/>
        <v>104.25531914893618</v>
      </c>
      <c r="V16" s="38">
        <v>5.2</v>
      </c>
      <c r="W16" s="38">
        <v>3.6</v>
      </c>
      <c r="X16" s="11">
        <f t="shared" si="5"/>
        <v>69.23076923076923</v>
      </c>
      <c r="Y16" s="80">
        <f t="shared" si="14"/>
        <v>14.600000000000001</v>
      </c>
      <c r="Z16" s="80">
        <f t="shared" si="15"/>
        <v>9.700000000000001</v>
      </c>
      <c r="AA16" s="11">
        <f t="shared" si="10"/>
        <v>66.43835616438356</v>
      </c>
      <c r="AB16" s="38">
        <v>3.5</v>
      </c>
      <c r="AC16" s="38">
        <v>6.5</v>
      </c>
      <c r="AD16" s="11">
        <f t="shared" si="6"/>
        <v>185.71428571428572</v>
      </c>
      <c r="AE16" s="38">
        <v>3.7</v>
      </c>
      <c r="AF16" s="38">
        <v>5.5</v>
      </c>
      <c r="AG16" s="11">
        <f t="shared" si="23"/>
        <v>148.64864864864865</v>
      </c>
      <c r="AH16" s="38">
        <v>5.3</v>
      </c>
      <c r="AI16" s="38">
        <v>3.5</v>
      </c>
      <c r="AJ16" s="80">
        <f t="shared" si="16"/>
        <v>12.5</v>
      </c>
      <c r="AK16" s="80">
        <f t="shared" si="17"/>
        <v>15.5</v>
      </c>
      <c r="AL16" s="11">
        <f t="shared" si="22"/>
        <v>124</v>
      </c>
      <c r="AM16" s="38">
        <v>5</v>
      </c>
      <c r="AN16" s="38">
        <v>6.9</v>
      </c>
      <c r="AO16" s="38">
        <v>4.8</v>
      </c>
      <c r="AP16" s="38">
        <v>5.1</v>
      </c>
      <c r="AQ16" s="38">
        <v>5.6</v>
      </c>
      <c r="AR16" s="38">
        <v>7.3</v>
      </c>
      <c r="AS16" s="65">
        <f t="shared" si="18"/>
        <v>57.1</v>
      </c>
      <c r="AT16" s="65">
        <f t="shared" si="19"/>
        <v>59.1</v>
      </c>
      <c r="AU16" s="11">
        <f t="shared" si="8"/>
        <v>103.50262697022768</v>
      </c>
      <c r="AV16" s="65">
        <f t="shared" si="20"/>
        <v>-2</v>
      </c>
      <c r="AW16" s="18">
        <f t="shared" si="11"/>
        <v>-7.700000000000003</v>
      </c>
    </row>
    <row r="17" spans="1:49" ht="24.75" customHeight="1">
      <c r="A17" s="13" t="s">
        <v>21</v>
      </c>
      <c r="B17" s="15" t="s">
        <v>98</v>
      </c>
      <c r="C17" s="107">
        <f>11.2+(-7.8)</f>
        <v>3.3999999999999995</v>
      </c>
      <c r="D17" s="38">
        <f>17.5+1</f>
        <v>18.5</v>
      </c>
      <c r="E17" s="38">
        <f>1</f>
        <v>1</v>
      </c>
      <c r="F17" s="11">
        <f t="shared" si="24"/>
        <v>5.405405405405405</v>
      </c>
      <c r="G17" s="38">
        <f>16.9+6.1</f>
        <v>23</v>
      </c>
      <c r="H17" s="38">
        <f>3.5+6.1</f>
        <v>9.6</v>
      </c>
      <c r="I17" s="11">
        <f t="shared" si="1"/>
        <v>41.73913043478261</v>
      </c>
      <c r="J17" s="38">
        <f>14.9+39.7</f>
        <v>54.6</v>
      </c>
      <c r="K17" s="38">
        <f>24.3+39.7</f>
        <v>64</v>
      </c>
      <c r="L17" s="11">
        <f t="shared" si="2"/>
        <v>117.21611721611723</v>
      </c>
      <c r="M17" s="80">
        <f t="shared" si="12"/>
        <v>96.1</v>
      </c>
      <c r="N17" s="80">
        <f t="shared" si="13"/>
        <v>74.6</v>
      </c>
      <c r="O17" s="11">
        <f t="shared" si="9"/>
        <v>77.62747138397502</v>
      </c>
      <c r="P17" s="38">
        <f>14.8+38.7</f>
        <v>53.5</v>
      </c>
      <c r="Q17" s="38">
        <f>13.8+38.7</f>
        <v>52.5</v>
      </c>
      <c r="R17" s="11">
        <f t="shared" si="3"/>
        <v>98.13084112149532</v>
      </c>
      <c r="S17" s="38">
        <f>14+71.3</f>
        <v>85.3</v>
      </c>
      <c r="T17" s="38">
        <f>11.6+71.3</f>
        <v>82.89999999999999</v>
      </c>
      <c r="U17" s="11">
        <f t="shared" si="4"/>
        <v>97.18640093786635</v>
      </c>
      <c r="V17" s="38">
        <f>11.7+26.3</f>
        <v>38</v>
      </c>
      <c r="W17" s="38">
        <f>17.2+26.3</f>
        <v>43.5</v>
      </c>
      <c r="X17" s="11">
        <f t="shared" si="5"/>
        <v>114.4736842105263</v>
      </c>
      <c r="Y17" s="80">
        <f t="shared" si="14"/>
        <v>176.8</v>
      </c>
      <c r="Z17" s="80">
        <f t="shared" si="15"/>
        <v>178.89999999999998</v>
      </c>
      <c r="AA17" s="11">
        <f t="shared" si="10"/>
        <v>101.18778280542983</v>
      </c>
      <c r="AB17" s="38">
        <f>12.7+63.4</f>
        <v>76.1</v>
      </c>
      <c r="AC17" s="38">
        <f>2.5+63.4</f>
        <v>65.9</v>
      </c>
      <c r="AD17" s="11">
        <f t="shared" si="6"/>
        <v>86.59658344283838</v>
      </c>
      <c r="AE17" s="38">
        <f>37.8+9.4</f>
        <v>47.199999999999996</v>
      </c>
      <c r="AF17" s="38">
        <f>37.8+15.3</f>
        <v>53.099999999999994</v>
      </c>
      <c r="AG17" s="11">
        <f>AF17/AE17*100</f>
        <v>112.5</v>
      </c>
      <c r="AH17" s="38">
        <f>35.4+9.9</f>
        <v>45.3</v>
      </c>
      <c r="AI17" s="38">
        <f>35.4+16.1</f>
        <v>51.5</v>
      </c>
      <c r="AJ17" s="80">
        <f t="shared" si="16"/>
        <v>168.59999999999997</v>
      </c>
      <c r="AK17" s="80">
        <f t="shared" si="17"/>
        <v>170.5</v>
      </c>
      <c r="AL17" s="11">
        <f t="shared" si="22"/>
        <v>101.12692763938318</v>
      </c>
      <c r="AM17" s="38">
        <f>33.1+11</f>
        <v>44.1</v>
      </c>
      <c r="AN17" s="38">
        <f>33.1+9.9</f>
        <v>43</v>
      </c>
      <c r="AO17" s="38">
        <f>50.3+13.2</f>
        <v>63.5</v>
      </c>
      <c r="AP17" s="38">
        <f>50.3+11</f>
        <v>61.3</v>
      </c>
      <c r="AQ17" s="38">
        <f>11.7+121.4</f>
        <v>133.1</v>
      </c>
      <c r="AR17" s="38">
        <f>25.3+121.4</f>
        <v>146.70000000000002</v>
      </c>
      <c r="AS17" s="65">
        <f>M17+Y17+AJ17+AM17+AO17+AQ17</f>
        <v>682.1999999999999</v>
      </c>
      <c r="AT17" s="65">
        <f t="shared" si="19"/>
        <v>675</v>
      </c>
      <c r="AU17" s="11">
        <f t="shared" si="8"/>
        <v>98.94459102902375</v>
      </c>
      <c r="AV17" s="65">
        <f t="shared" si="20"/>
        <v>7.199999999999932</v>
      </c>
      <c r="AW17" s="18">
        <f t="shared" si="11"/>
        <v>10.599999999999909</v>
      </c>
    </row>
    <row r="18" spans="1:49" ht="24.75" customHeight="1">
      <c r="A18" s="13" t="s">
        <v>22</v>
      </c>
      <c r="B18" s="15" t="s">
        <v>99</v>
      </c>
      <c r="C18" s="98">
        <v>-11.1</v>
      </c>
      <c r="D18" s="38">
        <v>35.7</v>
      </c>
      <c r="E18" s="38">
        <v>20</v>
      </c>
      <c r="F18" s="11">
        <f t="shared" si="24"/>
        <v>56.022408963585434</v>
      </c>
      <c r="G18" s="38">
        <v>25.3</v>
      </c>
      <c r="H18" s="38">
        <v>25.1</v>
      </c>
      <c r="I18" s="11">
        <f t="shared" si="1"/>
        <v>99.2094861660079</v>
      </c>
      <c r="J18" s="38">
        <v>30.2</v>
      </c>
      <c r="K18" s="38">
        <v>24.5</v>
      </c>
      <c r="L18" s="11">
        <f t="shared" si="2"/>
        <v>81.12582781456953</v>
      </c>
      <c r="M18" s="80">
        <f t="shared" si="12"/>
        <v>91.2</v>
      </c>
      <c r="N18" s="80">
        <f t="shared" si="13"/>
        <v>69.6</v>
      </c>
      <c r="O18" s="11">
        <f t="shared" si="9"/>
        <v>76.3157894736842</v>
      </c>
      <c r="P18" s="38">
        <v>37</v>
      </c>
      <c r="Q18" s="38">
        <v>24</v>
      </c>
      <c r="R18" s="11">
        <f t="shared" si="3"/>
        <v>64.86486486486487</v>
      </c>
      <c r="S18" s="38">
        <v>40.4</v>
      </c>
      <c r="T18" s="38">
        <v>26.6</v>
      </c>
      <c r="U18" s="11">
        <f t="shared" si="4"/>
        <v>65.84158415841584</v>
      </c>
      <c r="V18" s="38">
        <v>43.8</v>
      </c>
      <c r="W18" s="38">
        <v>44.7</v>
      </c>
      <c r="X18" s="11">
        <f t="shared" si="5"/>
        <v>102.05479452054796</v>
      </c>
      <c r="Y18" s="80">
        <f t="shared" si="14"/>
        <v>121.2</v>
      </c>
      <c r="Z18" s="80">
        <f t="shared" si="15"/>
        <v>95.30000000000001</v>
      </c>
      <c r="AA18" s="11">
        <f t="shared" si="10"/>
        <v>78.63036303630363</v>
      </c>
      <c r="AB18" s="38">
        <v>29.1</v>
      </c>
      <c r="AC18" s="38">
        <v>64.3</v>
      </c>
      <c r="AD18" s="11">
        <f t="shared" si="6"/>
        <v>220.96219931271474</v>
      </c>
      <c r="AE18" s="38">
        <v>34.2</v>
      </c>
      <c r="AF18" s="38">
        <v>15.5</v>
      </c>
      <c r="AG18" s="11">
        <f t="shared" si="23"/>
        <v>45.32163742690058</v>
      </c>
      <c r="AH18" s="38">
        <v>29.4</v>
      </c>
      <c r="AI18" s="38">
        <v>49.3</v>
      </c>
      <c r="AJ18" s="80">
        <f t="shared" si="16"/>
        <v>92.7</v>
      </c>
      <c r="AK18" s="80">
        <f t="shared" si="17"/>
        <v>129.1</v>
      </c>
      <c r="AL18" s="11">
        <f t="shared" si="22"/>
        <v>139.26645091693635</v>
      </c>
      <c r="AM18" s="38">
        <v>32.3</v>
      </c>
      <c r="AN18" s="38">
        <v>32.3</v>
      </c>
      <c r="AO18" s="38">
        <v>23.2</v>
      </c>
      <c r="AP18" s="38">
        <v>23.2</v>
      </c>
      <c r="AQ18" s="38">
        <v>26.7</v>
      </c>
      <c r="AR18" s="38">
        <v>26.7</v>
      </c>
      <c r="AS18" s="65">
        <f t="shared" si="18"/>
        <v>387.3</v>
      </c>
      <c r="AT18" s="65">
        <f t="shared" si="19"/>
        <v>376.2</v>
      </c>
      <c r="AU18" s="11">
        <f t="shared" si="8"/>
        <v>97.13400464756002</v>
      </c>
      <c r="AV18" s="65">
        <f t="shared" si="20"/>
        <v>11.100000000000023</v>
      </c>
      <c r="AW18" s="18">
        <f t="shared" si="11"/>
        <v>0</v>
      </c>
    </row>
    <row r="19" spans="1:49" ht="24.75" customHeight="1">
      <c r="A19" s="13" t="s">
        <v>23</v>
      </c>
      <c r="B19" s="41" t="s">
        <v>100</v>
      </c>
      <c r="C19" s="98">
        <v>0</v>
      </c>
      <c r="D19" s="38">
        <v>128.7</v>
      </c>
      <c r="E19" s="38">
        <v>80.2</v>
      </c>
      <c r="F19" s="60">
        <f t="shared" si="24"/>
        <v>62.31546231546232</v>
      </c>
      <c r="G19" s="38">
        <v>133.7</v>
      </c>
      <c r="H19" s="38">
        <v>182.2</v>
      </c>
      <c r="I19" s="11">
        <f t="shared" si="1"/>
        <v>136.27524308152582</v>
      </c>
      <c r="J19" s="38">
        <v>127.8</v>
      </c>
      <c r="K19" s="38">
        <v>127.8</v>
      </c>
      <c r="L19" s="11">
        <f t="shared" si="2"/>
        <v>100</v>
      </c>
      <c r="M19" s="80">
        <f t="shared" si="12"/>
        <v>390.2</v>
      </c>
      <c r="N19" s="80">
        <f t="shared" si="13"/>
        <v>390.2</v>
      </c>
      <c r="O19" s="11">
        <f t="shared" si="9"/>
        <v>100</v>
      </c>
      <c r="P19" s="38">
        <v>130.6</v>
      </c>
      <c r="Q19" s="38">
        <v>129.9</v>
      </c>
      <c r="R19" s="128">
        <f t="shared" si="3"/>
        <v>99.46401225114856</v>
      </c>
      <c r="S19" s="38">
        <v>123.6</v>
      </c>
      <c r="T19" s="38">
        <v>122.2</v>
      </c>
      <c r="U19" s="128">
        <f t="shared" si="4"/>
        <v>98.86731391585761</v>
      </c>
      <c r="V19" s="38">
        <v>117.2</v>
      </c>
      <c r="W19" s="38">
        <v>116.8</v>
      </c>
      <c r="X19" s="11">
        <f t="shared" si="5"/>
        <v>99.65870307167235</v>
      </c>
      <c r="Y19" s="80">
        <f t="shared" si="14"/>
        <v>371.4</v>
      </c>
      <c r="Z19" s="80">
        <f t="shared" si="15"/>
        <v>368.90000000000003</v>
      </c>
      <c r="AA19" s="11">
        <f t="shared" si="10"/>
        <v>99.32687129779215</v>
      </c>
      <c r="AB19" s="38">
        <v>118.4</v>
      </c>
      <c r="AC19" s="38">
        <v>120.4</v>
      </c>
      <c r="AD19" s="11">
        <f t="shared" si="6"/>
        <v>101.6891891891892</v>
      </c>
      <c r="AE19" s="38">
        <v>114.8</v>
      </c>
      <c r="AF19" s="38">
        <v>115</v>
      </c>
      <c r="AG19" s="129">
        <f t="shared" si="23"/>
        <v>100.17421602787458</v>
      </c>
      <c r="AH19" s="38">
        <v>122.2</v>
      </c>
      <c r="AI19" s="38">
        <v>122.2</v>
      </c>
      <c r="AJ19" s="80">
        <f t="shared" si="16"/>
        <v>355.4</v>
      </c>
      <c r="AK19" s="80">
        <f t="shared" si="17"/>
        <v>357.6</v>
      </c>
      <c r="AL19" s="11">
        <f t="shared" si="22"/>
        <v>100.61902082160947</v>
      </c>
      <c r="AM19" s="38">
        <v>136.9</v>
      </c>
      <c r="AN19" s="38">
        <v>131.4</v>
      </c>
      <c r="AO19" s="38">
        <v>141.1</v>
      </c>
      <c r="AP19" s="38">
        <v>120.9</v>
      </c>
      <c r="AQ19" s="38">
        <v>129.2</v>
      </c>
      <c r="AR19" s="38">
        <v>134.2</v>
      </c>
      <c r="AS19" s="65">
        <f t="shared" si="18"/>
        <v>1524.2</v>
      </c>
      <c r="AT19" s="65">
        <f t="shared" si="19"/>
        <v>1503.2000000000003</v>
      </c>
      <c r="AU19" s="11">
        <f t="shared" si="8"/>
        <v>98.62222805406117</v>
      </c>
      <c r="AV19" s="65">
        <f t="shared" si="20"/>
        <v>20.999999999999773</v>
      </c>
      <c r="AW19" s="18">
        <f t="shared" si="11"/>
        <v>20.999999999999773</v>
      </c>
    </row>
    <row r="20" spans="1:49" ht="24.75" customHeight="1">
      <c r="A20" s="13" t="s">
        <v>24</v>
      </c>
      <c r="B20" s="15" t="s">
        <v>101</v>
      </c>
      <c r="C20" s="108">
        <v>0</v>
      </c>
      <c r="D20" s="38">
        <v>3.9</v>
      </c>
      <c r="E20" s="38">
        <v>3.9</v>
      </c>
      <c r="F20" s="11">
        <f t="shared" si="24"/>
        <v>100</v>
      </c>
      <c r="G20" s="38">
        <v>11.3</v>
      </c>
      <c r="H20" s="38">
        <v>11.3</v>
      </c>
      <c r="I20" s="11">
        <f t="shared" si="1"/>
        <v>100</v>
      </c>
      <c r="J20" s="38">
        <v>6.4</v>
      </c>
      <c r="K20" s="38">
        <v>6.4</v>
      </c>
      <c r="L20" s="11">
        <f t="shared" si="2"/>
        <v>100</v>
      </c>
      <c r="M20" s="80">
        <f t="shared" si="12"/>
        <v>21.6</v>
      </c>
      <c r="N20" s="80">
        <f t="shared" si="13"/>
        <v>21.6</v>
      </c>
      <c r="O20" s="11">
        <f t="shared" si="9"/>
        <v>100</v>
      </c>
      <c r="P20" s="38">
        <v>9.9</v>
      </c>
      <c r="Q20" s="38">
        <v>9.9</v>
      </c>
      <c r="R20" s="128">
        <f t="shared" si="3"/>
        <v>100</v>
      </c>
      <c r="S20" s="38">
        <v>17.9</v>
      </c>
      <c r="T20" s="38">
        <v>17.9</v>
      </c>
      <c r="U20" s="128">
        <f t="shared" si="4"/>
        <v>100</v>
      </c>
      <c r="V20" s="38">
        <v>23.8</v>
      </c>
      <c r="W20" s="38">
        <v>26.1</v>
      </c>
      <c r="X20" s="11">
        <f t="shared" si="5"/>
        <v>109.6638655462185</v>
      </c>
      <c r="Y20" s="80">
        <f t="shared" si="14"/>
        <v>51.599999999999994</v>
      </c>
      <c r="Z20" s="80">
        <f t="shared" si="15"/>
        <v>53.9</v>
      </c>
      <c r="AA20" s="11">
        <f t="shared" si="10"/>
        <v>104.45736434108528</v>
      </c>
      <c r="AB20" s="38">
        <v>3.9</v>
      </c>
      <c r="AC20" s="38">
        <v>3.9</v>
      </c>
      <c r="AD20" s="11">
        <f t="shared" si="6"/>
        <v>100</v>
      </c>
      <c r="AE20" s="38">
        <v>6.3</v>
      </c>
      <c r="AF20" s="38">
        <v>6.3</v>
      </c>
      <c r="AG20" s="11">
        <f t="shared" si="23"/>
        <v>100</v>
      </c>
      <c r="AH20" s="38">
        <v>5.8</v>
      </c>
      <c r="AI20" s="38">
        <v>3.5</v>
      </c>
      <c r="AJ20" s="80">
        <f t="shared" si="16"/>
        <v>16</v>
      </c>
      <c r="AK20" s="80">
        <f t="shared" si="17"/>
        <v>13.7</v>
      </c>
      <c r="AL20" s="11">
        <f t="shared" si="22"/>
        <v>85.625</v>
      </c>
      <c r="AM20" s="38">
        <v>18.1</v>
      </c>
      <c r="AN20" s="38">
        <v>18.1</v>
      </c>
      <c r="AO20" s="38">
        <v>20</v>
      </c>
      <c r="AP20" s="38">
        <v>20</v>
      </c>
      <c r="AQ20" s="38">
        <v>28.4</v>
      </c>
      <c r="AR20" s="38">
        <v>28.4</v>
      </c>
      <c r="AS20" s="65">
        <f t="shared" si="18"/>
        <v>155.7</v>
      </c>
      <c r="AT20" s="65">
        <f t="shared" si="19"/>
        <v>155.70000000000002</v>
      </c>
      <c r="AU20" s="11">
        <f t="shared" si="8"/>
        <v>100.00000000000003</v>
      </c>
      <c r="AV20" s="65">
        <f t="shared" si="20"/>
        <v>0</v>
      </c>
      <c r="AW20" s="18">
        <f t="shared" si="11"/>
        <v>0</v>
      </c>
    </row>
    <row r="21" spans="1:49" ht="24.75" customHeight="1">
      <c r="A21" s="13" t="s">
        <v>25</v>
      </c>
      <c r="B21" s="50" t="s">
        <v>102</v>
      </c>
      <c r="C21" s="104">
        <v>0</v>
      </c>
      <c r="D21" s="38">
        <v>0.5</v>
      </c>
      <c r="E21" s="38">
        <v>0.5</v>
      </c>
      <c r="F21" s="85">
        <f t="shared" si="24"/>
        <v>100</v>
      </c>
      <c r="G21" s="38">
        <v>0.6</v>
      </c>
      <c r="H21" s="38">
        <v>0.6</v>
      </c>
      <c r="I21" s="11">
        <f t="shared" si="1"/>
        <v>100</v>
      </c>
      <c r="J21" s="38">
        <v>0.5</v>
      </c>
      <c r="K21" s="38">
        <v>0.5</v>
      </c>
      <c r="L21" s="11">
        <f t="shared" si="2"/>
        <v>100</v>
      </c>
      <c r="M21" s="80">
        <f t="shared" si="12"/>
        <v>1.6</v>
      </c>
      <c r="N21" s="80">
        <f t="shared" si="13"/>
        <v>1.6</v>
      </c>
      <c r="O21" s="11">
        <f t="shared" si="9"/>
        <v>100</v>
      </c>
      <c r="P21" s="38">
        <v>0.9</v>
      </c>
      <c r="Q21" s="38">
        <v>0.9</v>
      </c>
      <c r="R21" s="128">
        <f t="shared" si="3"/>
        <v>100</v>
      </c>
      <c r="S21" s="38">
        <v>1.3</v>
      </c>
      <c r="T21" s="38">
        <v>1.3</v>
      </c>
      <c r="U21" s="128">
        <f t="shared" si="4"/>
        <v>100</v>
      </c>
      <c r="V21" s="38">
        <v>0.8</v>
      </c>
      <c r="W21" s="38">
        <v>0.8</v>
      </c>
      <c r="X21" s="11">
        <f t="shared" si="5"/>
        <v>100</v>
      </c>
      <c r="Y21" s="80">
        <f t="shared" si="14"/>
        <v>3</v>
      </c>
      <c r="Z21" s="80">
        <f t="shared" si="15"/>
        <v>3</v>
      </c>
      <c r="AA21" s="11">
        <f t="shared" si="10"/>
        <v>100</v>
      </c>
      <c r="AB21" s="38">
        <v>0.8</v>
      </c>
      <c r="AC21" s="38">
        <v>0.8</v>
      </c>
      <c r="AD21" s="11">
        <f t="shared" si="6"/>
        <v>100</v>
      </c>
      <c r="AE21" s="38">
        <v>0.9</v>
      </c>
      <c r="AF21" s="38">
        <v>0.9</v>
      </c>
      <c r="AG21" s="11">
        <f t="shared" si="23"/>
        <v>100</v>
      </c>
      <c r="AH21" s="38">
        <v>0.7</v>
      </c>
      <c r="AI21" s="38">
        <v>0.7</v>
      </c>
      <c r="AJ21" s="80">
        <f t="shared" si="16"/>
        <v>2.4000000000000004</v>
      </c>
      <c r="AK21" s="80">
        <f t="shared" si="17"/>
        <v>2.4000000000000004</v>
      </c>
      <c r="AL21" s="11">
        <f t="shared" si="22"/>
        <v>100</v>
      </c>
      <c r="AM21" s="38">
        <v>1.9</v>
      </c>
      <c r="AN21" s="38">
        <v>1.9</v>
      </c>
      <c r="AO21" s="38">
        <v>1.9</v>
      </c>
      <c r="AP21" s="38">
        <v>1.9</v>
      </c>
      <c r="AQ21" s="38">
        <v>2.1</v>
      </c>
      <c r="AR21" s="38">
        <v>2.1</v>
      </c>
      <c r="AS21" s="65">
        <f t="shared" si="18"/>
        <v>12.9</v>
      </c>
      <c r="AT21" s="65">
        <f t="shared" si="19"/>
        <v>12.9</v>
      </c>
      <c r="AU21" s="11">
        <f t="shared" si="8"/>
        <v>100</v>
      </c>
      <c r="AV21" s="65">
        <f t="shared" si="20"/>
        <v>0</v>
      </c>
      <c r="AW21" s="18">
        <f t="shared" si="11"/>
        <v>0</v>
      </c>
    </row>
    <row r="22" spans="1:49" ht="24" customHeight="1">
      <c r="A22" s="13" t="s">
        <v>26</v>
      </c>
      <c r="B22" s="15" t="s">
        <v>103</v>
      </c>
      <c r="C22" s="109">
        <v>0</v>
      </c>
      <c r="D22" s="38">
        <v>7.5</v>
      </c>
      <c r="E22" s="38">
        <v>7.5</v>
      </c>
      <c r="F22" s="11">
        <f t="shared" si="24"/>
        <v>100</v>
      </c>
      <c r="G22" s="38">
        <v>10</v>
      </c>
      <c r="H22" s="38">
        <v>10.7</v>
      </c>
      <c r="I22" s="11">
        <f t="shared" si="1"/>
        <v>106.99999999999999</v>
      </c>
      <c r="J22" s="38">
        <v>8.6</v>
      </c>
      <c r="K22" s="38">
        <v>9.3</v>
      </c>
      <c r="L22" s="11">
        <f t="shared" si="2"/>
        <v>108.13953488372094</v>
      </c>
      <c r="M22" s="80">
        <f t="shared" si="12"/>
        <v>26.1</v>
      </c>
      <c r="N22" s="80">
        <f t="shared" si="13"/>
        <v>27.5</v>
      </c>
      <c r="O22" s="11">
        <f t="shared" si="9"/>
        <v>105.3639846743295</v>
      </c>
      <c r="P22" s="38">
        <v>10.4</v>
      </c>
      <c r="Q22" s="38">
        <v>10</v>
      </c>
      <c r="R22" s="128">
        <f t="shared" si="3"/>
        <v>96.15384615384615</v>
      </c>
      <c r="S22" s="38">
        <v>10.8</v>
      </c>
      <c r="T22" s="38">
        <v>8.2</v>
      </c>
      <c r="U22" s="128">
        <f t="shared" si="4"/>
        <v>75.92592592592592</v>
      </c>
      <c r="V22" s="38">
        <v>8.7</v>
      </c>
      <c r="W22" s="38">
        <v>8.7</v>
      </c>
      <c r="X22" s="11">
        <f t="shared" si="5"/>
        <v>100</v>
      </c>
      <c r="Y22" s="80">
        <f t="shared" si="14"/>
        <v>29.900000000000002</v>
      </c>
      <c r="Z22" s="80">
        <f t="shared" si="15"/>
        <v>26.9</v>
      </c>
      <c r="AA22" s="11">
        <f t="shared" si="10"/>
        <v>89.96655518394647</v>
      </c>
      <c r="AB22" s="38">
        <v>5.9</v>
      </c>
      <c r="AC22" s="38">
        <v>8.9</v>
      </c>
      <c r="AD22" s="11">
        <f t="shared" si="6"/>
        <v>150.84745762711864</v>
      </c>
      <c r="AE22" s="38">
        <v>7.3</v>
      </c>
      <c r="AF22" s="38">
        <v>7.6</v>
      </c>
      <c r="AG22" s="130">
        <f t="shared" si="23"/>
        <v>104.10958904109589</v>
      </c>
      <c r="AH22" s="38">
        <v>11.8</v>
      </c>
      <c r="AI22" s="38">
        <v>9.6</v>
      </c>
      <c r="AJ22" s="80">
        <f t="shared" si="16"/>
        <v>25</v>
      </c>
      <c r="AK22" s="80">
        <f t="shared" si="17"/>
        <v>26.1</v>
      </c>
      <c r="AL22" s="11">
        <f t="shared" si="22"/>
        <v>104.4</v>
      </c>
      <c r="AM22" s="38">
        <v>13.8</v>
      </c>
      <c r="AN22" s="38">
        <v>12.9</v>
      </c>
      <c r="AO22" s="38">
        <v>12.5</v>
      </c>
      <c r="AP22" s="38">
        <v>15.3</v>
      </c>
      <c r="AQ22" s="38">
        <v>15.8</v>
      </c>
      <c r="AR22" s="38">
        <v>18.7</v>
      </c>
      <c r="AS22" s="65">
        <f t="shared" si="18"/>
        <v>123.1</v>
      </c>
      <c r="AT22" s="65">
        <f t="shared" si="19"/>
        <v>127.4</v>
      </c>
      <c r="AU22" s="11">
        <f t="shared" si="8"/>
        <v>103.49309504467914</v>
      </c>
      <c r="AV22" s="65">
        <f t="shared" si="20"/>
        <v>-4.300000000000011</v>
      </c>
      <c r="AW22" s="18">
        <f t="shared" si="11"/>
        <v>-4.300000000000011</v>
      </c>
    </row>
    <row r="23" spans="1:49" ht="24.75" customHeight="1">
      <c r="A23" s="13" t="s">
        <v>27</v>
      </c>
      <c r="B23" s="15" t="s">
        <v>124</v>
      </c>
      <c r="C23" s="98">
        <v>0</v>
      </c>
      <c r="D23" s="38">
        <v>3.3</v>
      </c>
      <c r="E23" s="38">
        <v>0.9</v>
      </c>
      <c r="F23" s="11">
        <f t="shared" si="24"/>
        <v>27.272727272727277</v>
      </c>
      <c r="G23" s="38">
        <v>2.7</v>
      </c>
      <c r="H23" s="38">
        <v>3</v>
      </c>
      <c r="I23" s="11">
        <f t="shared" si="1"/>
        <v>111.1111111111111</v>
      </c>
      <c r="J23" s="38">
        <v>3.9</v>
      </c>
      <c r="K23" s="38">
        <v>4.2</v>
      </c>
      <c r="L23" s="11">
        <f t="shared" si="2"/>
        <v>107.69230769230771</v>
      </c>
      <c r="M23" s="80">
        <f t="shared" si="12"/>
        <v>9.9</v>
      </c>
      <c r="N23" s="80">
        <f t="shared" si="13"/>
        <v>8.1</v>
      </c>
      <c r="O23" s="11">
        <f t="shared" si="9"/>
        <v>81.81818181818181</v>
      </c>
      <c r="P23" s="38">
        <v>2.8</v>
      </c>
      <c r="Q23" s="38">
        <v>0.9</v>
      </c>
      <c r="R23" s="11">
        <f t="shared" si="3"/>
        <v>32.142857142857146</v>
      </c>
      <c r="S23" s="38">
        <v>2.1</v>
      </c>
      <c r="T23" s="38">
        <v>4.4</v>
      </c>
      <c r="U23" s="11">
        <f t="shared" si="4"/>
        <v>209.52380952380955</v>
      </c>
      <c r="V23" s="38">
        <v>2.4</v>
      </c>
      <c r="W23" s="38">
        <v>1.5</v>
      </c>
      <c r="X23" s="11">
        <f t="shared" si="5"/>
        <v>62.5</v>
      </c>
      <c r="Y23" s="80">
        <f t="shared" si="14"/>
        <v>7.300000000000001</v>
      </c>
      <c r="Z23" s="80">
        <f t="shared" si="15"/>
        <v>6.800000000000001</v>
      </c>
      <c r="AA23" s="11">
        <f t="shared" si="10"/>
        <v>93.15068493150686</v>
      </c>
      <c r="AB23" s="38">
        <v>1.6</v>
      </c>
      <c r="AC23" s="38">
        <v>3.1</v>
      </c>
      <c r="AD23" s="11">
        <f t="shared" si="6"/>
        <v>193.75</v>
      </c>
      <c r="AE23" s="38">
        <v>1.5</v>
      </c>
      <c r="AF23" s="38">
        <v>1.5</v>
      </c>
      <c r="AG23" s="130">
        <f t="shared" si="23"/>
        <v>100</v>
      </c>
      <c r="AH23" s="38">
        <v>2.8</v>
      </c>
      <c r="AI23" s="38">
        <v>1.6</v>
      </c>
      <c r="AJ23" s="80">
        <f t="shared" si="16"/>
        <v>5.9</v>
      </c>
      <c r="AK23" s="80">
        <f t="shared" si="17"/>
        <v>6.199999999999999</v>
      </c>
      <c r="AL23" s="11">
        <f t="shared" si="22"/>
        <v>105.08474576271185</v>
      </c>
      <c r="AM23" s="38">
        <v>2.4</v>
      </c>
      <c r="AN23" s="38">
        <v>2.7</v>
      </c>
      <c r="AO23" s="38">
        <v>2.8</v>
      </c>
      <c r="AP23" s="38">
        <v>2.4</v>
      </c>
      <c r="AQ23" s="38">
        <v>3</v>
      </c>
      <c r="AR23" s="38">
        <v>5.1</v>
      </c>
      <c r="AS23" s="65">
        <f t="shared" si="18"/>
        <v>31.3</v>
      </c>
      <c r="AT23" s="65">
        <f t="shared" si="19"/>
        <v>31.299999999999997</v>
      </c>
      <c r="AU23" s="11">
        <f t="shared" si="8"/>
        <v>99.99999999999999</v>
      </c>
      <c r="AV23" s="65">
        <f t="shared" si="20"/>
        <v>0</v>
      </c>
      <c r="AW23" s="18">
        <f t="shared" si="11"/>
        <v>0</v>
      </c>
    </row>
    <row r="24" spans="1:49" ht="24.75" customHeight="1">
      <c r="A24" s="13" t="s">
        <v>28</v>
      </c>
      <c r="B24" s="15" t="s">
        <v>104</v>
      </c>
      <c r="C24" s="98">
        <v>0</v>
      </c>
      <c r="D24" s="38">
        <v>55.9</v>
      </c>
      <c r="E24" s="38">
        <v>38</v>
      </c>
      <c r="F24" s="11">
        <f>E24/D24*100</f>
        <v>67.97853309481216</v>
      </c>
      <c r="G24" s="38">
        <v>64.6</v>
      </c>
      <c r="H24" s="38">
        <v>82.5</v>
      </c>
      <c r="I24" s="11">
        <f t="shared" si="1"/>
        <v>127.70897832817339</v>
      </c>
      <c r="J24" s="38">
        <v>64</v>
      </c>
      <c r="K24" s="38">
        <v>64</v>
      </c>
      <c r="L24" s="11">
        <f t="shared" si="2"/>
        <v>100</v>
      </c>
      <c r="M24" s="80">
        <f t="shared" si="12"/>
        <v>184.5</v>
      </c>
      <c r="N24" s="80">
        <f t="shared" si="13"/>
        <v>184.5</v>
      </c>
      <c r="O24" s="11">
        <f t="shared" si="9"/>
        <v>100</v>
      </c>
      <c r="P24" s="38">
        <v>67.8</v>
      </c>
      <c r="Q24" s="38">
        <v>67.8</v>
      </c>
      <c r="R24" s="11">
        <f t="shared" si="3"/>
        <v>100</v>
      </c>
      <c r="S24" s="38">
        <v>69.6</v>
      </c>
      <c r="T24" s="38">
        <v>69.6</v>
      </c>
      <c r="U24" s="11">
        <f t="shared" si="4"/>
        <v>100</v>
      </c>
      <c r="V24" s="38">
        <v>66.9</v>
      </c>
      <c r="W24" s="38">
        <v>66.9</v>
      </c>
      <c r="X24" s="11">
        <f t="shared" si="5"/>
        <v>100</v>
      </c>
      <c r="Y24" s="80">
        <f t="shared" si="14"/>
        <v>204.29999999999998</v>
      </c>
      <c r="Z24" s="80">
        <f t="shared" si="15"/>
        <v>204.29999999999998</v>
      </c>
      <c r="AA24" s="11">
        <f t="shared" si="10"/>
        <v>100</v>
      </c>
      <c r="AB24" s="38">
        <v>51.3</v>
      </c>
      <c r="AC24" s="38">
        <v>51.3</v>
      </c>
      <c r="AD24" s="11">
        <f t="shared" si="6"/>
        <v>100</v>
      </c>
      <c r="AE24" s="38">
        <v>55.1</v>
      </c>
      <c r="AF24" s="38">
        <v>53.7</v>
      </c>
      <c r="AG24" s="130">
        <f t="shared" si="23"/>
        <v>97.45916515426497</v>
      </c>
      <c r="AH24" s="38">
        <v>71.2</v>
      </c>
      <c r="AI24" s="38">
        <v>72.6</v>
      </c>
      <c r="AJ24" s="80">
        <f t="shared" si="16"/>
        <v>177.60000000000002</v>
      </c>
      <c r="AK24" s="80">
        <f t="shared" si="17"/>
        <v>177.6</v>
      </c>
      <c r="AL24" s="11">
        <f t="shared" si="22"/>
        <v>99.99999999999999</v>
      </c>
      <c r="AM24" s="38">
        <v>68.2</v>
      </c>
      <c r="AN24" s="38">
        <v>67.1</v>
      </c>
      <c r="AO24" s="38">
        <v>74.2</v>
      </c>
      <c r="AP24" s="38">
        <v>75.3</v>
      </c>
      <c r="AQ24" s="38">
        <v>63.9</v>
      </c>
      <c r="AR24" s="38">
        <v>63.9</v>
      </c>
      <c r="AS24" s="65">
        <f t="shared" si="18"/>
        <v>772.7</v>
      </c>
      <c r="AT24" s="65">
        <f t="shared" si="19"/>
        <v>772.6999999999999</v>
      </c>
      <c r="AU24" s="11">
        <f t="shared" si="8"/>
        <v>99.99999999999999</v>
      </c>
      <c r="AV24" s="65">
        <f t="shared" si="20"/>
        <v>0</v>
      </c>
      <c r="AW24" s="18">
        <f t="shared" si="11"/>
        <v>0</v>
      </c>
    </row>
    <row r="25" spans="1:49" ht="24.75" customHeight="1">
      <c r="A25" s="13" t="s">
        <v>29</v>
      </c>
      <c r="B25" s="41" t="s">
        <v>105</v>
      </c>
      <c r="C25" s="98">
        <v>-17.5</v>
      </c>
      <c r="D25" s="38">
        <v>52.2</v>
      </c>
      <c r="E25" s="38">
        <v>7.9</v>
      </c>
      <c r="F25" s="11">
        <f>E25/D25*100</f>
        <v>15.134099616858238</v>
      </c>
      <c r="G25" s="38">
        <v>67.5</v>
      </c>
      <c r="H25" s="38">
        <v>60.2</v>
      </c>
      <c r="I25" s="11">
        <f t="shared" si="1"/>
        <v>89.18518518518519</v>
      </c>
      <c r="J25" s="38">
        <v>59.4</v>
      </c>
      <c r="K25" s="38">
        <v>52.5</v>
      </c>
      <c r="L25" s="11">
        <f t="shared" si="2"/>
        <v>88.38383838383838</v>
      </c>
      <c r="M25" s="80">
        <f t="shared" si="12"/>
        <v>179.1</v>
      </c>
      <c r="N25" s="80">
        <f t="shared" si="13"/>
        <v>120.60000000000001</v>
      </c>
      <c r="O25" s="11">
        <f t="shared" si="9"/>
        <v>67.33668341708542</v>
      </c>
      <c r="P25" s="38">
        <v>56.5</v>
      </c>
      <c r="Q25" s="38">
        <v>47.8</v>
      </c>
      <c r="R25" s="11">
        <f t="shared" si="3"/>
        <v>84.60176991150442</v>
      </c>
      <c r="S25" s="38">
        <v>62.7</v>
      </c>
      <c r="T25" s="38">
        <v>56.4</v>
      </c>
      <c r="U25" s="11">
        <f t="shared" si="4"/>
        <v>89.95215311004785</v>
      </c>
      <c r="V25" s="38">
        <v>64.9</v>
      </c>
      <c r="W25" s="38">
        <v>63.9</v>
      </c>
      <c r="X25" s="11">
        <f t="shared" si="5"/>
        <v>98.45916795069336</v>
      </c>
      <c r="Y25" s="80">
        <f t="shared" si="14"/>
        <v>184.10000000000002</v>
      </c>
      <c r="Z25" s="80">
        <f t="shared" si="15"/>
        <v>168.1</v>
      </c>
      <c r="AA25" s="11">
        <f t="shared" si="10"/>
        <v>91.3090711569799</v>
      </c>
      <c r="AB25" s="38">
        <v>63.9</v>
      </c>
      <c r="AC25" s="38">
        <v>64.5</v>
      </c>
      <c r="AD25" s="11">
        <f t="shared" si="6"/>
        <v>100.93896713615023</v>
      </c>
      <c r="AE25" s="38">
        <v>52.4</v>
      </c>
      <c r="AF25" s="38">
        <v>63.7</v>
      </c>
      <c r="AG25" s="11">
        <f>AF25/AE25*100</f>
        <v>121.56488549618321</v>
      </c>
      <c r="AH25" s="38">
        <v>72.8</v>
      </c>
      <c r="AI25" s="38">
        <v>56.5</v>
      </c>
      <c r="AJ25" s="80">
        <f t="shared" si="16"/>
        <v>189.1</v>
      </c>
      <c r="AK25" s="80">
        <f t="shared" si="17"/>
        <v>184.7</v>
      </c>
      <c r="AL25" s="11">
        <f t="shared" si="22"/>
        <v>97.67318878900053</v>
      </c>
      <c r="AM25" s="38">
        <v>55.6</v>
      </c>
      <c r="AN25" s="38">
        <v>63.2</v>
      </c>
      <c r="AO25" s="38">
        <v>65.8</v>
      </c>
      <c r="AP25" s="38">
        <v>58.4</v>
      </c>
      <c r="AQ25" s="38">
        <v>50.6</v>
      </c>
      <c r="AR25" s="38">
        <v>93.3</v>
      </c>
      <c r="AS25" s="65">
        <f t="shared" si="18"/>
        <v>724.3000000000001</v>
      </c>
      <c r="AT25" s="65">
        <f t="shared" si="19"/>
        <v>688.3</v>
      </c>
      <c r="AU25" s="11">
        <f t="shared" si="8"/>
        <v>95.02968383266601</v>
      </c>
      <c r="AV25" s="65">
        <f t="shared" si="20"/>
        <v>36.000000000000114</v>
      </c>
      <c r="AW25" s="18">
        <f t="shared" si="11"/>
        <v>18.500000000000114</v>
      </c>
    </row>
    <row r="26" spans="1:49" ht="24.75" customHeight="1">
      <c r="A26" s="13" t="s">
        <v>30</v>
      </c>
      <c r="B26" s="15" t="s">
        <v>106</v>
      </c>
      <c r="C26" s="98">
        <v>0</v>
      </c>
      <c r="D26" s="38">
        <v>1</v>
      </c>
      <c r="E26" s="38">
        <v>1</v>
      </c>
      <c r="F26" s="11">
        <f>E26/D26*100</f>
        <v>100</v>
      </c>
      <c r="G26" s="38">
        <v>1.3</v>
      </c>
      <c r="H26" s="38">
        <v>1.3</v>
      </c>
      <c r="I26" s="11">
        <f t="shared" si="1"/>
        <v>100</v>
      </c>
      <c r="J26" s="38">
        <v>1</v>
      </c>
      <c r="K26" s="38">
        <v>1</v>
      </c>
      <c r="L26" s="11">
        <f t="shared" si="2"/>
        <v>100</v>
      </c>
      <c r="M26" s="80">
        <f t="shared" si="12"/>
        <v>3.3</v>
      </c>
      <c r="N26" s="80">
        <f t="shared" si="13"/>
        <v>3.3</v>
      </c>
      <c r="O26" s="11">
        <f t="shared" si="9"/>
        <v>100</v>
      </c>
      <c r="P26" s="38">
        <v>1.1</v>
      </c>
      <c r="Q26" s="38">
        <v>1.1</v>
      </c>
      <c r="R26" s="11">
        <f t="shared" si="3"/>
        <v>100</v>
      </c>
      <c r="S26" s="38">
        <v>1.2</v>
      </c>
      <c r="T26" s="38">
        <v>1.2</v>
      </c>
      <c r="U26" s="11">
        <f t="shared" si="4"/>
        <v>100</v>
      </c>
      <c r="V26" s="38">
        <v>1.4</v>
      </c>
      <c r="W26" s="38">
        <v>1.4</v>
      </c>
      <c r="X26" s="11">
        <f t="shared" si="5"/>
        <v>100</v>
      </c>
      <c r="Y26" s="80">
        <f t="shared" si="14"/>
        <v>3.6999999999999997</v>
      </c>
      <c r="Z26" s="80">
        <f t="shared" si="15"/>
        <v>3.6999999999999997</v>
      </c>
      <c r="AA26" s="11">
        <f t="shared" si="10"/>
        <v>100</v>
      </c>
      <c r="AB26" s="38">
        <v>0.6</v>
      </c>
      <c r="AC26" s="38">
        <v>0.6</v>
      </c>
      <c r="AD26" s="11">
        <f t="shared" si="6"/>
        <v>100</v>
      </c>
      <c r="AE26" s="38">
        <v>0.6</v>
      </c>
      <c r="AF26" s="38">
        <v>0.6</v>
      </c>
      <c r="AG26" s="11">
        <f>AF26/AE26*100</f>
        <v>100</v>
      </c>
      <c r="AH26" s="38">
        <v>1.1</v>
      </c>
      <c r="AI26" s="38">
        <v>1.1</v>
      </c>
      <c r="AJ26" s="80">
        <f t="shared" si="16"/>
        <v>2.3</v>
      </c>
      <c r="AK26" s="80">
        <f t="shared" si="17"/>
        <v>2.3</v>
      </c>
      <c r="AL26" s="11">
        <f t="shared" si="22"/>
        <v>100</v>
      </c>
      <c r="AM26" s="38">
        <v>1.8</v>
      </c>
      <c r="AN26" s="38">
        <v>1.8</v>
      </c>
      <c r="AO26" s="38">
        <v>1.2</v>
      </c>
      <c r="AP26" s="38">
        <v>1.2</v>
      </c>
      <c r="AQ26" s="38">
        <v>1.1</v>
      </c>
      <c r="AR26" s="38">
        <v>1.1</v>
      </c>
      <c r="AS26" s="65">
        <f t="shared" si="18"/>
        <v>13.4</v>
      </c>
      <c r="AT26" s="65">
        <f t="shared" si="19"/>
        <v>13.4</v>
      </c>
      <c r="AU26" s="11">
        <f t="shared" si="8"/>
        <v>100</v>
      </c>
      <c r="AV26" s="65">
        <f t="shared" si="20"/>
        <v>0</v>
      </c>
      <c r="AW26" s="18">
        <f t="shared" si="11"/>
        <v>0</v>
      </c>
    </row>
    <row r="27" spans="1:49" ht="24.75" customHeight="1">
      <c r="A27" s="13" t="s">
        <v>31</v>
      </c>
      <c r="B27" s="15" t="s">
        <v>107</v>
      </c>
      <c r="C27" s="98">
        <v>-18.7</v>
      </c>
      <c r="D27" s="38">
        <v>14.2</v>
      </c>
      <c r="E27" s="38">
        <v>0.1</v>
      </c>
      <c r="F27" s="57">
        <f>E27/D27*100</f>
        <v>0.7042253521126761</v>
      </c>
      <c r="G27" s="38">
        <v>26.8</v>
      </c>
      <c r="H27" s="38">
        <v>16.8</v>
      </c>
      <c r="I27" s="11">
        <f t="shared" si="1"/>
        <v>62.68656716417911</v>
      </c>
      <c r="J27" s="38">
        <v>19.8</v>
      </c>
      <c r="K27" s="38">
        <v>25.1</v>
      </c>
      <c r="L27" s="11">
        <f t="shared" si="2"/>
        <v>126.76767676767678</v>
      </c>
      <c r="M27" s="80">
        <f t="shared" si="12"/>
        <v>60.8</v>
      </c>
      <c r="N27" s="80">
        <f t="shared" si="13"/>
        <v>42</v>
      </c>
      <c r="O27" s="11">
        <f t="shared" si="9"/>
        <v>69.07894736842105</v>
      </c>
      <c r="P27" s="38">
        <v>27.4</v>
      </c>
      <c r="Q27" s="38">
        <v>1.3</v>
      </c>
      <c r="R27" s="11">
        <f t="shared" si="3"/>
        <v>4.744525547445256</v>
      </c>
      <c r="S27" s="38">
        <v>25.2</v>
      </c>
      <c r="T27" s="38">
        <v>27.5</v>
      </c>
      <c r="U27" s="11">
        <f t="shared" si="4"/>
        <v>109.12698412698414</v>
      </c>
      <c r="V27" s="38">
        <v>22.9</v>
      </c>
      <c r="W27" s="38">
        <v>24.9</v>
      </c>
      <c r="X27" s="11">
        <f t="shared" si="5"/>
        <v>108.73362445414847</v>
      </c>
      <c r="Y27" s="80">
        <f t="shared" si="14"/>
        <v>75.5</v>
      </c>
      <c r="Z27" s="80">
        <f t="shared" si="15"/>
        <v>53.7</v>
      </c>
      <c r="AA27" s="11">
        <f t="shared" si="10"/>
        <v>71.12582781456955</v>
      </c>
      <c r="AB27" s="38">
        <v>12.4</v>
      </c>
      <c r="AC27" s="38">
        <v>23.6</v>
      </c>
      <c r="AD27" s="11">
        <f t="shared" si="6"/>
        <v>190.3225806451613</v>
      </c>
      <c r="AE27" s="38">
        <v>10.4</v>
      </c>
      <c r="AF27" s="38">
        <v>12.3</v>
      </c>
      <c r="AG27" s="11">
        <f>AF27/AE27*100</f>
        <v>118.26923076923077</v>
      </c>
      <c r="AH27" s="38">
        <v>24.7</v>
      </c>
      <c r="AI27" s="38">
        <v>33.5</v>
      </c>
      <c r="AJ27" s="80">
        <f t="shared" si="16"/>
        <v>47.5</v>
      </c>
      <c r="AK27" s="80">
        <f t="shared" si="17"/>
        <v>69.4</v>
      </c>
      <c r="AL27" s="11">
        <f t="shared" si="22"/>
        <v>146.10526315789474</v>
      </c>
      <c r="AM27" s="38">
        <v>20.9</v>
      </c>
      <c r="AN27" s="38">
        <v>23.2</v>
      </c>
      <c r="AO27" s="38">
        <v>20.4</v>
      </c>
      <c r="AP27" s="38">
        <v>23.2</v>
      </c>
      <c r="AQ27" s="38">
        <v>22.2</v>
      </c>
      <c r="AR27" s="38">
        <v>42.1</v>
      </c>
      <c r="AS27" s="65">
        <f t="shared" si="18"/>
        <v>247.3</v>
      </c>
      <c r="AT27" s="65">
        <f t="shared" si="19"/>
        <v>253.6</v>
      </c>
      <c r="AU27" s="11">
        <f t="shared" si="8"/>
        <v>102.54751314193287</v>
      </c>
      <c r="AV27" s="65">
        <f t="shared" si="20"/>
        <v>-6.299999999999983</v>
      </c>
      <c r="AW27" s="18">
        <f t="shared" si="11"/>
        <v>-24.99999999999997</v>
      </c>
    </row>
    <row r="28" spans="1:49" ht="24.75" customHeight="1">
      <c r="A28" s="13" t="s">
        <v>32</v>
      </c>
      <c r="B28" s="41" t="s">
        <v>108</v>
      </c>
      <c r="C28" s="108">
        <v>0</v>
      </c>
      <c r="D28" s="38">
        <v>42.9</v>
      </c>
      <c r="E28" s="38">
        <v>42.3</v>
      </c>
      <c r="F28" s="85">
        <f>E28/D28*100</f>
        <v>98.6013986013986</v>
      </c>
      <c r="G28" s="38">
        <v>43.1</v>
      </c>
      <c r="H28" s="38">
        <v>38.5</v>
      </c>
      <c r="I28" s="11">
        <f t="shared" si="1"/>
        <v>89.32714617169373</v>
      </c>
      <c r="J28" s="38">
        <v>41.4</v>
      </c>
      <c r="K28" s="38">
        <v>35.9</v>
      </c>
      <c r="L28" s="11">
        <f t="shared" si="2"/>
        <v>86.71497584541062</v>
      </c>
      <c r="M28" s="80">
        <f t="shared" si="12"/>
        <v>127.4</v>
      </c>
      <c r="N28" s="80">
        <f t="shared" si="13"/>
        <v>116.69999999999999</v>
      </c>
      <c r="O28" s="11">
        <f t="shared" si="9"/>
        <v>91.60125588697015</v>
      </c>
      <c r="P28" s="38">
        <v>34.5</v>
      </c>
      <c r="Q28" s="38">
        <v>36.7</v>
      </c>
      <c r="R28" s="11">
        <f t="shared" si="3"/>
        <v>106.37681159420292</v>
      </c>
      <c r="S28" s="38">
        <v>34.9</v>
      </c>
      <c r="T28" s="38">
        <v>37.4</v>
      </c>
      <c r="U28" s="11">
        <f t="shared" si="4"/>
        <v>107.16332378223497</v>
      </c>
      <c r="V28" s="38">
        <v>45.5</v>
      </c>
      <c r="W28" s="38">
        <v>44.1</v>
      </c>
      <c r="X28" s="11">
        <f t="shared" si="5"/>
        <v>96.92307692307692</v>
      </c>
      <c r="Y28" s="80">
        <f t="shared" si="14"/>
        <v>114.9</v>
      </c>
      <c r="Z28" s="80">
        <f t="shared" si="15"/>
        <v>118.19999999999999</v>
      </c>
      <c r="AA28" s="11">
        <f t="shared" si="10"/>
        <v>102.87206266318536</v>
      </c>
      <c r="AB28" s="38">
        <v>26.2</v>
      </c>
      <c r="AC28" s="38">
        <v>7.6</v>
      </c>
      <c r="AD28" s="11">
        <f t="shared" si="6"/>
        <v>29.00763358778626</v>
      </c>
      <c r="AE28" s="38">
        <v>51</v>
      </c>
      <c r="AF28" s="90">
        <v>70.3</v>
      </c>
      <c r="AG28" s="85">
        <f>AF28/AE28*100</f>
        <v>137.84313725490196</v>
      </c>
      <c r="AH28" s="38">
        <v>59.4</v>
      </c>
      <c r="AI28" s="90">
        <v>58.1</v>
      </c>
      <c r="AJ28" s="80">
        <f t="shared" si="16"/>
        <v>136.6</v>
      </c>
      <c r="AK28" s="80">
        <f t="shared" si="17"/>
        <v>136</v>
      </c>
      <c r="AL28" s="11">
        <f t="shared" si="22"/>
        <v>99.56076134699853</v>
      </c>
      <c r="AM28" s="38">
        <v>256.8</v>
      </c>
      <c r="AN28" s="90">
        <v>199.2</v>
      </c>
      <c r="AO28" s="38">
        <v>89.1</v>
      </c>
      <c r="AP28" s="90">
        <v>122.8</v>
      </c>
      <c r="AQ28" s="38">
        <v>120.8</v>
      </c>
      <c r="AR28" s="90">
        <v>150.2</v>
      </c>
      <c r="AS28" s="65">
        <f t="shared" si="18"/>
        <v>845.6</v>
      </c>
      <c r="AT28" s="65">
        <f t="shared" si="19"/>
        <v>843.0999999999999</v>
      </c>
      <c r="AU28" s="11">
        <f t="shared" si="8"/>
        <v>99.70435193945126</v>
      </c>
      <c r="AV28" s="65">
        <f t="shared" si="20"/>
        <v>2.5000000000001137</v>
      </c>
      <c r="AW28" s="18">
        <f t="shared" si="11"/>
        <v>2.5000000000001137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0">
        <v>0</v>
      </c>
      <c r="D30" s="38">
        <v>22.5</v>
      </c>
      <c r="E30" s="38">
        <v>22.5</v>
      </c>
      <c r="F30" s="87">
        <f>E30/D30*100</f>
        <v>100</v>
      </c>
      <c r="G30" s="38">
        <v>42.9</v>
      </c>
      <c r="H30" s="38">
        <v>42.9</v>
      </c>
      <c r="I30" s="68">
        <f t="shared" si="1"/>
        <v>100</v>
      </c>
      <c r="J30" s="38">
        <v>30.8</v>
      </c>
      <c r="K30" s="38">
        <v>30.8</v>
      </c>
      <c r="L30" s="68">
        <f aca="true" t="shared" si="25" ref="L30:L45">K30/J30*100</f>
        <v>100</v>
      </c>
      <c r="M30" s="80">
        <f t="shared" si="12"/>
        <v>96.2</v>
      </c>
      <c r="N30" s="80">
        <f t="shared" si="13"/>
        <v>96.2</v>
      </c>
      <c r="O30" s="11">
        <f t="shared" si="9"/>
        <v>100</v>
      </c>
      <c r="P30" s="38">
        <v>37.7</v>
      </c>
      <c r="Q30" s="38">
        <v>37.7</v>
      </c>
      <c r="R30" s="128">
        <f aca="true" t="shared" si="26" ref="R30:R43">Q30/P30*100</f>
        <v>100</v>
      </c>
      <c r="S30" s="38">
        <v>37.2</v>
      </c>
      <c r="T30" s="38">
        <v>37.2</v>
      </c>
      <c r="U30" s="128">
        <f aca="true" t="shared" si="27" ref="U30:U43">T30/S30*100</f>
        <v>100</v>
      </c>
      <c r="V30" s="38">
        <v>34.1</v>
      </c>
      <c r="W30" s="38">
        <v>34.1</v>
      </c>
      <c r="X30" s="128">
        <f aca="true" t="shared" si="28" ref="X30:X43">W30/V30*100</f>
        <v>100</v>
      </c>
      <c r="Y30" s="80">
        <f aca="true" t="shared" si="29" ref="Y30:Y42">P30+S30+V30</f>
        <v>109</v>
      </c>
      <c r="Z30" s="80">
        <f aca="true" t="shared" si="30" ref="Z30:Z42">Q30+T30+W30</f>
        <v>109</v>
      </c>
      <c r="AA30" s="11">
        <f aca="true" t="shared" si="31" ref="AA30:AA45">Z30/Y30*100</f>
        <v>100</v>
      </c>
      <c r="AB30" s="38">
        <v>26.7</v>
      </c>
      <c r="AC30" s="38">
        <v>20.2</v>
      </c>
      <c r="AD30" s="128">
        <f aca="true" t="shared" si="32" ref="AD30:AD43">AC30/AB30*100</f>
        <v>75.65543071161048</v>
      </c>
      <c r="AE30" s="38">
        <v>34.2</v>
      </c>
      <c r="AF30" s="38">
        <v>40.7</v>
      </c>
      <c r="AG30" s="129">
        <f aca="true" t="shared" si="33" ref="AG30:AG43">AF30/AE30*100</f>
        <v>119.00584795321637</v>
      </c>
      <c r="AH30" s="38">
        <v>43.4</v>
      </c>
      <c r="AI30" s="38">
        <v>43.4</v>
      </c>
      <c r="AJ30" s="80">
        <f t="shared" si="16"/>
        <v>104.30000000000001</v>
      </c>
      <c r="AK30" s="80">
        <f t="shared" si="17"/>
        <v>104.30000000000001</v>
      </c>
      <c r="AL30" s="11">
        <f aca="true" t="shared" si="34" ref="AL30:AL45">AK30/AJ30*100</f>
        <v>100</v>
      </c>
      <c r="AM30" s="38">
        <v>46.7</v>
      </c>
      <c r="AN30" s="38">
        <v>46.7</v>
      </c>
      <c r="AO30" s="38">
        <v>55.8</v>
      </c>
      <c r="AP30" s="38">
        <v>55.8</v>
      </c>
      <c r="AQ30" s="38">
        <v>70.3</v>
      </c>
      <c r="AR30" s="38">
        <v>70.3</v>
      </c>
      <c r="AS30" s="65">
        <f t="shared" si="18"/>
        <v>482.3</v>
      </c>
      <c r="AT30" s="65">
        <f t="shared" si="19"/>
        <v>482.3</v>
      </c>
      <c r="AU30" s="11">
        <f t="shared" si="8"/>
        <v>100</v>
      </c>
      <c r="AV30" s="65">
        <f t="shared" si="20"/>
        <v>0</v>
      </c>
      <c r="AW30" s="18">
        <f aca="true" t="shared" si="35" ref="AW30:AW42">C30+AS30-AT30</f>
        <v>0</v>
      </c>
    </row>
    <row r="31" spans="1:49" ht="24.75" customHeight="1">
      <c r="A31" s="13" t="s">
        <v>35</v>
      </c>
      <c r="B31" s="15" t="s">
        <v>111</v>
      </c>
      <c r="C31" s="98">
        <v>1.3</v>
      </c>
      <c r="D31" s="38">
        <v>19.3</v>
      </c>
      <c r="E31" s="38">
        <v>14.4</v>
      </c>
      <c r="F31" s="11">
        <f>E31/D31*100</f>
        <v>74.61139896373057</v>
      </c>
      <c r="G31" s="38">
        <v>23.1</v>
      </c>
      <c r="H31" s="38">
        <v>20.5</v>
      </c>
      <c r="I31" s="11">
        <f t="shared" si="1"/>
        <v>88.74458874458874</v>
      </c>
      <c r="J31" s="38">
        <v>20.6</v>
      </c>
      <c r="K31" s="38">
        <v>24.5</v>
      </c>
      <c r="L31" s="11">
        <f t="shared" si="25"/>
        <v>118.93203883495144</v>
      </c>
      <c r="M31" s="80">
        <f t="shared" si="12"/>
        <v>63.00000000000001</v>
      </c>
      <c r="N31" s="80">
        <f t="shared" si="13"/>
        <v>59.4</v>
      </c>
      <c r="O31" s="11">
        <f t="shared" si="9"/>
        <v>94.28571428571428</v>
      </c>
      <c r="P31" s="38">
        <v>23.1</v>
      </c>
      <c r="Q31" s="38">
        <v>17.6</v>
      </c>
      <c r="R31" s="11">
        <f t="shared" si="26"/>
        <v>76.1904761904762</v>
      </c>
      <c r="S31" s="38">
        <v>22.6</v>
      </c>
      <c r="T31" s="38">
        <v>35.1</v>
      </c>
      <c r="U31" s="11">
        <f t="shared" si="27"/>
        <v>155.30973451327432</v>
      </c>
      <c r="V31" s="38">
        <v>25.3</v>
      </c>
      <c r="W31" s="38">
        <v>1.7</v>
      </c>
      <c r="X31" s="11">
        <f t="shared" si="28"/>
        <v>6.719367588932807</v>
      </c>
      <c r="Y31" s="80">
        <f t="shared" si="29"/>
        <v>71</v>
      </c>
      <c r="Z31" s="80">
        <f t="shared" si="30"/>
        <v>54.400000000000006</v>
      </c>
      <c r="AA31" s="11">
        <f t="shared" si="31"/>
        <v>76.61971830985917</v>
      </c>
      <c r="AB31" s="38">
        <v>22.3</v>
      </c>
      <c r="AC31" s="38">
        <v>16.9</v>
      </c>
      <c r="AD31" s="11">
        <f t="shared" si="32"/>
        <v>75.7847533632287</v>
      </c>
      <c r="AE31" s="38">
        <v>24.1</v>
      </c>
      <c r="AF31" s="38">
        <v>38</v>
      </c>
      <c r="AG31" s="129">
        <f t="shared" si="33"/>
        <v>157.67634854771785</v>
      </c>
      <c r="AH31" s="38">
        <v>26</v>
      </c>
      <c r="AI31" s="38">
        <v>26.4</v>
      </c>
      <c r="AJ31" s="80">
        <f t="shared" si="16"/>
        <v>72.4</v>
      </c>
      <c r="AK31" s="80">
        <f t="shared" si="17"/>
        <v>81.3</v>
      </c>
      <c r="AL31" s="11">
        <f t="shared" si="34"/>
        <v>112.29281767955798</v>
      </c>
      <c r="AM31" s="38">
        <v>27</v>
      </c>
      <c r="AN31" s="38">
        <v>34.3</v>
      </c>
      <c r="AO31" s="38">
        <v>27.2</v>
      </c>
      <c r="AP31" s="38">
        <v>27.6</v>
      </c>
      <c r="AQ31" s="38">
        <v>37.8</v>
      </c>
      <c r="AR31" s="38">
        <v>40</v>
      </c>
      <c r="AS31" s="65">
        <f t="shared" si="18"/>
        <v>298.40000000000003</v>
      </c>
      <c r="AT31" s="65">
        <f t="shared" si="19"/>
        <v>297.00000000000006</v>
      </c>
      <c r="AU31" s="11">
        <f t="shared" si="8"/>
        <v>99.53083109919572</v>
      </c>
      <c r="AV31" s="65">
        <f t="shared" si="20"/>
        <v>1.3999999999999773</v>
      </c>
      <c r="AW31" s="18">
        <f t="shared" si="35"/>
        <v>2.6999999999999886</v>
      </c>
    </row>
    <row r="32" spans="1:49" ht="24.75" customHeight="1">
      <c r="A32" s="13" t="s">
        <v>36</v>
      </c>
      <c r="B32" s="15" t="s">
        <v>112</v>
      </c>
      <c r="C32" s="98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148" t="s">
        <v>158</v>
      </c>
      <c r="C33" s="98">
        <f>-4.9+39.5</f>
        <v>34.6</v>
      </c>
      <c r="D33" s="38">
        <f>24.2+44.1</f>
        <v>68.3</v>
      </c>
      <c r="E33" s="38">
        <v>3.2</v>
      </c>
      <c r="F33" s="60">
        <f>E33/D33*100</f>
        <v>4.685212298682284</v>
      </c>
      <c r="G33" s="38">
        <f>22.6+42.6</f>
        <v>65.2</v>
      </c>
      <c r="H33" s="38">
        <f>27.7+31</f>
        <v>58.7</v>
      </c>
      <c r="I33" s="11">
        <f t="shared" si="1"/>
        <v>90.03067484662577</v>
      </c>
      <c r="J33" s="38">
        <f>21.3+58.9</f>
        <v>80.2</v>
      </c>
      <c r="K33" s="38">
        <f>14.6+68.1</f>
        <v>82.69999999999999</v>
      </c>
      <c r="L33" s="11">
        <f>K33/J33*100</f>
        <v>103.11720698254364</v>
      </c>
      <c r="M33" s="80">
        <f t="shared" si="12"/>
        <v>213.7</v>
      </c>
      <c r="N33" s="80">
        <f t="shared" si="13"/>
        <v>144.6</v>
      </c>
      <c r="O33" s="11">
        <f t="shared" si="9"/>
        <v>67.66495086569958</v>
      </c>
      <c r="P33" s="38">
        <f>17.9+54.4</f>
        <v>72.3</v>
      </c>
      <c r="Q33" s="38">
        <f>21.6+85.4</f>
        <v>107</v>
      </c>
      <c r="R33" s="11">
        <f t="shared" si="26"/>
        <v>147.9944674965422</v>
      </c>
      <c r="S33" s="38">
        <f>15.6+48.4</f>
        <v>64</v>
      </c>
      <c r="T33" s="38">
        <f>11+83.7</f>
        <v>94.7</v>
      </c>
      <c r="U33" s="11">
        <f t="shared" si="27"/>
        <v>147.96875</v>
      </c>
      <c r="V33" s="38">
        <f>56.1+63.1</f>
        <v>119.2</v>
      </c>
      <c r="W33" s="38">
        <f>22.5+0.3</f>
        <v>22.8</v>
      </c>
      <c r="X33" s="11">
        <f t="shared" si="28"/>
        <v>19.12751677852349</v>
      </c>
      <c r="Y33" s="80">
        <f t="shared" si="29"/>
        <v>255.5</v>
      </c>
      <c r="Z33" s="80">
        <f t="shared" si="30"/>
        <v>224.5</v>
      </c>
      <c r="AA33" s="11">
        <f t="shared" si="31"/>
        <v>87.866927592955</v>
      </c>
      <c r="AB33" s="38">
        <f>24.8+41.6</f>
        <v>66.4</v>
      </c>
      <c r="AC33" s="38">
        <f>28.2+59.8</f>
        <v>88</v>
      </c>
      <c r="AD33" s="11">
        <f t="shared" si="32"/>
        <v>132.5301204819277</v>
      </c>
      <c r="AE33" s="38">
        <f>24.4+38.3</f>
        <v>62.699999999999996</v>
      </c>
      <c r="AF33" s="38">
        <f>48+63.7</f>
        <v>111.7</v>
      </c>
      <c r="AG33" s="11">
        <f t="shared" si="33"/>
        <v>178.14992025518345</v>
      </c>
      <c r="AH33" s="38">
        <f>24.4+38.3</f>
        <v>62.699999999999996</v>
      </c>
      <c r="AI33" s="38">
        <f>27.6+38.3</f>
        <v>65.9</v>
      </c>
      <c r="AJ33" s="80">
        <f t="shared" si="16"/>
        <v>191.79999999999998</v>
      </c>
      <c r="AK33" s="80">
        <f t="shared" si="17"/>
        <v>265.6</v>
      </c>
      <c r="AL33" s="11">
        <f t="shared" si="34"/>
        <v>138.47758081334726</v>
      </c>
      <c r="AM33" s="38">
        <f>33.7+56.2</f>
        <v>89.9</v>
      </c>
      <c r="AN33" s="38">
        <f>14.5+49.3</f>
        <v>63.8</v>
      </c>
      <c r="AO33" s="38">
        <f>15.1+48.2</f>
        <v>63.300000000000004</v>
      </c>
      <c r="AP33" s="38">
        <f>22.1+23.6</f>
        <v>45.7</v>
      </c>
      <c r="AQ33" s="38">
        <f>51.5+67.3</f>
        <v>118.8</v>
      </c>
      <c r="AR33" s="38">
        <f>70.9+179.1</f>
        <v>250</v>
      </c>
      <c r="AS33" s="65">
        <f t="shared" si="18"/>
        <v>932.9999999999999</v>
      </c>
      <c r="AT33" s="65">
        <f t="shared" si="19"/>
        <v>994.2</v>
      </c>
      <c r="AU33" s="11">
        <f t="shared" si="8"/>
        <v>106.55948553054664</v>
      </c>
      <c r="AV33" s="65">
        <f t="shared" si="20"/>
        <v>-61.20000000000016</v>
      </c>
      <c r="AW33" s="18">
        <f t="shared" si="35"/>
        <v>-26.600000000000136</v>
      </c>
    </row>
    <row r="34" spans="1:51" ht="24.75" customHeight="1">
      <c r="A34" s="13"/>
      <c r="B34" s="136" t="s">
        <v>157</v>
      </c>
      <c r="C34" s="104">
        <v>-3.2</v>
      </c>
      <c r="D34" s="38">
        <v>13.3</v>
      </c>
      <c r="E34" s="38">
        <v>0</v>
      </c>
      <c r="F34" s="60">
        <f>E34/D34*100</f>
        <v>0</v>
      </c>
      <c r="G34" s="38">
        <v>14.9</v>
      </c>
      <c r="H34" s="38">
        <v>10.3</v>
      </c>
      <c r="I34" s="11">
        <f t="shared" si="1"/>
        <v>69.12751677852349</v>
      </c>
      <c r="J34" s="38">
        <v>10.4</v>
      </c>
      <c r="K34" s="38">
        <v>14.9</v>
      </c>
      <c r="L34" s="11">
        <f>K34/J34*100</f>
        <v>143.26923076923077</v>
      </c>
      <c r="M34" s="80">
        <f t="shared" si="12"/>
        <v>38.6</v>
      </c>
      <c r="N34" s="80">
        <f t="shared" si="13"/>
        <v>25.200000000000003</v>
      </c>
      <c r="O34" s="11">
        <f t="shared" si="9"/>
        <v>65.28497409326425</v>
      </c>
      <c r="P34" s="38">
        <v>15.5</v>
      </c>
      <c r="Q34" s="38">
        <v>10.4</v>
      </c>
      <c r="R34" s="11">
        <f t="shared" si="26"/>
        <v>67.0967741935484</v>
      </c>
      <c r="S34" s="38">
        <v>13.7</v>
      </c>
      <c r="T34" s="38">
        <v>15.3</v>
      </c>
      <c r="U34" s="11">
        <f t="shared" si="27"/>
        <v>111.67883211678833</v>
      </c>
      <c r="V34" s="38">
        <v>9</v>
      </c>
      <c r="W34" s="38">
        <v>13.3</v>
      </c>
      <c r="X34" s="11">
        <f t="shared" si="28"/>
        <v>147.77777777777777</v>
      </c>
      <c r="Y34" s="80">
        <f>P34+S34+V34</f>
        <v>38.2</v>
      </c>
      <c r="Z34" s="80">
        <f>Q34+T34+W34</f>
        <v>39</v>
      </c>
      <c r="AA34" s="11">
        <f>Z34/Y34*100</f>
        <v>102.09424083769633</v>
      </c>
      <c r="AB34" s="38">
        <v>3.8</v>
      </c>
      <c r="AC34" s="38">
        <v>9</v>
      </c>
      <c r="AD34" s="11">
        <f t="shared" si="32"/>
        <v>236.84210526315792</v>
      </c>
      <c r="AE34" s="38">
        <v>8.1</v>
      </c>
      <c r="AF34" s="38">
        <v>0.3</v>
      </c>
      <c r="AG34" s="11">
        <f t="shared" si="33"/>
        <v>3.7037037037037033</v>
      </c>
      <c r="AH34" s="38">
        <v>14.9</v>
      </c>
      <c r="AI34" s="38">
        <v>11.5</v>
      </c>
      <c r="AJ34" s="80">
        <f t="shared" si="16"/>
        <v>26.799999999999997</v>
      </c>
      <c r="AK34" s="80">
        <f t="shared" si="17"/>
        <v>20.8</v>
      </c>
      <c r="AL34" s="11">
        <f t="shared" si="34"/>
        <v>77.61194029850748</v>
      </c>
      <c r="AM34" s="38">
        <v>15.4</v>
      </c>
      <c r="AN34" s="38">
        <v>14.3</v>
      </c>
      <c r="AO34" s="38">
        <v>16.1</v>
      </c>
      <c r="AP34" s="38">
        <v>16</v>
      </c>
      <c r="AQ34" s="38">
        <v>10.5</v>
      </c>
      <c r="AR34" s="38">
        <v>27.1</v>
      </c>
      <c r="AS34" s="65">
        <f t="shared" si="18"/>
        <v>145.60000000000002</v>
      </c>
      <c r="AT34" s="65">
        <f t="shared" si="19"/>
        <v>142.4</v>
      </c>
      <c r="AU34" s="11">
        <f t="shared" si="8"/>
        <v>97.80219780219778</v>
      </c>
      <c r="AV34" s="65">
        <f t="shared" si="20"/>
        <v>3.200000000000017</v>
      </c>
      <c r="AW34" s="18">
        <f t="shared" si="35"/>
        <v>0</v>
      </c>
      <c r="AX34" s="19">
        <f>M34+Y34+AB34+AE34+AH34</f>
        <v>103.60000000000001</v>
      </c>
      <c r="AY34" s="19">
        <f>N34+Z34+AC34+AF34+AI34</f>
        <v>85</v>
      </c>
    </row>
    <row r="35" spans="1:49" ht="24.75" customHeight="1">
      <c r="A35" s="13" t="s">
        <v>37</v>
      </c>
      <c r="B35" s="15" t="s">
        <v>113</v>
      </c>
      <c r="C35" s="104">
        <v>-2.2</v>
      </c>
      <c r="D35" s="37">
        <f>57.4+6.1</f>
        <v>63.5</v>
      </c>
      <c r="E35" s="37">
        <f>4.5</f>
        <v>4.5</v>
      </c>
      <c r="F35" s="11">
        <f>E35/D35*100</f>
        <v>7.086614173228346</v>
      </c>
      <c r="G35" s="38">
        <f>54.4+5</f>
        <v>59.4</v>
      </c>
      <c r="H35" s="38">
        <f>60.8+7.8</f>
        <v>68.6</v>
      </c>
      <c r="I35" s="11">
        <f t="shared" si="1"/>
        <v>115.48821548821549</v>
      </c>
      <c r="J35" s="38">
        <f>53.3+6.3</f>
        <v>59.599999999999994</v>
      </c>
      <c r="K35" s="38">
        <f>46.3+1.5</f>
        <v>47.8</v>
      </c>
      <c r="L35" s="11">
        <f t="shared" si="25"/>
        <v>80.20134228187919</v>
      </c>
      <c r="M35" s="80">
        <f t="shared" si="12"/>
        <v>182.5</v>
      </c>
      <c r="N35" s="80">
        <f t="shared" si="13"/>
        <v>120.89999999999999</v>
      </c>
      <c r="O35" s="11">
        <f t="shared" si="9"/>
        <v>66.24657534246575</v>
      </c>
      <c r="P35" s="38">
        <v>70.5</v>
      </c>
      <c r="Q35" s="38">
        <v>58.6</v>
      </c>
      <c r="R35" s="11">
        <f t="shared" si="26"/>
        <v>83.12056737588652</v>
      </c>
      <c r="S35" s="38">
        <f>71.8+8.7</f>
        <v>80.5</v>
      </c>
      <c r="T35" s="38">
        <f>76.5</f>
        <v>76.5</v>
      </c>
      <c r="U35" s="11">
        <f t="shared" si="27"/>
        <v>95.03105590062113</v>
      </c>
      <c r="V35" s="38">
        <f>66.3+9.1</f>
        <v>75.39999999999999</v>
      </c>
      <c r="W35" s="38">
        <f>61.2+9.7</f>
        <v>70.9</v>
      </c>
      <c r="X35" s="11">
        <f t="shared" si="28"/>
        <v>94.03183023872681</v>
      </c>
      <c r="Y35" s="80">
        <f t="shared" si="29"/>
        <v>226.39999999999998</v>
      </c>
      <c r="Z35" s="80">
        <f t="shared" si="30"/>
        <v>206</v>
      </c>
      <c r="AA35" s="11">
        <f t="shared" si="31"/>
        <v>90.98939929328623</v>
      </c>
      <c r="AB35" s="38">
        <v>52.7</v>
      </c>
      <c r="AC35" s="38">
        <v>57.2</v>
      </c>
      <c r="AD35" s="11">
        <f t="shared" si="32"/>
        <v>108.53889943074005</v>
      </c>
      <c r="AE35" s="38">
        <f>54.3+2.7</f>
        <v>57</v>
      </c>
      <c r="AF35" s="38">
        <f>60+4.2</f>
        <v>64.2</v>
      </c>
      <c r="AG35" s="11">
        <f t="shared" si="33"/>
        <v>112.63157894736841</v>
      </c>
      <c r="AH35" s="38">
        <f>74.8+5.5</f>
        <v>80.3</v>
      </c>
      <c r="AI35" s="38">
        <f>48+2.3</f>
        <v>50.3</v>
      </c>
      <c r="AJ35" s="80">
        <f t="shared" si="16"/>
        <v>190</v>
      </c>
      <c r="AK35" s="80">
        <f t="shared" si="17"/>
        <v>171.7</v>
      </c>
      <c r="AL35" s="11">
        <f t="shared" si="34"/>
        <v>90.36842105263158</v>
      </c>
      <c r="AM35" s="38">
        <f>73+6.4</f>
        <v>79.4</v>
      </c>
      <c r="AN35" s="38">
        <f>71.6+4.9</f>
        <v>76.5</v>
      </c>
      <c r="AO35" s="38">
        <f>71.8+10</f>
        <v>81.8</v>
      </c>
      <c r="AP35" s="38">
        <f>93.6+6.2</f>
        <v>99.8</v>
      </c>
      <c r="AQ35" s="38">
        <f>81.1+8.8</f>
        <v>89.89999999999999</v>
      </c>
      <c r="AR35" s="38">
        <f>108.5+10</f>
        <v>118.5</v>
      </c>
      <c r="AS35" s="65">
        <f t="shared" si="18"/>
        <v>849.9999999999999</v>
      </c>
      <c r="AT35" s="65">
        <f t="shared" si="19"/>
        <v>793.3999999999999</v>
      </c>
      <c r="AU35" s="11">
        <f t="shared" si="8"/>
        <v>93.34117647058822</v>
      </c>
      <c r="AV35" s="65">
        <f t="shared" si="20"/>
        <v>56.60000000000002</v>
      </c>
      <c r="AW35" s="18">
        <f t="shared" si="35"/>
        <v>54.39999999999998</v>
      </c>
    </row>
    <row r="36" spans="1:49" ht="24.75" customHeight="1">
      <c r="A36" s="13" t="s">
        <v>38</v>
      </c>
      <c r="B36" s="41" t="s">
        <v>114</v>
      </c>
      <c r="C36" s="107">
        <v>-0.2</v>
      </c>
      <c r="D36" s="72">
        <v>30.9</v>
      </c>
      <c r="E36" s="72">
        <v>10</v>
      </c>
      <c r="F36" s="11">
        <f>E36/D36*100</f>
        <v>32.36245954692557</v>
      </c>
      <c r="G36" s="38">
        <v>39.1</v>
      </c>
      <c r="H36" s="38">
        <v>60.1</v>
      </c>
      <c r="I36" s="11">
        <f t="shared" si="1"/>
        <v>153.7084398976982</v>
      </c>
      <c r="J36" s="38">
        <v>38.1</v>
      </c>
      <c r="K36" s="38">
        <v>38.1</v>
      </c>
      <c r="L36" s="11">
        <f t="shared" si="25"/>
        <v>100</v>
      </c>
      <c r="M36" s="80">
        <f t="shared" si="12"/>
        <v>108.1</v>
      </c>
      <c r="N36" s="80">
        <f t="shared" si="13"/>
        <v>108.19999999999999</v>
      </c>
      <c r="O36" s="11">
        <f t="shared" si="9"/>
        <v>100.09250693802034</v>
      </c>
      <c r="P36" s="38">
        <v>39.7</v>
      </c>
      <c r="Q36" s="38">
        <v>39</v>
      </c>
      <c r="R36" s="128">
        <f t="shared" si="26"/>
        <v>98.23677581863979</v>
      </c>
      <c r="S36" s="38">
        <v>35.4</v>
      </c>
      <c r="T36" s="38">
        <v>35.4</v>
      </c>
      <c r="U36" s="128">
        <f t="shared" si="27"/>
        <v>100</v>
      </c>
      <c r="V36" s="38">
        <v>32.6</v>
      </c>
      <c r="W36" s="38">
        <v>27</v>
      </c>
      <c r="X36" s="128">
        <f t="shared" si="28"/>
        <v>82.82208588957054</v>
      </c>
      <c r="Y36" s="80">
        <f t="shared" si="29"/>
        <v>107.69999999999999</v>
      </c>
      <c r="Z36" s="80">
        <f t="shared" si="30"/>
        <v>101.4</v>
      </c>
      <c r="AA36" s="11">
        <f t="shared" si="31"/>
        <v>94.15041782729806</v>
      </c>
      <c r="AB36" s="38">
        <v>31.6</v>
      </c>
      <c r="AC36" s="38">
        <v>37.1</v>
      </c>
      <c r="AD36" s="128">
        <f t="shared" si="32"/>
        <v>117.40506329113924</v>
      </c>
      <c r="AE36" s="38">
        <v>31.3</v>
      </c>
      <c r="AF36" s="38">
        <v>31.3</v>
      </c>
      <c r="AG36" s="11">
        <f t="shared" si="33"/>
        <v>100</v>
      </c>
      <c r="AH36" s="38">
        <v>35.5</v>
      </c>
      <c r="AI36" s="38">
        <v>35.5</v>
      </c>
      <c r="AJ36" s="80">
        <f>AB36+AE36+AH36</f>
        <v>98.4</v>
      </c>
      <c r="AK36" s="80">
        <f>AC36+AF36+AI36</f>
        <v>103.9</v>
      </c>
      <c r="AL36" s="11">
        <f t="shared" si="34"/>
        <v>105.58943089430895</v>
      </c>
      <c r="AM36" s="38">
        <v>40.3</v>
      </c>
      <c r="AN36" s="38">
        <v>40.3</v>
      </c>
      <c r="AO36" s="38">
        <v>42.2</v>
      </c>
      <c r="AP36" s="38">
        <v>42.2</v>
      </c>
      <c r="AQ36" s="38">
        <v>68</v>
      </c>
      <c r="AR36" s="38">
        <v>68.7</v>
      </c>
      <c r="AS36" s="65">
        <f t="shared" si="18"/>
        <v>464.7</v>
      </c>
      <c r="AT36" s="65">
        <f t="shared" si="19"/>
        <v>464.7</v>
      </c>
      <c r="AU36" s="11">
        <f t="shared" si="8"/>
        <v>100</v>
      </c>
      <c r="AV36" s="65">
        <f t="shared" si="20"/>
        <v>0</v>
      </c>
      <c r="AW36" s="18">
        <f t="shared" si="35"/>
        <v>-0.19999999999998863</v>
      </c>
    </row>
    <row r="37" spans="1:49" ht="24.75" customHeight="1">
      <c r="A37" s="13" t="s">
        <v>39</v>
      </c>
      <c r="B37" s="15" t="s">
        <v>115</v>
      </c>
      <c r="C37" s="98">
        <v>-6</v>
      </c>
      <c r="D37" s="38">
        <f>84.7+5.6</f>
        <v>90.3</v>
      </c>
      <c r="E37" s="38">
        <f>17.6+5.3</f>
        <v>22.900000000000002</v>
      </c>
      <c r="F37" s="11">
        <f aca="true" t="shared" si="36" ref="F37:F44">E37/D37*100</f>
        <v>25.359911406423034</v>
      </c>
      <c r="G37" s="38">
        <f>108.8+12.6</f>
        <v>121.39999999999999</v>
      </c>
      <c r="H37" s="38">
        <f>100.7+11</f>
        <v>111.7</v>
      </c>
      <c r="I37" s="11">
        <f t="shared" si="1"/>
        <v>92.00988467874794</v>
      </c>
      <c r="J37" s="38">
        <f>90.5+10.3</f>
        <v>100.8</v>
      </c>
      <c r="K37" s="38">
        <f>161.7+12.2</f>
        <v>173.89999999999998</v>
      </c>
      <c r="L37" s="11">
        <f t="shared" si="25"/>
        <v>172.51984126984127</v>
      </c>
      <c r="M37" s="80">
        <f t="shared" si="12"/>
        <v>312.5</v>
      </c>
      <c r="N37" s="80">
        <f t="shared" si="13"/>
        <v>308.5</v>
      </c>
      <c r="O37" s="11">
        <f t="shared" si="9"/>
        <v>98.72</v>
      </c>
      <c r="P37" s="38">
        <v>143.9</v>
      </c>
      <c r="Q37" s="38">
        <v>96.6</v>
      </c>
      <c r="R37" s="11">
        <f t="shared" si="26"/>
        <v>67.1299513551077</v>
      </c>
      <c r="S37" s="38">
        <v>114.1</v>
      </c>
      <c r="T37" s="38">
        <v>63.3</v>
      </c>
      <c r="U37" s="11">
        <f t="shared" si="27"/>
        <v>55.47765118317266</v>
      </c>
      <c r="V37" s="38">
        <f>108.4+9.7</f>
        <v>118.10000000000001</v>
      </c>
      <c r="W37" s="38">
        <f>98.6+9.5</f>
        <v>108.1</v>
      </c>
      <c r="X37" s="11">
        <f t="shared" si="28"/>
        <v>91.53259949195596</v>
      </c>
      <c r="Y37" s="80">
        <f t="shared" si="29"/>
        <v>376.1</v>
      </c>
      <c r="Z37" s="80">
        <f t="shared" si="30"/>
        <v>268</v>
      </c>
      <c r="AA37" s="11">
        <f t="shared" si="31"/>
        <v>71.25764424355225</v>
      </c>
      <c r="AB37" s="38">
        <f>95.2+6</f>
        <v>101.2</v>
      </c>
      <c r="AC37" s="38">
        <f>106.2+6</f>
        <v>112.2</v>
      </c>
      <c r="AD37" s="11">
        <f t="shared" si="32"/>
        <v>110.86956521739131</v>
      </c>
      <c r="AE37" s="38">
        <f>110.7+6.8</f>
        <v>117.5</v>
      </c>
      <c r="AF37" s="38">
        <f>91.3+9</f>
        <v>100.3</v>
      </c>
      <c r="AG37" s="11">
        <f t="shared" si="33"/>
        <v>85.36170212765957</v>
      </c>
      <c r="AH37" s="38">
        <f>112.7+11.9</f>
        <v>124.60000000000001</v>
      </c>
      <c r="AI37" s="38">
        <f>120.2+3.7</f>
        <v>123.9</v>
      </c>
      <c r="AJ37" s="80">
        <f t="shared" si="16"/>
        <v>343.3</v>
      </c>
      <c r="AK37" s="80">
        <f t="shared" si="17"/>
        <v>336.4</v>
      </c>
      <c r="AL37" s="11">
        <f t="shared" si="34"/>
        <v>97.99009612583744</v>
      </c>
      <c r="AM37" s="38">
        <f>124.1+14</f>
        <v>138.1</v>
      </c>
      <c r="AN37" s="38">
        <f>226.3+22.2</f>
        <v>248.5</v>
      </c>
      <c r="AO37" s="38">
        <f>129.9+12.8</f>
        <v>142.70000000000002</v>
      </c>
      <c r="AP37" s="38">
        <f>127.1+12.8</f>
        <v>139.9</v>
      </c>
      <c r="AQ37" s="38">
        <f>113.8+12.6</f>
        <v>126.39999999999999</v>
      </c>
      <c r="AR37" s="38">
        <f>128.2+13</f>
        <v>141.2</v>
      </c>
      <c r="AS37" s="65">
        <f t="shared" si="18"/>
        <v>1439.1000000000001</v>
      </c>
      <c r="AT37" s="65">
        <f t="shared" si="19"/>
        <v>1442.5000000000002</v>
      </c>
      <c r="AU37" s="11">
        <f t="shared" si="8"/>
        <v>100.23625877284414</v>
      </c>
      <c r="AV37" s="65">
        <f t="shared" si="20"/>
        <v>-3.400000000000091</v>
      </c>
      <c r="AW37" s="18">
        <f t="shared" si="35"/>
        <v>-9.400000000000091</v>
      </c>
    </row>
    <row r="38" spans="1:49" ht="24.75" customHeight="1">
      <c r="A38" s="13" t="s">
        <v>40</v>
      </c>
      <c r="B38" s="15" t="s">
        <v>116</v>
      </c>
      <c r="C38" s="98">
        <v>0.8</v>
      </c>
      <c r="D38" s="38">
        <f>108.7+3.3</f>
        <v>112</v>
      </c>
      <c r="E38" s="38">
        <f>95.9+3.3</f>
        <v>99.2</v>
      </c>
      <c r="F38" s="11">
        <f t="shared" si="36"/>
        <v>88.57142857142858</v>
      </c>
      <c r="G38" s="38">
        <f>153.7+4.8</f>
        <v>158.5</v>
      </c>
      <c r="H38" s="38">
        <f>166.5+4.8</f>
        <v>171.3</v>
      </c>
      <c r="I38" s="11">
        <f t="shared" si="1"/>
        <v>108.07570977917982</v>
      </c>
      <c r="J38" s="38">
        <f>137.8+4.1</f>
        <v>141.9</v>
      </c>
      <c r="K38" s="38">
        <f>137.8+4.1</f>
        <v>141.9</v>
      </c>
      <c r="L38" s="11">
        <f t="shared" si="25"/>
        <v>100</v>
      </c>
      <c r="M38" s="80">
        <f t="shared" si="12"/>
        <v>412.4</v>
      </c>
      <c r="N38" s="80">
        <f t="shared" si="13"/>
        <v>412.4</v>
      </c>
      <c r="O38" s="11">
        <f t="shared" si="9"/>
        <v>100</v>
      </c>
      <c r="P38" s="38">
        <f>138.1+4.1</f>
        <v>142.2</v>
      </c>
      <c r="Q38" s="38">
        <f>138.1+4.1</f>
        <v>142.2</v>
      </c>
      <c r="R38" s="11">
        <f t="shared" si="26"/>
        <v>100</v>
      </c>
      <c r="S38" s="38">
        <v>161.6</v>
      </c>
      <c r="T38" s="38">
        <v>161.6</v>
      </c>
      <c r="U38" s="11">
        <f t="shared" si="27"/>
        <v>100</v>
      </c>
      <c r="V38" s="38">
        <f>146+4.4</f>
        <v>150.4</v>
      </c>
      <c r="W38" s="38">
        <f>146+1.6</f>
        <v>147.6</v>
      </c>
      <c r="X38" s="11">
        <f t="shared" si="28"/>
        <v>98.13829787234042</v>
      </c>
      <c r="Y38" s="80">
        <f t="shared" si="29"/>
        <v>454.19999999999993</v>
      </c>
      <c r="Z38" s="80">
        <f t="shared" si="30"/>
        <v>451.4</v>
      </c>
      <c r="AA38" s="11">
        <f t="shared" si="31"/>
        <v>99.3835314839278</v>
      </c>
      <c r="AB38" s="38">
        <f>138.4+3.6</f>
        <v>142</v>
      </c>
      <c r="AC38" s="38">
        <f>138.4+6.1</f>
        <v>144.5</v>
      </c>
      <c r="AD38" s="11">
        <f t="shared" si="32"/>
        <v>101.7605633802817</v>
      </c>
      <c r="AE38" s="38">
        <f>129.5+3.9</f>
        <v>133.4</v>
      </c>
      <c r="AF38" s="38">
        <f>129.5+4.2</f>
        <v>133.7</v>
      </c>
      <c r="AG38" s="11">
        <f t="shared" si="33"/>
        <v>100.22488755622187</v>
      </c>
      <c r="AH38" s="38">
        <f>142.5+4.4</f>
        <v>146.9</v>
      </c>
      <c r="AI38" s="38">
        <f>142.5+4.4</f>
        <v>146.9</v>
      </c>
      <c r="AJ38" s="80">
        <f t="shared" si="16"/>
        <v>422.29999999999995</v>
      </c>
      <c r="AK38" s="80">
        <f t="shared" si="17"/>
        <v>425.1</v>
      </c>
      <c r="AL38" s="11">
        <f t="shared" si="34"/>
        <v>100.66303575657119</v>
      </c>
      <c r="AM38" s="38">
        <f>146.9+4.8</f>
        <v>151.70000000000002</v>
      </c>
      <c r="AN38" s="38">
        <f>146.9+4.8</f>
        <v>151.70000000000002</v>
      </c>
      <c r="AO38" s="38">
        <f>141.4+4.1</f>
        <v>145.5</v>
      </c>
      <c r="AP38" s="38">
        <f>76.4+4.1</f>
        <v>80.5</v>
      </c>
      <c r="AQ38" s="38">
        <f>158.8+5.3</f>
        <v>164.10000000000002</v>
      </c>
      <c r="AR38" s="38">
        <f>223.8+5.3</f>
        <v>229.10000000000002</v>
      </c>
      <c r="AS38" s="65">
        <f t="shared" si="18"/>
        <v>1750.1999999999998</v>
      </c>
      <c r="AT38" s="65">
        <f t="shared" si="19"/>
        <v>1750.2000000000003</v>
      </c>
      <c r="AU38" s="11">
        <f t="shared" si="8"/>
        <v>100.00000000000003</v>
      </c>
      <c r="AV38" s="65">
        <f t="shared" si="20"/>
        <v>0</v>
      </c>
      <c r="AW38" s="18">
        <f t="shared" si="35"/>
        <v>0.7999999999994998</v>
      </c>
    </row>
    <row r="39" spans="1:49" ht="24.75" customHeight="1">
      <c r="A39" s="13" t="s">
        <v>41</v>
      </c>
      <c r="B39" s="15" t="s">
        <v>117</v>
      </c>
      <c r="C39" s="98">
        <f>-6.4+(-0.3)-(-6.5)+(-0.7)</f>
        <v>-0.9000000000000001</v>
      </c>
      <c r="D39" s="38">
        <f>283.1+3.4</f>
        <v>286.5</v>
      </c>
      <c r="E39" s="38">
        <v>0</v>
      </c>
      <c r="F39" s="11">
        <f t="shared" si="36"/>
        <v>0</v>
      </c>
      <c r="G39" s="38">
        <f>335.6+3.8</f>
        <v>339.40000000000003</v>
      </c>
      <c r="H39" s="38">
        <f>597.5+2.7</f>
        <v>600.2</v>
      </c>
      <c r="I39" s="11">
        <f t="shared" si="1"/>
        <v>176.8414849734826</v>
      </c>
      <c r="J39" s="38">
        <f>345.1+5.1</f>
        <v>350.20000000000005</v>
      </c>
      <c r="K39" s="38">
        <f>341.7+3.8</f>
        <v>345.5</v>
      </c>
      <c r="L39" s="11">
        <f t="shared" si="25"/>
        <v>98.65790976584807</v>
      </c>
      <c r="M39" s="80">
        <f t="shared" si="12"/>
        <v>976.1000000000001</v>
      </c>
      <c r="N39" s="80">
        <f t="shared" si="13"/>
        <v>945.7</v>
      </c>
      <c r="O39" s="11">
        <f t="shared" si="9"/>
        <v>96.8855650035857</v>
      </c>
      <c r="P39" s="38">
        <f>293.2+4.3</f>
        <v>297.5</v>
      </c>
      <c r="Q39" s="38">
        <f>161.6+5.8</f>
        <v>167.4</v>
      </c>
      <c r="R39" s="11">
        <f t="shared" si="26"/>
        <v>56.268907563025216</v>
      </c>
      <c r="S39" s="38">
        <v>236.6</v>
      </c>
      <c r="T39" s="38">
        <v>391.3</v>
      </c>
      <c r="U39" s="11">
        <f t="shared" si="27"/>
        <v>165.3846153846154</v>
      </c>
      <c r="V39" s="38">
        <f>243.3+3.7</f>
        <v>247</v>
      </c>
      <c r="W39" s="38">
        <f>116.7+2.9</f>
        <v>119.60000000000001</v>
      </c>
      <c r="X39" s="11">
        <f t="shared" si="28"/>
        <v>48.42105263157895</v>
      </c>
      <c r="Y39" s="80">
        <f t="shared" si="29"/>
        <v>781.1</v>
      </c>
      <c r="Z39" s="80">
        <f t="shared" si="30"/>
        <v>678.3000000000001</v>
      </c>
      <c r="AA39" s="11">
        <f t="shared" si="31"/>
        <v>86.8390731020356</v>
      </c>
      <c r="AB39" s="38">
        <f>289.3+4.7</f>
        <v>294</v>
      </c>
      <c r="AC39" s="38">
        <f>395.9+6.7</f>
        <v>402.59999999999997</v>
      </c>
      <c r="AD39" s="11">
        <f t="shared" si="32"/>
        <v>136.93877551020407</v>
      </c>
      <c r="AE39" s="38">
        <f>193.7+3.5</f>
        <v>197.2</v>
      </c>
      <c r="AF39" s="38">
        <f>187.5+2.9</f>
        <v>190.4</v>
      </c>
      <c r="AG39" s="11">
        <f t="shared" si="33"/>
        <v>96.55172413793103</v>
      </c>
      <c r="AH39" s="38">
        <f>312+3.9</f>
        <v>315.9</v>
      </c>
      <c r="AI39" s="38">
        <f>319.9+1.3</f>
        <v>321.2</v>
      </c>
      <c r="AJ39" s="80">
        <f t="shared" si="16"/>
        <v>807.0999999999999</v>
      </c>
      <c r="AK39" s="80">
        <f t="shared" si="17"/>
        <v>914.2</v>
      </c>
      <c r="AL39" s="11">
        <f t="shared" si="34"/>
        <v>113.26973113616654</v>
      </c>
      <c r="AM39" s="38">
        <f>301.1+3.7</f>
        <v>304.8</v>
      </c>
      <c r="AN39" s="38">
        <f>310.5+6.9</f>
        <v>317.4</v>
      </c>
      <c r="AO39" s="38">
        <f>364.1+4.9</f>
        <v>369</v>
      </c>
      <c r="AP39" s="38">
        <f>365.6+4.3</f>
        <v>369.90000000000003</v>
      </c>
      <c r="AQ39" s="38">
        <f>423.2+5.4</f>
        <v>428.59999999999997</v>
      </c>
      <c r="AR39" s="38">
        <f>433.4+8.2</f>
        <v>441.59999999999997</v>
      </c>
      <c r="AS39" s="65">
        <f t="shared" si="18"/>
        <v>3666.7000000000003</v>
      </c>
      <c r="AT39" s="65">
        <f t="shared" si="19"/>
        <v>3667.1</v>
      </c>
      <c r="AU39" s="11">
        <f t="shared" si="8"/>
        <v>100.01090899173644</v>
      </c>
      <c r="AV39" s="65">
        <f t="shared" si="20"/>
        <v>-0.3999999999996362</v>
      </c>
      <c r="AW39" s="18">
        <f t="shared" si="35"/>
        <v>-1.2999999999997272</v>
      </c>
    </row>
    <row r="40" spans="1:49" ht="22.5" customHeight="1">
      <c r="A40" s="13" t="s">
        <v>42</v>
      </c>
      <c r="B40" s="15" t="s">
        <v>125</v>
      </c>
      <c r="C40" s="98">
        <v>36.9</v>
      </c>
      <c r="D40" s="38">
        <v>47.4</v>
      </c>
      <c r="E40" s="38">
        <v>28.2</v>
      </c>
      <c r="F40" s="11">
        <f t="shared" si="36"/>
        <v>59.49367088607595</v>
      </c>
      <c r="G40" s="38">
        <v>53.5</v>
      </c>
      <c r="H40" s="38">
        <v>15.2</v>
      </c>
      <c r="I40" s="11">
        <f t="shared" si="1"/>
        <v>28.411214953271024</v>
      </c>
      <c r="J40" s="38">
        <v>45.5</v>
      </c>
      <c r="K40" s="38">
        <v>86.2</v>
      </c>
      <c r="L40" s="11">
        <f t="shared" si="25"/>
        <v>189.45054945054946</v>
      </c>
      <c r="M40" s="80">
        <f t="shared" si="12"/>
        <v>146.4</v>
      </c>
      <c r="N40" s="80">
        <f t="shared" si="13"/>
        <v>129.6</v>
      </c>
      <c r="O40" s="11">
        <f t="shared" si="9"/>
        <v>88.52459016393442</v>
      </c>
      <c r="P40" s="38">
        <v>53.7</v>
      </c>
      <c r="Q40" s="38">
        <v>21.9</v>
      </c>
      <c r="R40" s="11">
        <f t="shared" si="26"/>
        <v>40.782122905027926</v>
      </c>
      <c r="S40" s="38">
        <v>55.8</v>
      </c>
      <c r="T40" s="38">
        <v>40.9</v>
      </c>
      <c r="U40" s="11">
        <f t="shared" si="27"/>
        <v>73.29749103942652</v>
      </c>
      <c r="V40" s="38">
        <v>63.6</v>
      </c>
      <c r="W40" s="38">
        <v>48.2</v>
      </c>
      <c r="X40" s="11">
        <f t="shared" si="28"/>
        <v>75.78616352201259</v>
      </c>
      <c r="Y40" s="80">
        <f t="shared" si="29"/>
        <v>173.1</v>
      </c>
      <c r="Z40" s="80">
        <f t="shared" si="30"/>
        <v>111</v>
      </c>
      <c r="AA40" s="11">
        <f t="shared" si="31"/>
        <v>64.12478336221838</v>
      </c>
      <c r="AB40" s="38">
        <v>42.1</v>
      </c>
      <c r="AC40" s="38">
        <v>88.2</v>
      </c>
      <c r="AD40" s="11">
        <f t="shared" si="32"/>
        <v>209.50118764845604</v>
      </c>
      <c r="AE40" s="38">
        <v>47.5</v>
      </c>
      <c r="AF40" s="38">
        <v>23</v>
      </c>
      <c r="AG40" s="11">
        <f t="shared" si="33"/>
        <v>48.421052631578945</v>
      </c>
      <c r="AH40" s="38">
        <v>57.8</v>
      </c>
      <c r="AI40" s="38">
        <v>10.8</v>
      </c>
      <c r="AJ40" s="80">
        <f t="shared" si="16"/>
        <v>147.39999999999998</v>
      </c>
      <c r="AK40" s="80">
        <f t="shared" si="17"/>
        <v>122</v>
      </c>
      <c r="AL40" s="11">
        <f t="shared" si="34"/>
        <v>82.76797829036636</v>
      </c>
      <c r="AM40" s="38">
        <v>67</v>
      </c>
      <c r="AN40" s="38">
        <v>67.6</v>
      </c>
      <c r="AO40" s="38">
        <v>63.6</v>
      </c>
      <c r="AP40" s="38">
        <v>49.8</v>
      </c>
      <c r="AQ40" s="38">
        <v>57</v>
      </c>
      <c r="AR40" s="38">
        <v>174.2</v>
      </c>
      <c r="AS40" s="65">
        <f t="shared" si="18"/>
        <v>654.5</v>
      </c>
      <c r="AT40" s="65">
        <f t="shared" si="19"/>
        <v>654.2</v>
      </c>
      <c r="AU40" s="11">
        <f t="shared" si="8"/>
        <v>99.95416348357526</v>
      </c>
      <c r="AV40" s="65">
        <f t="shared" si="20"/>
        <v>0.2999999999999545</v>
      </c>
      <c r="AW40" s="18">
        <f t="shared" si="35"/>
        <v>37.19999999999993</v>
      </c>
    </row>
    <row r="41" spans="1:49" ht="24.75" customHeight="1">
      <c r="A41" s="13" t="s">
        <v>43</v>
      </c>
      <c r="B41" s="41" t="s">
        <v>126</v>
      </c>
      <c r="C41" s="107">
        <v>-1.2</v>
      </c>
      <c r="D41" s="38">
        <v>124.6</v>
      </c>
      <c r="E41" s="38">
        <v>118.3</v>
      </c>
      <c r="F41" s="11">
        <f t="shared" si="36"/>
        <v>94.9438202247191</v>
      </c>
      <c r="G41" s="38">
        <v>134.7</v>
      </c>
      <c r="H41" s="38">
        <v>139.9</v>
      </c>
      <c r="I41" s="11">
        <f t="shared" si="1"/>
        <v>103.8604305864885</v>
      </c>
      <c r="J41" s="38">
        <v>104</v>
      </c>
      <c r="K41" s="38">
        <v>104.5</v>
      </c>
      <c r="L41" s="11">
        <f t="shared" si="25"/>
        <v>100.48076923076923</v>
      </c>
      <c r="M41" s="80">
        <f t="shared" si="12"/>
        <v>363.29999999999995</v>
      </c>
      <c r="N41" s="80">
        <f t="shared" si="13"/>
        <v>362.7</v>
      </c>
      <c r="O41" s="11">
        <f t="shared" si="9"/>
        <v>99.83484723369116</v>
      </c>
      <c r="P41" s="38">
        <v>133.9</v>
      </c>
      <c r="Q41" s="38">
        <v>133.2</v>
      </c>
      <c r="R41" s="128">
        <f t="shared" si="26"/>
        <v>99.47722180731888</v>
      </c>
      <c r="S41" s="38">
        <v>128.5</v>
      </c>
      <c r="T41" s="38">
        <v>129.2</v>
      </c>
      <c r="U41" s="128">
        <f t="shared" si="27"/>
        <v>100.54474708171206</v>
      </c>
      <c r="V41" s="38">
        <v>124.1</v>
      </c>
      <c r="W41" s="38">
        <v>123.4</v>
      </c>
      <c r="X41" s="128">
        <f t="shared" si="28"/>
        <v>99.43593875906528</v>
      </c>
      <c r="Y41" s="80">
        <f t="shared" si="29"/>
        <v>386.5</v>
      </c>
      <c r="Z41" s="80">
        <f t="shared" si="30"/>
        <v>385.79999999999995</v>
      </c>
      <c r="AA41" s="11">
        <f t="shared" si="31"/>
        <v>99.8188874514877</v>
      </c>
      <c r="AB41" s="38">
        <v>112.8</v>
      </c>
      <c r="AC41" s="38">
        <v>113.6</v>
      </c>
      <c r="AD41" s="128">
        <f t="shared" si="32"/>
        <v>100.70921985815602</v>
      </c>
      <c r="AE41" s="38">
        <v>99.7</v>
      </c>
      <c r="AF41" s="38">
        <v>100.2</v>
      </c>
      <c r="AG41" s="11">
        <f t="shared" si="33"/>
        <v>100.50150451354062</v>
      </c>
      <c r="AH41" s="38">
        <v>98.9</v>
      </c>
      <c r="AI41" s="38">
        <v>90.3</v>
      </c>
      <c r="AJ41" s="80">
        <f t="shared" si="16"/>
        <v>311.4</v>
      </c>
      <c r="AK41" s="80">
        <f t="shared" si="17"/>
        <v>304.1</v>
      </c>
      <c r="AL41" s="11">
        <f t="shared" si="34"/>
        <v>97.65574823378293</v>
      </c>
      <c r="AM41" s="38">
        <v>120.3</v>
      </c>
      <c r="AN41" s="38">
        <v>128.3</v>
      </c>
      <c r="AO41" s="38">
        <v>111.1</v>
      </c>
      <c r="AP41" s="38">
        <v>93.7</v>
      </c>
      <c r="AQ41" s="38">
        <v>127.8</v>
      </c>
      <c r="AR41" s="38">
        <v>149.2</v>
      </c>
      <c r="AS41" s="65">
        <f t="shared" si="18"/>
        <v>1420.3999999999996</v>
      </c>
      <c r="AT41" s="65">
        <f t="shared" si="19"/>
        <v>1423.8</v>
      </c>
      <c r="AU41" s="11">
        <f t="shared" si="8"/>
        <v>100.23936919177699</v>
      </c>
      <c r="AV41" s="65">
        <f t="shared" si="20"/>
        <v>-3.4000000000003183</v>
      </c>
      <c r="AW41" s="18">
        <f t="shared" si="35"/>
        <v>-4.600000000000364</v>
      </c>
    </row>
    <row r="42" spans="1:49" ht="24.75" customHeight="1">
      <c r="A42" s="13" t="s">
        <v>44</v>
      </c>
      <c r="B42" s="15" t="s">
        <v>118</v>
      </c>
      <c r="C42" s="98">
        <f>1.2-2.1</f>
        <v>-0.9000000000000001</v>
      </c>
      <c r="D42" s="38">
        <f>24+39.1</f>
        <v>63.1</v>
      </c>
      <c r="E42" s="38">
        <f>1+1.3</f>
        <v>2.3</v>
      </c>
      <c r="F42" s="11">
        <f t="shared" si="36"/>
        <v>3.6450079239302693</v>
      </c>
      <c r="G42" s="38">
        <f>28.5+37.5</f>
        <v>66</v>
      </c>
      <c r="H42" s="38">
        <v>26.3</v>
      </c>
      <c r="I42" s="11">
        <f t="shared" si="1"/>
        <v>39.84848484848485</v>
      </c>
      <c r="J42" s="38">
        <f>26.5+34.2</f>
        <v>60.7</v>
      </c>
      <c r="K42" s="38">
        <v>124.4</v>
      </c>
      <c r="L42" s="11">
        <f t="shared" si="25"/>
        <v>204.94233937397036</v>
      </c>
      <c r="M42" s="80">
        <f t="shared" si="12"/>
        <v>189.8</v>
      </c>
      <c r="N42" s="80">
        <f t="shared" si="13"/>
        <v>153</v>
      </c>
      <c r="O42" s="11">
        <f t="shared" si="9"/>
        <v>80.61116965226553</v>
      </c>
      <c r="P42" s="38">
        <f>27.7+36</f>
        <v>63.7</v>
      </c>
      <c r="Q42" s="38">
        <f>28+34</f>
        <v>62</v>
      </c>
      <c r="R42" s="128">
        <f t="shared" si="26"/>
        <v>97.33124018838303</v>
      </c>
      <c r="S42" s="38">
        <f>27.8+34.6</f>
        <v>62.400000000000006</v>
      </c>
      <c r="T42" s="38">
        <f>28.4+35.6</f>
        <v>64</v>
      </c>
      <c r="U42" s="128">
        <f t="shared" si="27"/>
        <v>102.56410256410255</v>
      </c>
      <c r="V42" s="38">
        <f>24.2+31.9</f>
        <v>56.099999999999994</v>
      </c>
      <c r="W42" s="38">
        <f>26.8+35.2</f>
        <v>62</v>
      </c>
      <c r="X42" s="128">
        <f t="shared" si="28"/>
        <v>110.51693404634581</v>
      </c>
      <c r="Y42" s="80">
        <f t="shared" si="29"/>
        <v>182.2</v>
      </c>
      <c r="Z42" s="80">
        <f t="shared" si="30"/>
        <v>188</v>
      </c>
      <c r="AA42" s="11">
        <f t="shared" si="31"/>
        <v>103.18331503841934</v>
      </c>
      <c r="AB42" s="38">
        <f>21.1+31.3</f>
        <v>52.400000000000006</v>
      </c>
      <c r="AC42" s="38">
        <f>21.1+30.8</f>
        <v>51.900000000000006</v>
      </c>
      <c r="AD42" s="128">
        <f t="shared" si="32"/>
        <v>99.04580152671755</v>
      </c>
      <c r="AE42" s="38">
        <f>28+33.4</f>
        <v>61.4</v>
      </c>
      <c r="AF42" s="38">
        <f>24.1+31.4</f>
        <v>55.5</v>
      </c>
      <c r="AG42" s="11">
        <f t="shared" si="33"/>
        <v>90.39087947882737</v>
      </c>
      <c r="AH42" s="38">
        <f>27.9+31.1</f>
        <v>59</v>
      </c>
      <c r="AI42" s="38">
        <f>27.5+31.6</f>
        <v>59.1</v>
      </c>
      <c r="AJ42" s="80">
        <f t="shared" si="16"/>
        <v>172.8</v>
      </c>
      <c r="AK42" s="80">
        <f t="shared" si="17"/>
        <v>166.5</v>
      </c>
      <c r="AL42" s="11">
        <f t="shared" si="34"/>
        <v>96.35416666666666</v>
      </c>
      <c r="AM42" s="38">
        <f>32.7+39.2</f>
        <v>71.9</v>
      </c>
      <c r="AN42" s="38">
        <f>36.5+31.5</f>
        <v>68</v>
      </c>
      <c r="AO42" s="38">
        <f>28.8+31.3</f>
        <v>60.1</v>
      </c>
      <c r="AP42" s="38">
        <f>44.1+38.6</f>
        <v>82.7</v>
      </c>
      <c r="AQ42" s="38">
        <f>33.7+31.6</f>
        <v>65.30000000000001</v>
      </c>
      <c r="AR42" s="38">
        <f>62.9+70.1</f>
        <v>133</v>
      </c>
      <c r="AS42" s="65">
        <f t="shared" si="18"/>
        <v>742.0999999999999</v>
      </c>
      <c r="AT42" s="65">
        <f t="shared" si="19"/>
        <v>791.2</v>
      </c>
      <c r="AU42" s="11">
        <f t="shared" si="8"/>
        <v>106.6163589812694</v>
      </c>
      <c r="AV42" s="65">
        <f t="shared" si="20"/>
        <v>-49.100000000000136</v>
      </c>
      <c r="AW42" s="18">
        <f t="shared" si="35"/>
        <v>-50.000000000000114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-305.3</v>
      </c>
      <c r="D43" s="18">
        <f>SUM(D44:D44)</f>
        <v>2035.4</v>
      </c>
      <c r="E43" s="18">
        <f>SUM(E44:E44)</f>
        <v>213.39999999999998</v>
      </c>
      <c r="F43" s="11">
        <f t="shared" si="36"/>
        <v>10.484425665716811</v>
      </c>
      <c r="G43" s="18">
        <f>SUM(G44:G44)</f>
        <v>2143.5</v>
      </c>
      <c r="H43" s="18">
        <f>SUM(H44:H44)</f>
        <v>2058.1</v>
      </c>
      <c r="I43" s="11">
        <f t="shared" si="1"/>
        <v>96.01586190809424</v>
      </c>
      <c r="J43" s="18">
        <f>SUM(J44:J44)</f>
        <v>2267.7</v>
      </c>
      <c r="K43" s="18">
        <f>SUM(K44:K44)</f>
        <v>2417.7</v>
      </c>
      <c r="L43" s="11">
        <f t="shared" si="25"/>
        <v>106.61463156502182</v>
      </c>
      <c r="M43" s="18">
        <f>SUM(M44:M44)</f>
        <v>6446.599999999999</v>
      </c>
      <c r="N43" s="18">
        <f>SUM(N44:N44)</f>
        <v>4689.2</v>
      </c>
      <c r="O43" s="11">
        <f t="shared" si="9"/>
        <v>72.73911829491514</v>
      </c>
      <c r="P43" s="18">
        <f>SUM(P44:P44)</f>
        <v>2002.8</v>
      </c>
      <c r="Q43" s="18">
        <f>SUM(Q44:Q44)</f>
        <v>2186.6000000000004</v>
      </c>
      <c r="R43" s="11">
        <f t="shared" si="26"/>
        <v>109.17715198721791</v>
      </c>
      <c r="S43" s="18">
        <f>SUM(S44:S44)</f>
        <v>2252.2</v>
      </c>
      <c r="T43" s="18">
        <f>SUM(T44:T44)</f>
        <v>2036.8000000000002</v>
      </c>
      <c r="U43" s="11">
        <f t="shared" si="27"/>
        <v>90.4360181156203</v>
      </c>
      <c r="V43" s="18">
        <f>SUM(V44:V44)</f>
        <v>2247.2</v>
      </c>
      <c r="W43" s="18">
        <f>SUM(W44:W44)</f>
        <v>2381.6000000000004</v>
      </c>
      <c r="X43" s="11">
        <f t="shared" si="28"/>
        <v>105.98077607689571</v>
      </c>
      <c r="Y43" s="18">
        <f>SUM(Y44:Y44)</f>
        <v>6502.2</v>
      </c>
      <c r="Z43" s="18">
        <f>SUM(Z44:Z44)</f>
        <v>6605.000000000001</v>
      </c>
      <c r="AA43" s="11">
        <f t="shared" si="31"/>
        <v>101.5810033527114</v>
      </c>
      <c r="AB43" s="18">
        <f>SUM(AB44:AB44)</f>
        <v>1786.1999999999998</v>
      </c>
      <c r="AC43" s="18">
        <f>SUM(AC44:AC44)</f>
        <v>1545.3</v>
      </c>
      <c r="AD43" s="11">
        <f t="shared" si="32"/>
        <v>86.51326839099765</v>
      </c>
      <c r="AE43" s="18">
        <f>SUM(AE44:AE44)</f>
        <v>1642.2</v>
      </c>
      <c r="AF43" s="18">
        <f>SUM(AF44:AF44)</f>
        <v>2014.7</v>
      </c>
      <c r="AG43" s="11">
        <f t="shared" si="33"/>
        <v>122.68298623797345</v>
      </c>
      <c r="AH43" s="18">
        <f>SUM(AH44:AH44)</f>
        <v>2340.7</v>
      </c>
      <c r="AI43" s="18">
        <f>SUM(AI44:AI44)</f>
        <v>1897.2</v>
      </c>
      <c r="AJ43" s="18">
        <f>SUM(AJ44:AJ44)</f>
        <v>5769.099999999999</v>
      </c>
      <c r="AK43" s="18">
        <f>SUM(AK44:AK44)</f>
        <v>5457.2</v>
      </c>
      <c r="AL43" s="11">
        <f t="shared" si="34"/>
        <v>94.5936107885112</v>
      </c>
      <c r="AM43" s="18">
        <f aca="true" t="shared" si="37" ref="AM43:AR43">SUM(AM44:AM44)</f>
        <v>2397.2</v>
      </c>
      <c r="AN43" s="18">
        <f t="shared" si="37"/>
        <v>2327.9</v>
      </c>
      <c r="AO43" s="18">
        <f t="shared" si="37"/>
        <v>2598.6</v>
      </c>
      <c r="AP43" s="18">
        <f t="shared" si="37"/>
        <v>2512.5</v>
      </c>
      <c r="AQ43" s="18">
        <f t="shared" si="37"/>
        <v>2628.7</v>
      </c>
      <c r="AR43" s="18">
        <f t="shared" si="37"/>
        <v>1570.4</v>
      </c>
      <c r="AS43" s="128">
        <f>AS44</f>
        <v>26342.399999999998</v>
      </c>
      <c r="AT43" s="128">
        <f>AT44</f>
        <v>23162.200000000004</v>
      </c>
      <c r="AU43" s="11">
        <f t="shared" si="8"/>
        <v>87.92744776482023</v>
      </c>
      <c r="AV43" s="18">
        <f>SUM(AV44:AV44)</f>
        <v>3180.1999999999935</v>
      </c>
      <c r="AW43" s="18">
        <f>SUM(AW44:AW44)</f>
        <v>2874.899999999994</v>
      </c>
    </row>
    <row r="44" spans="1:49" s="12" customFormat="1" ht="24.75" customHeight="1">
      <c r="A44" s="8"/>
      <c r="B44" s="41" t="s">
        <v>120</v>
      </c>
      <c r="C44" s="98">
        <f>-37.5+(-267.8)</f>
        <v>-305.3</v>
      </c>
      <c r="D44" s="38">
        <f>817.2+1218.2</f>
        <v>2035.4</v>
      </c>
      <c r="E44" s="38">
        <f>166.6+46.8</f>
        <v>213.39999999999998</v>
      </c>
      <c r="F44" s="11">
        <f t="shared" si="36"/>
        <v>10.484425665716811</v>
      </c>
      <c r="G44" s="38">
        <f>835.4+1308.1</f>
        <v>2143.5</v>
      </c>
      <c r="H44" s="38">
        <f>819+1239.1</f>
        <v>2058.1</v>
      </c>
      <c r="I44" s="11">
        <f t="shared" si="1"/>
        <v>96.01586190809424</v>
      </c>
      <c r="J44" s="38">
        <f>855.7+1412</f>
        <v>2267.7</v>
      </c>
      <c r="K44" s="38">
        <f>1009.8+1407.9</f>
        <v>2417.7</v>
      </c>
      <c r="L44" s="11">
        <f t="shared" si="25"/>
        <v>106.61463156502182</v>
      </c>
      <c r="M44" s="80">
        <f t="shared" si="12"/>
        <v>6446.599999999999</v>
      </c>
      <c r="N44" s="80">
        <f t="shared" si="13"/>
        <v>4689.2</v>
      </c>
      <c r="O44" s="11">
        <f t="shared" si="9"/>
        <v>72.73911829491514</v>
      </c>
      <c r="P44" s="38">
        <f>787+1215.8</f>
        <v>2002.8</v>
      </c>
      <c r="Q44" s="38">
        <f>828.2+1358.4</f>
        <v>2186.6000000000004</v>
      </c>
      <c r="R44" s="11">
        <f>944.5+1563.5</f>
        <v>2508</v>
      </c>
      <c r="S44" s="38">
        <f>837.2+1415</f>
        <v>2252.2</v>
      </c>
      <c r="T44" s="38">
        <f>745.1+1291.7</f>
        <v>2036.8000000000002</v>
      </c>
      <c r="U44" s="11">
        <f>944.5+1563.5</f>
        <v>2508</v>
      </c>
      <c r="V44" s="38">
        <f>846+1401.2</f>
        <v>2247.2</v>
      </c>
      <c r="W44" s="38">
        <f>1051.9+1329.7</f>
        <v>2381.6000000000004</v>
      </c>
      <c r="X44" s="11">
        <f>944.5+1563.5</f>
        <v>2508</v>
      </c>
      <c r="Y44" s="80">
        <f>P44+S44+V44</f>
        <v>6502.2</v>
      </c>
      <c r="Z44" s="80">
        <f>Q44+T44+W44</f>
        <v>6605.000000000001</v>
      </c>
      <c r="AA44" s="11">
        <f t="shared" si="31"/>
        <v>101.5810033527114</v>
      </c>
      <c r="AB44" s="38">
        <f>773.4+1012.8</f>
        <v>1786.1999999999998</v>
      </c>
      <c r="AC44" s="38">
        <f>214.6+1330.7</f>
        <v>1545.3</v>
      </c>
      <c r="AD44" s="11">
        <f>944.5+1563.5</f>
        <v>2508</v>
      </c>
      <c r="AE44" s="38">
        <f>779.1+863.1</f>
        <v>1642.2</v>
      </c>
      <c r="AF44" s="38">
        <f>1050.4+964.3</f>
        <v>2014.7</v>
      </c>
      <c r="AG44" s="11">
        <f>AF44/AE44*100</f>
        <v>122.68298623797345</v>
      </c>
      <c r="AH44" s="38">
        <f>869.2+1471.5</f>
        <v>2340.7</v>
      </c>
      <c r="AI44" s="38">
        <f>919.7+977.5</f>
        <v>1897.2</v>
      </c>
      <c r="AJ44" s="80">
        <f>AB44+AE44+AH44</f>
        <v>5769.099999999999</v>
      </c>
      <c r="AK44" s="80">
        <f>AC44+AF44+AI44</f>
        <v>5457.2</v>
      </c>
      <c r="AL44" s="11">
        <f t="shared" si="34"/>
        <v>94.5936107885112</v>
      </c>
      <c r="AM44" s="38">
        <f>845.8+1551.4</f>
        <v>2397.2</v>
      </c>
      <c r="AN44" s="38">
        <f>842.5+1485.4</f>
        <v>2327.9</v>
      </c>
      <c r="AO44" s="38">
        <f>939.9+1658.7</f>
        <v>2598.6</v>
      </c>
      <c r="AP44" s="38">
        <f>960.9+1551.6</f>
        <v>2512.5</v>
      </c>
      <c r="AQ44" s="38">
        <f>1054.2+1574.5</f>
        <v>2628.7</v>
      </c>
      <c r="AR44" s="38">
        <f>443.6+1126.8</f>
        <v>1570.4</v>
      </c>
      <c r="AS44" s="65">
        <f>M44+Y44+AJ44+AM44+AO44+AQ44</f>
        <v>26342.399999999998</v>
      </c>
      <c r="AT44" s="65">
        <f>N44+Z44+AK44+AN44+AP44+AR44</f>
        <v>23162.200000000004</v>
      </c>
      <c r="AU44" s="11">
        <f t="shared" si="8"/>
        <v>87.92744776482023</v>
      </c>
      <c r="AV44" s="65">
        <f t="shared" si="20"/>
        <v>3180.1999999999935</v>
      </c>
      <c r="AW44" s="18">
        <f>C44+AS44-AT44</f>
        <v>2874.899999999994</v>
      </c>
    </row>
    <row r="45" spans="1:49" ht="30" customHeight="1">
      <c r="A45" s="13"/>
      <c r="B45" s="16" t="s">
        <v>121</v>
      </c>
      <c r="C45" s="76">
        <f>C43+C7</f>
        <v>-485.5999999999999</v>
      </c>
      <c r="D45" s="18">
        <f>D43+D7</f>
        <v>3879.1000000000004</v>
      </c>
      <c r="E45" s="18">
        <f>E43+E7</f>
        <v>1037.6999999999998</v>
      </c>
      <c r="F45" s="11">
        <f>E45/D45*100</f>
        <v>26.75105050140496</v>
      </c>
      <c r="G45" s="18">
        <f>G7+G43</f>
        <v>4600.799999999999</v>
      </c>
      <c r="H45" s="18">
        <f>H7+H43</f>
        <v>4646.6</v>
      </c>
      <c r="I45" s="11">
        <f t="shared" si="1"/>
        <v>100.99547904712227</v>
      </c>
      <c r="J45" s="18">
        <f>J7+J43</f>
        <v>4631.1</v>
      </c>
      <c r="K45" s="18">
        <f>K7+K43</f>
        <v>5027.099999999999</v>
      </c>
      <c r="L45" s="11">
        <f t="shared" si="25"/>
        <v>108.55088423916561</v>
      </c>
      <c r="M45" s="18">
        <f>M7+M43</f>
        <v>13111</v>
      </c>
      <c r="N45" s="18">
        <f>N7+N43</f>
        <v>10711.399999999998</v>
      </c>
      <c r="O45" s="11">
        <f t="shared" si="9"/>
        <v>81.69781099839828</v>
      </c>
      <c r="P45" s="18">
        <f>P7+P43</f>
        <v>4199.599999999999</v>
      </c>
      <c r="Q45" s="18">
        <f>Q7+Q43</f>
        <v>4180.400000000001</v>
      </c>
      <c r="R45" s="11">
        <f>Q45/P45*100</f>
        <v>99.54281360129539</v>
      </c>
      <c r="S45" s="18">
        <f>S7+S43</f>
        <v>4333.5</v>
      </c>
      <c r="T45" s="18">
        <f>T7+T43</f>
        <v>4204.4</v>
      </c>
      <c r="U45" s="11">
        <f>T45/S45*100</f>
        <v>97.02088381216106</v>
      </c>
      <c r="V45" s="18">
        <f>V7+V43</f>
        <v>4311.199999999999</v>
      </c>
      <c r="W45" s="18">
        <f>W7+W43</f>
        <v>4096.3</v>
      </c>
      <c r="X45" s="11">
        <f>W45/V45*100</f>
        <v>95.01530896270182</v>
      </c>
      <c r="Y45" s="18">
        <f>Y7+Y43</f>
        <v>12844.3</v>
      </c>
      <c r="Z45" s="18">
        <f>Z7+Z43</f>
        <v>12481.100000000002</v>
      </c>
      <c r="AA45" s="11">
        <f t="shared" si="31"/>
        <v>97.17228653955453</v>
      </c>
      <c r="AB45" s="18">
        <f>AB7+AB43</f>
        <v>3663.5999999999995</v>
      </c>
      <c r="AC45" s="18">
        <f>AC7+AC43</f>
        <v>3752.2</v>
      </c>
      <c r="AD45" s="11">
        <f>AC45/AB45*100</f>
        <v>102.41838628671253</v>
      </c>
      <c r="AE45" s="18">
        <f>AE43+AE7</f>
        <v>3433.8</v>
      </c>
      <c r="AF45" s="18">
        <f>AF43+AF7</f>
        <v>3834.6000000000004</v>
      </c>
      <c r="AG45" s="11">
        <f>AF45/AE45*100</f>
        <v>111.67219989515988</v>
      </c>
      <c r="AH45" s="18">
        <f>AH43+AH7</f>
        <v>4382.9</v>
      </c>
      <c r="AI45" s="18">
        <f>AI43+AI7</f>
        <v>3876.5000000000005</v>
      </c>
      <c r="AJ45" s="18">
        <f>AJ7+AJ43</f>
        <v>11480.3</v>
      </c>
      <c r="AK45" s="18">
        <f>AK7+AK43</f>
        <v>11463.3</v>
      </c>
      <c r="AL45" s="11">
        <f t="shared" si="34"/>
        <v>99.8519202459866</v>
      </c>
      <c r="AM45" s="18">
        <f aca="true" t="shared" si="38" ref="AM45:AR45">AM43+AM7</f>
        <v>4793.3</v>
      </c>
      <c r="AN45" s="18">
        <f t="shared" si="38"/>
        <v>4757.1</v>
      </c>
      <c r="AO45" s="18">
        <f t="shared" si="38"/>
        <v>4858.099999999999</v>
      </c>
      <c r="AP45" s="18">
        <f t="shared" si="38"/>
        <v>4624.9</v>
      </c>
      <c r="AQ45" s="18">
        <f t="shared" si="38"/>
        <v>5286.9</v>
      </c>
      <c r="AR45" s="18">
        <f t="shared" si="38"/>
        <v>5043.199999999999</v>
      </c>
      <c r="AS45" s="76">
        <f>AS7+AS43</f>
        <v>52373.899999999994</v>
      </c>
      <c r="AT45" s="76">
        <f>AT7+AT43</f>
        <v>49081.00000000001</v>
      </c>
      <c r="AU45" s="11">
        <f>AT45/AS45*100</f>
        <v>93.71270804732895</v>
      </c>
      <c r="AV45" s="18">
        <f>AV7+AV43</f>
        <v>3292.8999999999924</v>
      </c>
      <c r="AW45" s="18">
        <f>AW7+AW43</f>
        <v>2807.2999999999925</v>
      </c>
    </row>
    <row r="46" spans="1:61" ht="27.75" customHeight="1">
      <c r="A46" s="94"/>
      <c r="B46" s="95"/>
      <c r="C46" s="96"/>
      <c r="D46" s="77"/>
      <c r="E46" s="77"/>
      <c r="F46" s="112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112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2" t="s">
        <v>136</v>
      </c>
      <c r="AW47" s="173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63.75" customHeight="1">
      <c r="A51" s="29"/>
      <c r="B51" s="169" t="s">
        <v>137</v>
      </c>
      <c r="C51" s="169"/>
      <c r="D51" s="169"/>
      <c r="E51" s="169"/>
      <c r="F51" s="169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165" t="s">
        <v>133</v>
      </c>
      <c r="B52" s="165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1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18.75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I1:AW1"/>
    <mergeCell ref="B2:AW2"/>
    <mergeCell ref="B3:AW3"/>
    <mergeCell ref="B4:F4"/>
    <mergeCell ref="AS5:AU5"/>
    <mergeCell ref="AV5:AV6"/>
    <mergeCell ref="AM5:AN5"/>
    <mergeCell ref="AJ5:AL5"/>
    <mergeCell ref="S5:U5"/>
    <mergeCell ref="AW5:AW6"/>
    <mergeCell ref="A52:B52"/>
    <mergeCell ref="B51:F51"/>
    <mergeCell ref="D5:F5"/>
    <mergeCell ref="G5:I5"/>
    <mergeCell ref="P5:R5"/>
    <mergeCell ref="J5:L5"/>
    <mergeCell ref="AB5:AD5"/>
    <mergeCell ref="M5:O5"/>
    <mergeCell ref="AH5:AI5"/>
    <mergeCell ref="AV47:AW47"/>
    <mergeCell ref="Y5:AA5"/>
    <mergeCell ref="V5:X5"/>
    <mergeCell ref="AE5:AG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6" zoomScaleNormal="50" zoomScaleSheetLayoutView="76" zoomScalePageLayoutView="0" workbookViewId="0" topLeftCell="A1">
      <pane xSplit="6" ySplit="8" topLeftCell="AK3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40" sqref="C40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51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customWidth="1"/>
    <col min="26" max="26" width="12.375" style="12" customWidth="1"/>
    <col min="27" max="27" width="11.125" style="12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75390625" style="12" hidden="1" customWidth="1"/>
    <col min="35" max="35" width="11.00390625" style="12" hidden="1" customWidth="1"/>
    <col min="36" max="36" width="12.75390625" style="12" customWidth="1"/>
    <col min="37" max="37" width="12.375" style="12" customWidth="1"/>
    <col min="38" max="38" width="11.125" style="12" customWidth="1"/>
    <col min="39" max="39" width="12.75390625" style="12" customWidth="1"/>
    <col min="40" max="40" width="11.00390625" style="12" customWidth="1"/>
    <col min="41" max="41" width="12.75390625" style="12" customWidth="1"/>
    <col min="42" max="42" width="11.00390625" style="12" customWidth="1"/>
    <col min="43" max="43" width="12.75390625" style="12" customWidth="1"/>
    <col min="44" max="44" width="11.00390625" style="12" customWidth="1"/>
    <col min="45" max="46" width="14.75390625" style="2" customWidth="1"/>
    <col min="47" max="47" width="11.125" style="12" customWidth="1"/>
    <col min="48" max="48" width="17.875" style="2" hidden="1" customWidth="1"/>
    <col min="49" max="49" width="18.25390625" style="2" customWidth="1"/>
    <col min="50" max="50" width="13.00390625" style="2" customWidth="1"/>
    <col min="51" max="51" width="11.625" style="2" customWidth="1"/>
    <col min="52" max="16384" width="6.75390625" style="2" customWidth="1"/>
  </cols>
  <sheetData>
    <row r="1" spans="9:49" ht="14.25" customHeight="1">
      <c r="I1" s="162" t="s">
        <v>49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56" customFormat="1" ht="42" customHeight="1">
      <c r="A2" s="163" t="s">
        <v>130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56" customFormat="1" ht="42" customHeight="1">
      <c r="A3" s="55"/>
      <c r="B3" s="163" t="s">
        <v>161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8.75">
      <c r="B4" s="164"/>
      <c r="C4" s="164"/>
      <c r="D4" s="164"/>
      <c r="E4" s="164"/>
      <c r="F4" s="164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58" t="s">
        <v>139</v>
      </c>
      <c r="E5" s="159"/>
      <c r="F5" s="160"/>
      <c r="G5" s="153" t="s">
        <v>140</v>
      </c>
      <c r="H5" s="154"/>
      <c r="I5" s="155"/>
      <c r="J5" s="153" t="s">
        <v>142</v>
      </c>
      <c r="K5" s="154"/>
      <c r="L5" s="155"/>
      <c r="M5" s="153" t="s">
        <v>156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159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160</v>
      </c>
      <c r="AK5" s="154"/>
      <c r="AL5" s="155"/>
      <c r="AM5" s="153" t="s">
        <v>150</v>
      </c>
      <c r="AN5" s="155"/>
      <c r="AO5" s="153" t="s">
        <v>151</v>
      </c>
      <c r="AP5" s="155"/>
      <c r="AQ5" s="153" t="s">
        <v>152</v>
      </c>
      <c r="AR5" s="155"/>
      <c r="AS5" s="158" t="s">
        <v>153</v>
      </c>
      <c r="AT5" s="159"/>
      <c r="AU5" s="160"/>
      <c r="AV5" s="156" t="s">
        <v>155</v>
      </c>
      <c r="AW5" s="156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7"/>
      <c r="AW6" s="157"/>
    </row>
    <row r="7" spans="1:52" s="12" customFormat="1" ht="36" customHeight="1">
      <c r="A7" s="8"/>
      <c r="B7" s="9" t="s">
        <v>88</v>
      </c>
      <c r="C7" s="11">
        <f>SUM(C8:C42)</f>
        <v>-6.200000000000001</v>
      </c>
      <c r="D7" s="11">
        <f>SUM(D8:D42)</f>
        <v>166</v>
      </c>
      <c r="E7" s="11">
        <f>SUM(E8:E42)</f>
        <v>132.2</v>
      </c>
      <c r="F7" s="11">
        <f>E7/D7*100</f>
        <v>79.63855421686746</v>
      </c>
      <c r="G7" s="11">
        <f>SUM(G8:G42)</f>
        <v>221.1</v>
      </c>
      <c r="H7" s="11">
        <f>SUM(H8:H42)</f>
        <v>223.39999999999998</v>
      </c>
      <c r="I7" s="11">
        <f>H7/G7*100</f>
        <v>101.04025327905923</v>
      </c>
      <c r="J7" s="11">
        <f>SUM(J8:J42)</f>
        <v>215.60000000000002</v>
      </c>
      <c r="K7" s="11">
        <f>SUM(K8:K42)</f>
        <v>214.79999999999998</v>
      </c>
      <c r="L7" s="11">
        <f>K7/J7*100</f>
        <v>99.62894248608532</v>
      </c>
      <c r="M7" s="11">
        <f>SUM(M8:M42)</f>
        <v>602.6999999999999</v>
      </c>
      <c r="N7" s="11">
        <f>SUM(N8:N42)</f>
        <v>570.4</v>
      </c>
      <c r="O7" s="11">
        <f>N7/M7*100</f>
        <v>94.64078314252531</v>
      </c>
      <c r="P7" s="11">
        <f>SUM(P8:P42)</f>
        <v>214.9</v>
      </c>
      <c r="Q7" s="11">
        <f>SUM(Q8:Q42)</f>
        <v>225.10000000000002</v>
      </c>
      <c r="R7" s="11">
        <f>Q7/P7*100</f>
        <v>104.74639367147512</v>
      </c>
      <c r="S7" s="11">
        <f>SUM(S8:S42)</f>
        <v>297.59999999999997</v>
      </c>
      <c r="T7" s="11">
        <f>SUM(T8:T42)</f>
        <v>296.70000000000005</v>
      </c>
      <c r="U7" s="11">
        <f>T7/S7*100</f>
        <v>99.69758064516132</v>
      </c>
      <c r="V7" s="11">
        <f>SUM(V8:V42)</f>
        <v>194.69999999999996</v>
      </c>
      <c r="W7" s="11">
        <f>SUM(W8:W42)</f>
        <v>193.6</v>
      </c>
      <c r="X7" s="11">
        <f>W7/V7*100</f>
        <v>99.43502824858759</v>
      </c>
      <c r="Y7" s="11">
        <f>SUM(Y8:Y42)</f>
        <v>707.2</v>
      </c>
      <c r="Z7" s="11">
        <f>SUM(Z8:Z42)</f>
        <v>715.4</v>
      </c>
      <c r="AA7" s="11">
        <f>Z7/Y7*100</f>
        <v>101.15950226244344</v>
      </c>
      <c r="AB7" s="11">
        <f>SUM(AB8:AB42)</f>
        <v>142.90000000000003</v>
      </c>
      <c r="AC7" s="11">
        <f>SUM(AC8:AC42)</f>
        <v>150.70000000000002</v>
      </c>
      <c r="AD7" s="11">
        <f>AC7/AB7*100</f>
        <v>105.45836249125261</v>
      </c>
      <c r="AE7" s="11">
        <f>SUM(AE8:AE42)</f>
        <v>159.29999999999998</v>
      </c>
      <c r="AF7" s="11">
        <f>SUM(AF8:AF42)</f>
        <v>178.79999999999998</v>
      </c>
      <c r="AG7" s="11">
        <f>AF7/AE7*100</f>
        <v>112.24105461393596</v>
      </c>
      <c r="AH7" s="11">
        <f>SUM(AH8:AH42)</f>
        <v>316</v>
      </c>
      <c r="AI7" s="11">
        <f>SUM(AI8:AI42)</f>
        <v>288.90000000000003</v>
      </c>
      <c r="AJ7" s="11">
        <f>SUM(AJ8:AJ42)</f>
        <v>618.1999999999999</v>
      </c>
      <c r="AK7" s="11">
        <f>SUM(AK8:AK42)</f>
        <v>618.4000000000001</v>
      </c>
      <c r="AL7" s="11">
        <f>AK7/AJ7*100</f>
        <v>100.0323519896474</v>
      </c>
      <c r="AM7" s="11">
        <f aca="true" t="shared" si="0" ref="AM7:AT7">SUM(AM8:AM42)</f>
        <v>320</v>
      </c>
      <c r="AN7" s="11">
        <f t="shared" si="0"/>
        <v>297.8</v>
      </c>
      <c r="AO7" s="11">
        <f t="shared" si="0"/>
        <v>387.79999999999995</v>
      </c>
      <c r="AP7" s="11">
        <f t="shared" si="0"/>
        <v>398.70000000000005</v>
      </c>
      <c r="AQ7" s="11">
        <f>SUM(AQ8:AQ42)</f>
        <v>410.3</v>
      </c>
      <c r="AR7" s="11">
        <f>SUM(AR8:AR42)</f>
        <v>462.80000000000007</v>
      </c>
      <c r="AS7" s="60">
        <f t="shared" si="0"/>
        <v>3046.2000000000003</v>
      </c>
      <c r="AT7" s="60">
        <f t="shared" si="0"/>
        <v>3063.5</v>
      </c>
      <c r="AU7" s="11">
        <f>AT7/AS7*100</f>
        <v>100.56792068807037</v>
      </c>
      <c r="AV7" s="60">
        <f>SUM(AV8:AV42)</f>
        <v>-17.299999999999958</v>
      </c>
      <c r="AW7" s="60">
        <f>SUM(AW8:AW42)</f>
        <v>-23.499999999999947</v>
      </c>
      <c r="AX7" s="23">
        <f>M7+Y7+AJ7+AM7</f>
        <v>2248.1</v>
      </c>
      <c r="AY7" s="23">
        <f>N7+Z7+AK7+AN7</f>
        <v>2202</v>
      </c>
      <c r="AZ7" s="42">
        <f>C7+AX7-AY7</f>
        <v>39.90000000000009</v>
      </c>
    </row>
    <row r="8" spans="1:49" ht="24.75" customHeight="1">
      <c r="A8" s="13" t="s">
        <v>12</v>
      </c>
      <c r="B8" s="41" t="s">
        <v>90</v>
      </c>
      <c r="C8" s="14">
        <v>0</v>
      </c>
      <c r="D8" s="38">
        <v>8.2</v>
      </c>
      <c r="E8" s="38">
        <v>6.8</v>
      </c>
      <c r="F8" s="11">
        <f>E8/D8*100</f>
        <v>82.92682926829269</v>
      </c>
      <c r="G8" s="38">
        <v>18.9</v>
      </c>
      <c r="H8" s="38">
        <v>19.6</v>
      </c>
      <c r="I8" s="11">
        <f>H8/G8*100</f>
        <v>103.70370370370372</v>
      </c>
      <c r="J8" s="38">
        <v>18.5</v>
      </c>
      <c r="K8" s="38">
        <v>18.7</v>
      </c>
      <c r="L8" s="11">
        <f>K8/J8*100</f>
        <v>101.08108108108107</v>
      </c>
      <c r="M8" s="80">
        <f>D8+G8+J8</f>
        <v>45.599999999999994</v>
      </c>
      <c r="N8" s="80">
        <f>E8+H8+K8</f>
        <v>45.1</v>
      </c>
      <c r="O8" s="11">
        <f>N8/M8*100</f>
        <v>98.90350877192984</v>
      </c>
      <c r="P8" s="38">
        <v>18.8</v>
      </c>
      <c r="Q8" s="38">
        <v>18.5</v>
      </c>
      <c r="R8" s="11">
        <f>Q8/P8*100</f>
        <v>98.40425531914893</v>
      </c>
      <c r="S8" s="38">
        <v>19.8</v>
      </c>
      <c r="T8" s="38">
        <v>19.5</v>
      </c>
      <c r="U8" s="11">
        <f>T8/S8*100</f>
        <v>98.48484848484848</v>
      </c>
      <c r="V8" s="38">
        <v>7.6</v>
      </c>
      <c r="W8" s="38">
        <v>7.6</v>
      </c>
      <c r="X8" s="11">
        <f>W8/V8*100</f>
        <v>100</v>
      </c>
      <c r="Y8" s="80">
        <f>P8+S8+V8</f>
        <v>46.2</v>
      </c>
      <c r="Z8" s="80">
        <f>Q8+T8+W8</f>
        <v>45.6</v>
      </c>
      <c r="AA8" s="11">
        <f>Z8/Y8*100</f>
        <v>98.7012987012987</v>
      </c>
      <c r="AB8" s="38">
        <v>5</v>
      </c>
      <c r="AC8" s="38">
        <v>5.2</v>
      </c>
      <c r="AD8" s="11">
        <f>AC8/AB8*100</f>
        <v>104</v>
      </c>
      <c r="AE8" s="38">
        <v>5.2</v>
      </c>
      <c r="AF8" s="38">
        <v>5.3</v>
      </c>
      <c r="AG8" s="11">
        <f>AF8/AE8*100</f>
        <v>101.92307692307692</v>
      </c>
      <c r="AH8" s="38">
        <v>22.6</v>
      </c>
      <c r="AI8" s="38">
        <v>22.6</v>
      </c>
      <c r="AJ8" s="80">
        <f>AB8+AE8+AH8</f>
        <v>32.8</v>
      </c>
      <c r="AK8" s="80">
        <f>AC8+AF8+AI8</f>
        <v>33.1</v>
      </c>
      <c r="AL8" s="11">
        <f>AK8/AJ8*100</f>
        <v>100.91463414634147</v>
      </c>
      <c r="AM8" s="38">
        <v>21.1</v>
      </c>
      <c r="AN8" s="38">
        <v>21.2</v>
      </c>
      <c r="AO8" s="38">
        <v>24.9</v>
      </c>
      <c r="AP8" s="38">
        <v>24.9</v>
      </c>
      <c r="AQ8" s="38">
        <v>22.8</v>
      </c>
      <c r="AR8" s="38">
        <v>23.7</v>
      </c>
      <c r="AS8" s="65">
        <f>M8+Y8+AJ8+AM8+AO8+AQ8</f>
        <v>193.4</v>
      </c>
      <c r="AT8" s="65">
        <f>N8+Z8+AK8+AN8+AP8+AR8</f>
        <v>193.6</v>
      </c>
      <c r="AU8" s="11">
        <f>AT8/AS8*100</f>
        <v>100.1034126163392</v>
      </c>
      <c r="AV8" s="65">
        <f>AS8-AT8</f>
        <v>-0.19999999999998863</v>
      </c>
      <c r="AW8" s="18">
        <f>C8+AS8-AT8</f>
        <v>-0.19999999999998863</v>
      </c>
    </row>
    <row r="9" spans="1:49" ht="24.75" customHeight="1">
      <c r="A9" s="13" t="s">
        <v>13</v>
      </c>
      <c r="B9" s="41" t="s">
        <v>91</v>
      </c>
      <c r="C9" s="14">
        <f>-0.1+(-1.4)</f>
        <v>-1.5</v>
      </c>
      <c r="D9" s="38">
        <v>1</v>
      </c>
      <c r="E9" s="38">
        <v>0.5</v>
      </c>
      <c r="F9" s="11">
        <f>E9/D9*100</f>
        <v>50</v>
      </c>
      <c r="G9" s="38">
        <v>1.3</v>
      </c>
      <c r="H9" s="38">
        <v>1</v>
      </c>
      <c r="I9" s="11">
        <f>H9/G9*100</f>
        <v>76.92307692307692</v>
      </c>
      <c r="J9" s="38">
        <v>1.2</v>
      </c>
      <c r="K9" s="38">
        <v>0.9</v>
      </c>
      <c r="L9" s="11">
        <f>K9/J9*100</f>
        <v>75</v>
      </c>
      <c r="M9" s="80">
        <f>D9+G9+J9</f>
        <v>3.5</v>
      </c>
      <c r="N9" s="80">
        <f>E9+H9+K9</f>
        <v>2.4</v>
      </c>
      <c r="O9" s="11">
        <f>N9/M9*100</f>
        <v>68.57142857142857</v>
      </c>
      <c r="P9" s="38">
        <v>1.2</v>
      </c>
      <c r="Q9" s="38">
        <v>0.9</v>
      </c>
      <c r="R9" s="11">
        <f>Q9/P9*100</f>
        <v>75</v>
      </c>
      <c r="S9" s="38">
        <v>1.1</v>
      </c>
      <c r="T9" s="38">
        <v>0.9</v>
      </c>
      <c r="U9" s="11">
        <f>T9/S9*100</f>
        <v>81.81818181818181</v>
      </c>
      <c r="V9" s="38">
        <v>1.1</v>
      </c>
      <c r="W9" s="38">
        <v>0.8</v>
      </c>
      <c r="X9" s="11">
        <f>W9/V9*100</f>
        <v>72.72727272727273</v>
      </c>
      <c r="Y9" s="80">
        <f>P9+S9+V9</f>
        <v>3.4</v>
      </c>
      <c r="Z9" s="80">
        <f>Q9+T9+W9</f>
        <v>2.6</v>
      </c>
      <c r="AA9" s="11">
        <f>Z9/Y9*100</f>
        <v>76.47058823529413</v>
      </c>
      <c r="AB9" s="38">
        <v>1.4</v>
      </c>
      <c r="AC9" s="38">
        <v>2</v>
      </c>
      <c r="AD9" s="11">
        <f>AC9/AB9*100</f>
        <v>142.85714285714286</v>
      </c>
      <c r="AE9" s="38">
        <v>0.2</v>
      </c>
      <c r="AF9" s="38">
        <v>2.2</v>
      </c>
      <c r="AG9" s="11">
        <f>AF9/AE9*100</f>
        <v>1100</v>
      </c>
      <c r="AH9" s="38">
        <v>7</v>
      </c>
      <c r="AI9" s="38">
        <v>1.8</v>
      </c>
      <c r="AJ9" s="80">
        <f>AB9+AE9+AH9</f>
        <v>8.6</v>
      </c>
      <c r="AK9" s="80">
        <f>AC9+AF9+AI9</f>
        <v>6</v>
      </c>
      <c r="AL9" s="11">
        <f>AK9/AJ9*100</f>
        <v>69.76744186046511</v>
      </c>
      <c r="AM9" s="38">
        <v>0.8</v>
      </c>
      <c r="AN9" s="38">
        <v>1.4</v>
      </c>
      <c r="AO9" s="38">
        <v>1</v>
      </c>
      <c r="AP9" s="38">
        <v>1.4</v>
      </c>
      <c r="AQ9" s="38">
        <v>1</v>
      </c>
      <c r="AR9" s="38">
        <v>1.2</v>
      </c>
      <c r="AS9" s="65">
        <f>M9+Y9+AJ9+AM9+AO9+AQ9</f>
        <v>18.3</v>
      </c>
      <c r="AT9" s="65">
        <f>N9+Z9+AK9+AN9+AP9+AR9</f>
        <v>15</v>
      </c>
      <c r="AU9" s="11">
        <f>AT9/AS9*100</f>
        <v>81.9672131147541</v>
      </c>
      <c r="AV9" s="65">
        <f>AS9-AT9</f>
        <v>3.3000000000000007</v>
      </c>
      <c r="AW9" s="18">
        <f>C9+AS9-AT9</f>
        <v>1.8000000000000007</v>
      </c>
    </row>
    <row r="10" spans="1:49" ht="25.5" customHeight="1">
      <c r="A10" s="13" t="s">
        <v>14</v>
      </c>
      <c r="B10" s="15" t="s">
        <v>132</v>
      </c>
      <c r="C10" s="14"/>
      <c r="D10" s="38"/>
      <c r="E10" s="38"/>
      <c r="F10" s="11"/>
      <c r="G10" s="38"/>
      <c r="H10" s="38"/>
      <c r="I10" s="101"/>
      <c r="J10" s="38"/>
      <c r="K10" s="38"/>
      <c r="L10" s="101"/>
      <c r="M10" s="80"/>
      <c r="N10" s="80"/>
      <c r="O10" s="11"/>
      <c r="P10" s="38"/>
      <c r="Q10" s="38"/>
      <c r="R10" s="101"/>
      <c r="S10" s="38"/>
      <c r="T10" s="38"/>
      <c r="U10" s="101"/>
      <c r="V10" s="38"/>
      <c r="W10" s="38"/>
      <c r="X10" s="101"/>
      <c r="Y10" s="80"/>
      <c r="Z10" s="80"/>
      <c r="AA10" s="11"/>
      <c r="AB10" s="38"/>
      <c r="AC10" s="38"/>
      <c r="AD10" s="10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1"/>
      <c r="AV10" s="65"/>
      <c r="AW10" s="18"/>
    </row>
    <row r="11" spans="1:49" ht="24.75" customHeight="1">
      <c r="A11" s="13" t="s">
        <v>15</v>
      </c>
      <c r="B11" s="41" t="s">
        <v>92</v>
      </c>
      <c r="C11" s="14">
        <v>-0.4</v>
      </c>
      <c r="D11" s="38">
        <v>9.7</v>
      </c>
      <c r="E11" s="38">
        <v>0</v>
      </c>
      <c r="F11" s="11">
        <v>0</v>
      </c>
      <c r="G11" s="38">
        <v>11.8</v>
      </c>
      <c r="H11" s="38">
        <v>18.9</v>
      </c>
      <c r="I11" s="11">
        <f>H11/G11*100</f>
        <v>160.1694915254237</v>
      </c>
      <c r="J11" s="38">
        <v>10.2</v>
      </c>
      <c r="K11" s="38">
        <v>11.4</v>
      </c>
      <c r="L11" s="11">
        <f>K11/J11*100</f>
        <v>111.76470588235294</v>
      </c>
      <c r="M11" s="80">
        <f>D11+G11+J11</f>
        <v>31.7</v>
      </c>
      <c r="N11" s="80">
        <f>E11+H11+K11</f>
        <v>30.299999999999997</v>
      </c>
      <c r="O11" s="11">
        <f>N11/M11*100</f>
        <v>95.58359621451103</v>
      </c>
      <c r="P11" s="38">
        <v>10.1</v>
      </c>
      <c r="Q11" s="38">
        <v>10</v>
      </c>
      <c r="R11" s="11">
        <f>Q11/P11*100</f>
        <v>99.00990099009901</v>
      </c>
      <c r="S11" s="38">
        <v>8</v>
      </c>
      <c r="T11" s="38">
        <v>7.6</v>
      </c>
      <c r="U11" s="11">
        <f>T11/S11*100</f>
        <v>95</v>
      </c>
      <c r="V11" s="38">
        <v>6.8</v>
      </c>
      <c r="W11" s="38">
        <v>7.2</v>
      </c>
      <c r="X11" s="11">
        <f>W11/V11*100</f>
        <v>105.88235294117648</v>
      </c>
      <c r="Y11" s="80">
        <f>P11+S11+V11</f>
        <v>24.900000000000002</v>
      </c>
      <c r="Z11" s="80">
        <f>Q11+T11+W11</f>
        <v>24.8</v>
      </c>
      <c r="AA11" s="11">
        <f>Z11/Y11*100</f>
        <v>99.59839357429718</v>
      </c>
      <c r="AB11" s="38">
        <v>6.6</v>
      </c>
      <c r="AC11" s="38">
        <v>7.8</v>
      </c>
      <c r="AD11" s="11">
        <f>AC11/AB11*100</f>
        <v>118.18181818181819</v>
      </c>
      <c r="AE11" s="38">
        <v>6.7</v>
      </c>
      <c r="AF11" s="38">
        <v>6.7</v>
      </c>
      <c r="AG11" s="133">
        <v>0</v>
      </c>
      <c r="AH11" s="38">
        <v>69.9</v>
      </c>
      <c r="AI11" s="38">
        <v>60.3</v>
      </c>
      <c r="AJ11" s="80">
        <f>AB11+AE11+AH11</f>
        <v>83.2</v>
      </c>
      <c r="AK11" s="80">
        <f>AC11+AF11+AI11</f>
        <v>74.8</v>
      </c>
      <c r="AL11" s="11">
        <f>AK11/AJ11*100</f>
        <v>89.90384615384615</v>
      </c>
      <c r="AM11" s="38">
        <v>68.1</v>
      </c>
      <c r="AN11" s="38">
        <v>62.7</v>
      </c>
      <c r="AO11" s="38">
        <v>73.5</v>
      </c>
      <c r="AP11" s="38">
        <v>74.2</v>
      </c>
      <c r="AQ11" s="38">
        <v>64</v>
      </c>
      <c r="AR11" s="38">
        <v>96.7</v>
      </c>
      <c r="AS11" s="65">
        <f>M11+Y11+AJ11+AM11+AO11+AQ11</f>
        <v>345.4</v>
      </c>
      <c r="AT11" s="65">
        <f>N11+Z11+AK11+AN11+AP11+AR11</f>
        <v>363.49999999999994</v>
      </c>
      <c r="AU11" s="11">
        <f>AT11/AS11*100</f>
        <v>105.24030110017371</v>
      </c>
      <c r="AV11" s="65">
        <f>AS11-AT11</f>
        <v>-18.099999999999966</v>
      </c>
      <c r="AW11" s="18">
        <f>C11+AS11-AT11</f>
        <v>-18.499999999999943</v>
      </c>
    </row>
    <row r="12" spans="1:49" ht="24.75" customHeight="1">
      <c r="A12" s="13" t="s">
        <v>16</v>
      </c>
      <c r="B12" s="41" t="s">
        <v>93</v>
      </c>
      <c r="C12" s="14"/>
      <c r="D12" s="38"/>
      <c r="E12" s="38"/>
      <c r="F12" s="11"/>
      <c r="G12" s="38"/>
      <c r="H12" s="38"/>
      <c r="I12" s="11"/>
      <c r="J12" s="38"/>
      <c r="K12" s="38"/>
      <c r="L12" s="11"/>
      <c r="M12" s="80"/>
      <c r="N12" s="80"/>
      <c r="O12" s="11"/>
      <c r="P12" s="38"/>
      <c r="Q12" s="38"/>
      <c r="R12" s="11"/>
      <c r="S12" s="38"/>
      <c r="T12" s="38"/>
      <c r="U12" s="11"/>
      <c r="V12" s="38"/>
      <c r="W12" s="38"/>
      <c r="X12" s="11"/>
      <c r="Y12" s="80"/>
      <c r="Z12" s="80"/>
      <c r="AA12" s="11"/>
      <c r="AB12" s="38"/>
      <c r="AC12" s="38"/>
      <c r="AD12" s="11"/>
      <c r="AE12" s="38"/>
      <c r="AF12" s="38"/>
      <c r="AG12" s="129"/>
      <c r="AH12" s="38"/>
      <c r="AI12" s="38"/>
      <c r="AJ12" s="80"/>
      <c r="AK12" s="80"/>
      <c r="AL12" s="11"/>
      <c r="AM12" s="38"/>
      <c r="AN12" s="38"/>
      <c r="AO12" s="38"/>
      <c r="AP12" s="38"/>
      <c r="AQ12" s="38"/>
      <c r="AR12" s="38"/>
      <c r="AS12" s="65"/>
      <c r="AT12" s="65"/>
      <c r="AU12" s="11"/>
      <c r="AV12" s="65"/>
      <c r="AW12" s="18"/>
    </row>
    <row r="13" spans="1:49" ht="24.75" customHeight="1">
      <c r="A13" s="13" t="s">
        <v>17</v>
      </c>
      <c r="B13" s="41" t="s">
        <v>94</v>
      </c>
      <c r="C13" s="14"/>
      <c r="D13" s="38"/>
      <c r="E13" s="38"/>
      <c r="F13" s="11"/>
      <c r="G13" s="38"/>
      <c r="H13" s="38"/>
      <c r="I13" s="68"/>
      <c r="J13" s="38"/>
      <c r="K13" s="38"/>
      <c r="L13" s="68"/>
      <c r="M13" s="80"/>
      <c r="N13" s="80"/>
      <c r="O13" s="11"/>
      <c r="P13" s="38"/>
      <c r="Q13" s="38"/>
      <c r="R13" s="68"/>
      <c r="S13" s="38"/>
      <c r="T13" s="38"/>
      <c r="U13" s="68"/>
      <c r="V13" s="38"/>
      <c r="W13" s="38"/>
      <c r="X13" s="68"/>
      <c r="Y13" s="80"/>
      <c r="Z13" s="80"/>
      <c r="AA13" s="11"/>
      <c r="AB13" s="38"/>
      <c r="AC13" s="38"/>
      <c r="AD13" s="68"/>
      <c r="AE13" s="38"/>
      <c r="AF13" s="38"/>
      <c r="AG13" s="11"/>
      <c r="AH13" s="38"/>
      <c r="AI13" s="38"/>
      <c r="AJ13" s="80"/>
      <c r="AK13" s="80"/>
      <c r="AL13" s="11"/>
      <c r="AM13" s="38"/>
      <c r="AN13" s="38"/>
      <c r="AO13" s="38"/>
      <c r="AP13" s="38"/>
      <c r="AQ13" s="38"/>
      <c r="AR13" s="38"/>
      <c r="AS13" s="65"/>
      <c r="AT13" s="65"/>
      <c r="AU13" s="11"/>
      <c r="AV13" s="65"/>
      <c r="AW13" s="18"/>
    </row>
    <row r="14" spans="1:49" ht="24.75" customHeight="1">
      <c r="A14" s="13" t="s">
        <v>18</v>
      </c>
      <c r="B14" s="41" t="s">
        <v>95</v>
      </c>
      <c r="C14" s="14">
        <v>-2</v>
      </c>
      <c r="D14" s="38">
        <v>0.8</v>
      </c>
      <c r="E14" s="38">
        <v>0.1</v>
      </c>
      <c r="F14" s="11">
        <v>0</v>
      </c>
      <c r="G14" s="38">
        <v>0.7</v>
      </c>
      <c r="H14" s="38">
        <v>0.8</v>
      </c>
      <c r="I14" s="11">
        <f>H14/G14*100</f>
        <v>114.2857142857143</v>
      </c>
      <c r="J14" s="38">
        <v>1</v>
      </c>
      <c r="K14" s="38">
        <v>0.7</v>
      </c>
      <c r="L14" s="11">
        <f>K14/J14*100</f>
        <v>70</v>
      </c>
      <c r="M14" s="80">
        <f>D14+G14+J14</f>
        <v>2.5</v>
      </c>
      <c r="N14" s="80">
        <f>E14+H14+K14</f>
        <v>1.6</v>
      </c>
      <c r="O14" s="11">
        <f>N14/M14*100</f>
        <v>64</v>
      </c>
      <c r="P14" s="38">
        <v>0.8</v>
      </c>
      <c r="Q14" s="38">
        <v>0.4</v>
      </c>
      <c r="R14" s="11">
        <f>Q14/P14*100</f>
        <v>50</v>
      </c>
      <c r="S14" s="38">
        <v>0.8</v>
      </c>
      <c r="T14" s="38">
        <v>0.6</v>
      </c>
      <c r="U14" s="11">
        <f>T14/S14*100</f>
        <v>74.99999999999999</v>
      </c>
      <c r="V14" s="38">
        <v>0.6</v>
      </c>
      <c r="W14" s="38">
        <v>0.3</v>
      </c>
      <c r="X14" s="11">
        <f>W14/V14*100</f>
        <v>50</v>
      </c>
      <c r="Y14" s="80">
        <f>P14+S14+V14</f>
        <v>2.2</v>
      </c>
      <c r="Z14" s="80">
        <f>Q14+T14+W14</f>
        <v>1.3</v>
      </c>
      <c r="AA14" s="11">
        <f>Z14/Y14*100</f>
        <v>59.09090909090908</v>
      </c>
      <c r="AB14" s="38">
        <v>0.8</v>
      </c>
      <c r="AC14" s="38">
        <v>0.7</v>
      </c>
      <c r="AD14" s="11">
        <f>AC14/AB14*100</f>
        <v>87.49999999999999</v>
      </c>
      <c r="AE14" s="38">
        <v>1.1</v>
      </c>
      <c r="AF14" s="38">
        <v>1.5</v>
      </c>
      <c r="AG14" s="11">
        <f>AF14/AE14*100</f>
        <v>136.36363636363635</v>
      </c>
      <c r="AH14" s="38">
        <v>0.7</v>
      </c>
      <c r="AI14" s="38">
        <v>1.1</v>
      </c>
      <c r="AJ14" s="80">
        <f>AB14+AE14+AH14</f>
        <v>2.6</v>
      </c>
      <c r="AK14" s="80">
        <f>AC14+AF14+AI14</f>
        <v>3.3000000000000003</v>
      </c>
      <c r="AL14" s="11">
        <f>AK14/AJ14*100</f>
        <v>126.92307692307693</v>
      </c>
      <c r="AM14" s="38">
        <v>0.8</v>
      </c>
      <c r="AN14" s="38">
        <v>0.6</v>
      </c>
      <c r="AO14" s="38">
        <v>0.8</v>
      </c>
      <c r="AP14" s="38">
        <v>0.8</v>
      </c>
      <c r="AQ14" s="38">
        <v>1.7</v>
      </c>
      <c r="AR14" s="38">
        <v>1.4</v>
      </c>
      <c r="AS14" s="65">
        <f>M14+Y14+AJ14+AM14+AO14+AQ14</f>
        <v>10.600000000000001</v>
      </c>
      <c r="AT14" s="65">
        <f>N14+Z14+AK14+AN14+AP14+AR14</f>
        <v>9</v>
      </c>
      <c r="AU14" s="11">
        <f>AT14/AS14*100</f>
        <v>84.90566037735849</v>
      </c>
      <c r="AV14" s="65">
        <f>AS14-AT14</f>
        <v>1.6000000000000014</v>
      </c>
      <c r="AW14" s="18">
        <f>C14+AS14-AT14</f>
        <v>-0.3999999999999986</v>
      </c>
    </row>
    <row r="15" spans="1:49" ht="24.75" customHeight="1">
      <c r="A15" s="13" t="s">
        <v>19</v>
      </c>
      <c r="B15" s="41" t="s">
        <v>96</v>
      </c>
      <c r="C15" s="14">
        <v>0.6</v>
      </c>
      <c r="D15" s="38">
        <v>42</v>
      </c>
      <c r="E15" s="38">
        <v>42</v>
      </c>
      <c r="F15" s="11">
        <f>E15/D15*100</f>
        <v>100</v>
      </c>
      <c r="G15" s="38">
        <v>44</v>
      </c>
      <c r="H15" s="38">
        <v>44</v>
      </c>
      <c r="I15" s="68">
        <f>H15/G15*100</f>
        <v>100</v>
      </c>
      <c r="J15" s="38">
        <v>40</v>
      </c>
      <c r="K15" s="38">
        <v>40</v>
      </c>
      <c r="L15" s="68">
        <f>K15/J15*100</f>
        <v>100</v>
      </c>
      <c r="M15" s="80">
        <f>D15+G15+J15</f>
        <v>126</v>
      </c>
      <c r="N15" s="80">
        <f>E15+H15+K15</f>
        <v>126</v>
      </c>
      <c r="O15" s="11">
        <f>N15/M15*100</f>
        <v>100</v>
      </c>
      <c r="P15" s="38">
        <v>43.1</v>
      </c>
      <c r="Q15" s="38">
        <v>43.1</v>
      </c>
      <c r="R15" s="128">
        <f>Q15/P15*100</f>
        <v>100</v>
      </c>
      <c r="S15" s="38">
        <v>41.9</v>
      </c>
      <c r="T15" s="38">
        <v>41.9</v>
      </c>
      <c r="U15" s="128">
        <f>T15/S15*100</f>
        <v>100</v>
      </c>
      <c r="V15" s="38">
        <v>42.9</v>
      </c>
      <c r="W15" s="38">
        <v>42.9</v>
      </c>
      <c r="X15" s="128">
        <f>W15/V15*100</f>
        <v>100</v>
      </c>
      <c r="Y15" s="80">
        <f>P15+S15+V15</f>
        <v>127.9</v>
      </c>
      <c r="Z15" s="80">
        <f>Q15+T15+W15</f>
        <v>127.9</v>
      </c>
      <c r="AA15" s="11">
        <f>Z15/Y15*100</f>
        <v>100</v>
      </c>
      <c r="AB15" s="38">
        <v>32.6</v>
      </c>
      <c r="AC15" s="38">
        <v>32.6</v>
      </c>
      <c r="AD15" s="128">
        <f>AC15/AB15*100</f>
        <v>100</v>
      </c>
      <c r="AE15" s="38">
        <v>34.9</v>
      </c>
      <c r="AF15" s="38">
        <v>34.9</v>
      </c>
      <c r="AG15" s="11">
        <f>AF15/AE15*100</f>
        <v>100</v>
      </c>
      <c r="AH15" s="38">
        <v>43.1</v>
      </c>
      <c r="AI15" s="38">
        <v>43.1</v>
      </c>
      <c r="AJ15" s="80">
        <f>AB15+AE15+AH15</f>
        <v>110.6</v>
      </c>
      <c r="AK15" s="80">
        <f>AC15+AF15+AI15</f>
        <v>110.6</v>
      </c>
      <c r="AL15" s="11">
        <f>AK15/AJ15*100</f>
        <v>100</v>
      </c>
      <c r="AM15" s="38">
        <v>26.3</v>
      </c>
      <c r="AN15" s="38">
        <v>27.5</v>
      </c>
      <c r="AO15" s="38">
        <v>34</v>
      </c>
      <c r="AP15" s="38">
        <v>33.1</v>
      </c>
      <c r="AQ15" s="38">
        <v>43.9</v>
      </c>
      <c r="AR15" s="38">
        <v>44.8</v>
      </c>
      <c r="AS15" s="65">
        <f>M15+Y15+AJ15+AM15+AO15+AQ15</f>
        <v>468.7</v>
      </c>
      <c r="AT15" s="65">
        <f>N15+Z15+AK15+AN15+AP15+AR15</f>
        <v>469.90000000000003</v>
      </c>
      <c r="AU15" s="11">
        <f>AT15/AS15*100</f>
        <v>100.2560273095797</v>
      </c>
      <c r="AV15" s="65">
        <f>AS15-AT15</f>
        <v>-1.2000000000000455</v>
      </c>
      <c r="AW15" s="18">
        <f>C15+AS15-AT15</f>
        <v>-0.6000000000000227</v>
      </c>
    </row>
    <row r="16" spans="1:49" ht="24.75" customHeight="1">
      <c r="A16" s="13" t="s">
        <v>20</v>
      </c>
      <c r="B16" s="41" t="s">
        <v>97</v>
      </c>
      <c r="C16" s="81"/>
      <c r="D16" s="38"/>
      <c r="E16" s="38"/>
      <c r="F16" s="11"/>
      <c r="G16" s="38"/>
      <c r="H16" s="38"/>
      <c r="I16" s="11"/>
      <c r="J16" s="38"/>
      <c r="K16" s="38"/>
      <c r="L16" s="11"/>
      <c r="M16" s="80"/>
      <c r="N16" s="80"/>
      <c r="O16" s="11"/>
      <c r="P16" s="38"/>
      <c r="Q16" s="38"/>
      <c r="R16" s="11"/>
      <c r="S16" s="38"/>
      <c r="T16" s="38"/>
      <c r="U16" s="11"/>
      <c r="V16" s="38"/>
      <c r="W16" s="38"/>
      <c r="X16" s="11"/>
      <c r="Y16" s="80"/>
      <c r="Z16" s="80"/>
      <c r="AA16" s="11"/>
      <c r="AB16" s="38"/>
      <c r="AC16" s="38"/>
      <c r="AD16" s="11"/>
      <c r="AE16" s="38"/>
      <c r="AF16" s="38"/>
      <c r="AG16" s="11"/>
      <c r="AH16" s="38"/>
      <c r="AI16" s="38"/>
      <c r="AJ16" s="80"/>
      <c r="AK16" s="80"/>
      <c r="AL16" s="11"/>
      <c r="AM16" s="38"/>
      <c r="AN16" s="38"/>
      <c r="AO16" s="38"/>
      <c r="AP16" s="38"/>
      <c r="AQ16" s="38"/>
      <c r="AR16" s="38"/>
      <c r="AS16" s="65"/>
      <c r="AT16" s="65"/>
      <c r="AU16" s="11"/>
      <c r="AV16" s="65"/>
      <c r="AW16" s="18"/>
    </row>
    <row r="17" spans="1:49" ht="24.75" customHeight="1">
      <c r="A17" s="13" t="s">
        <v>21</v>
      </c>
      <c r="B17" s="15" t="s">
        <v>98</v>
      </c>
      <c r="C17" s="81"/>
      <c r="D17" s="38"/>
      <c r="E17" s="38"/>
      <c r="F17" s="11"/>
      <c r="G17" s="38"/>
      <c r="H17" s="38"/>
      <c r="I17" s="103"/>
      <c r="J17" s="38"/>
      <c r="K17" s="38"/>
      <c r="L17" s="103"/>
      <c r="M17" s="80"/>
      <c r="N17" s="80"/>
      <c r="O17" s="11"/>
      <c r="P17" s="38"/>
      <c r="Q17" s="38"/>
      <c r="R17" s="103"/>
      <c r="S17" s="38"/>
      <c r="T17" s="38"/>
      <c r="U17" s="103"/>
      <c r="V17" s="38"/>
      <c r="W17" s="38"/>
      <c r="X17" s="103"/>
      <c r="Y17" s="80"/>
      <c r="Z17" s="80"/>
      <c r="AA17" s="11"/>
      <c r="AB17" s="38"/>
      <c r="AC17" s="38"/>
      <c r="AD17" s="103"/>
      <c r="AE17" s="38"/>
      <c r="AF17" s="38"/>
      <c r="AG17" s="11"/>
      <c r="AH17" s="38"/>
      <c r="AI17" s="38"/>
      <c r="AJ17" s="80"/>
      <c r="AK17" s="80"/>
      <c r="AL17" s="11"/>
      <c r="AM17" s="38"/>
      <c r="AN17" s="38"/>
      <c r="AO17" s="38"/>
      <c r="AP17" s="38"/>
      <c r="AQ17" s="38"/>
      <c r="AR17" s="38"/>
      <c r="AS17" s="65"/>
      <c r="AT17" s="65"/>
      <c r="AU17" s="103"/>
      <c r="AV17" s="65"/>
      <c r="AW17" s="18"/>
    </row>
    <row r="18" spans="1:49" ht="24.75" customHeight="1">
      <c r="A18" s="13" t="s">
        <v>22</v>
      </c>
      <c r="B18" s="15" t="s">
        <v>99</v>
      </c>
      <c r="C18" s="14"/>
      <c r="D18" s="38"/>
      <c r="E18" s="38"/>
      <c r="F18" s="11"/>
      <c r="G18" s="38"/>
      <c r="H18" s="38"/>
      <c r="I18" s="103"/>
      <c r="J18" s="38"/>
      <c r="K18" s="38"/>
      <c r="L18" s="103"/>
      <c r="M18" s="80"/>
      <c r="N18" s="80"/>
      <c r="O18" s="11"/>
      <c r="P18" s="38"/>
      <c r="Q18" s="38"/>
      <c r="R18" s="103"/>
      <c r="S18" s="38"/>
      <c r="T18" s="38"/>
      <c r="U18" s="103"/>
      <c r="V18" s="38"/>
      <c r="W18" s="38"/>
      <c r="X18" s="103"/>
      <c r="Y18" s="80"/>
      <c r="Z18" s="80"/>
      <c r="AA18" s="11"/>
      <c r="AB18" s="38"/>
      <c r="AC18" s="38"/>
      <c r="AD18" s="103"/>
      <c r="AE18" s="38"/>
      <c r="AF18" s="38"/>
      <c r="AG18" s="11"/>
      <c r="AH18" s="38"/>
      <c r="AI18" s="38"/>
      <c r="AJ18" s="80"/>
      <c r="AK18" s="80"/>
      <c r="AL18" s="11"/>
      <c r="AM18" s="38"/>
      <c r="AN18" s="38"/>
      <c r="AO18" s="38"/>
      <c r="AP18" s="38"/>
      <c r="AQ18" s="38"/>
      <c r="AR18" s="38"/>
      <c r="AS18" s="65"/>
      <c r="AT18" s="65"/>
      <c r="AU18" s="11"/>
      <c r="AV18" s="65"/>
      <c r="AW18" s="18"/>
    </row>
    <row r="19" spans="1:49" ht="24.75" customHeight="1">
      <c r="A19" s="13" t="s">
        <v>23</v>
      </c>
      <c r="B19" s="41" t="s">
        <v>100</v>
      </c>
      <c r="C19" s="14"/>
      <c r="D19" s="38"/>
      <c r="E19" s="38"/>
      <c r="F19" s="11"/>
      <c r="G19" s="38"/>
      <c r="H19" s="38"/>
      <c r="I19" s="68"/>
      <c r="J19" s="38"/>
      <c r="K19" s="38"/>
      <c r="L19" s="68"/>
      <c r="M19" s="80"/>
      <c r="N19" s="80"/>
      <c r="O19" s="11"/>
      <c r="P19" s="38"/>
      <c r="Q19" s="38"/>
      <c r="R19" s="68"/>
      <c r="S19" s="38"/>
      <c r="T19" s="38"/>
      <c r="U19" s="68"/>
      <c r="V19" s="38"/>
      <c r="W19" s="38"/>
      <c r="X19" s="68"/>
      <c r="Y19" s="80"/>
      <c r="Z19" s="80"/>
      <c r="AA19" s="11"/>
      <c r="AB19" s="38"/>
      <c r="AC19" s="38"/>
      <c r="AD19" s="68"/>
      <c r="AE19" s="38"/>
      <c r="AF19" s="38"/>
      <c r="AG19" s="129"/>
      <c r="AH19" s="38"/>
      <c r="AI19" s="38"/>
      <c r="AJ19" s="80"/>
      <c r="AK19" s="80"/>
      <c r="AL19" s="11"/>
      <c r="AM19" s="38"/>
      <c r="AN19" s="38"/>
      <c r="AO19" s="38"/>
      <c r="AP19" s="38"/>
      <c r="AQ19" s="38"/>
      <c r="AR19" s="38"/>
      <c r="AS19" s="65"/>
      <c r="AT19" s="65"/>
      <c r="AU19" s="11"/>
      <c r="AV19" s="65"/>
      <c r="AW19" s="18"/>
    </row>
    <row r="20" spans="1:49" ht="24.75" customHeight="1">
      <c r="A20" s="13" t="s">
        <v>24</v>
      </c>
      <c r="B20" s="15" t="s">
        <v>101</v>
      </c>
      <c r="C20" s="113"/>
      <c r="D20" s="38"/>
      <c r="E20" s="38"/>
      <c r="F20" s="85"/>
      <c r="G20" s="38"/>
      <c r="H20" s="38"/>
      <c r="I20" s="103"/>
      <c r="J20" s="38"/>
      <c r="K20" s="38"/>
      <c r="L20" s="103"/>
      <c r="M20" s="80"/>
      <c r="N20" s="80"/>
      <c r="O20" s="11"/>
      <c r="P20" s="38"/>
      <c r="Q20" s="38"/>
      <c r="R20" s="103"/>
      <c r="S20" s="38"/>
      <c r="T20" s="38"/>
      <c r="U20" s="103"/>
      <c r="V20" s="38"/>
      <c r="W20" s="38"/>
      <c r="X20" s="103"/>
      <c r="Y20" s="80"/>
      <c r="Z20" s="80"/>
      <c r="AA20" s="11"/>
      <c r="AB20" s="38"/>
      <c r="AC20" s="38"/>
      <c r="AD20" s="103"/>
      <c r="AE20" s="38"/>
      <c r="AF20" s="38"/>
      <c r="AG20" s="11"/>
      <c r="AH20" s="38"/>
      <c r="AI20" s="38"/>
      <c r="AJ20" s="80"/>
      <c r="AK20" s="80"/>
      <c r="AL20" s="11"/>
      <c r="AM20" s="38"/>
      <c r="AN20" s="38"/>
      <c r="AO20" s="38"/>
      <c r="AP20" s="38"/>
      <c r="AQ20" s="38"/>
      <c r="AR20" s="38"/>
      <c r="AS20" s="65"/>
      <c r="AT20" s="65"/>
      <c r="AU20" s="103"/>
      <c r="AV20" s="65"/>
      <c r="AW20" s="18"/>
    </row>
    <row r="21" spans="1:49" ht="24.75" customHeight="1">
      <c r="A21" s="13" t="s">
        <v>25</v>
      </c>
      <c r="B21" s="50" t="s">
        <v>102</v>
      </c>
      <c r="C21" s="71"/>
      <c r="D21" s="38"/>
      <c r="E21" s="38"/>
      <c r="F21" s="85"/>
      <c r="G21" s="38"/>
      <c r="H21" s="38"/>
      <c r="I21" s="103"/>
      <c r="J21" s="38"/>
      <c r="K21" s="38"/>
      <c r="L21" s="103"/>
      <c r="M21" s="80"/>
      <c r="N21" s="80"/>
      <c r="O21" s="11"/>
      <c r="P21" s="38"/>
      <c r="Q21" s="38"/>
      <c r="R21" s="103"/>
      <c r="S21" s="38"/>
      <c r="T21" s="38"/>
      <c r="U21" s="103"/>
      <c r="V21" s="38"/>
      <c r="W21" s="38"/>
      <c r="X21" s="103"/>
      <c r="Y21" s="80"/>
      <c r="Z21" s="80"/>
      <c r="AA21" s="11"/>
      <c r="AB21" s="38"/>
      <c r="AC21" s="38"/>
      <c r="AD21" s="103"/>
      <c r="AE21" s="38"/>
      <c r="AF21" s="38"/>
      <c r="AG21" s="11"/>
      <c r="AH21" s="38"/>
      <c r="AI21" s="38"/>
      <c r="AJ21" s="80"/>
      <c r="AK21" s="80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14"/>
      <c r="D22" s="38"/>
      <c r="E22" s="38"/>
      <c r="F22" s="11"/>
      <c r="G22" s="38"/>
      <c r="H22" s="38"/>
      <c r="I22" s="68"/>
      <c r="J22" s="38"/>
      <c r="K22" s="38"/>
      <c r="L22" s="68"/>
      <c r="M22" s="80"/>
      <c r="N22" s="80"/>
      <c r="O22" s="11"/>
      <c r="P22" s="38"/>
      <c r="Q22" s="38"/>
      <c r="R22" s="68"/>
      <c r="S22" s="38"/>
      <c r="T22" s="38"/>
      <c r="U22" s="68"/>
      <c r="V22" s="38"/>
      <c r="W22" s="38"/>
      <c r="X22" s="68"/>
      <c r="Y22" s="80"/>
      <c r="Z22" s="80"/>
      <c r="AA22" s="11"/>
      <c r="AB22" s="38"/>
      <c r="AC22" s="38"/>
      <c r="AD22" s="68"/>
      <c r="AE22" s="38"/>
      <c r="AF22" s="38"/>
      <c r="AG22" s="130"/>
      <c r="AH22" s="38"/>
      <c r="AI22" s="38"/>
      <c r="AJ22" s="80"/>
      <c r="AK22" s="80"/>
      <c r="AL22" s="11"/>
      <c r="AM22" s="38"/>
      <c r="AN22" s="38"/>
      <c r="AO22" s="38"/>
      <c r="AP22" s="38"/>
      <c r="AQ22" s="38"/>
      <c r="AR22" s="38"/>
      <c r="AS22" s="65"/>
      <c r="AT22" s="65"/>
      <c r="AU22" s="11"/>
      <c r="AV22" s="65"/>
      <c r="AW22" s="18"/>
    </row>
    <row r="23" spans="1:49" ht="24.75" customHeight="1">
      <c r="A23" s="13" t="s">
        <v>27</v>
      </c>
      <c r="B23" s="15" t="s">
        <v>124</v>
      </c>
      <c r="C23" s="14"/>
      <c r="D23" s="38"/>
      <c r="E23" s="38"/>
      <c r="F23" s="11"/>
      <c r="G23" s="38"/>
      <c r="H23" s="38"/>
      <c r="I23" s="11"/>
      <c r="J23" s="38"/>
      <c r="K23" s="38"/>
      <c r="L23" s="11"/>
      <c r="M23" s="80"/>
      <c r="N23" s="80"/>
      <c r="O23" s="11"/>
      <c r="P23" s="38"/>
      <c r="Q23" s="38"/>
      <c r="R23" s="11"/>
      <c r="S23" s="38"/>
      <c r="T23" s="38"/>
      <c r="U23" s="11"/>
      <c r="V23" s="38"/>
      <c r="W23" s="38"/>
      <c r="X23" s="11"/>
      <c r="Y23" s="80"/>
      <c r="Z23" s="80"/>
      <c r="AA23" s="11"/>
      <c r="AB23" s="38"/>
      <c r="AC23" s="38"/>
      <c r="AD23" s="11"/>
      <c r="AE23" s="38"/>
      <c r="AF23" s="38"/>
      <c r="AG23" s="130"/>
      <c r="AH23" s="38"/>
      <c r="AI23" s="38"/>
      <c r="AJ23" s="80"/>
      <c r="AK23" s="80"/>
      <c r="AL23" s="11"/>
      <c r="AM23" s="38"/>
      <c r="AN23" s="38"/>
      <c r="AO23" s="38"/>
      <c r="AP23" s="38"/>
      <c r="AQ23" s="38"/>
      <c r="AR23" s="38"/>
      <c r="AS23" s="65"/>
      <c r="AT23" s="65"/>
      <c r="AU23" s="11"/>
      <c r="AV23" s="65"/>
      <c r="AW23" s="18"/>
    </row>
    <row r="24" spans="1:49" ht="24.75" customHeight="1">
      <c r="A24" s="13" t="s">
        <v>28</v>
      </c>
      <c r="B24" s="15" t="s">
        <v>104</v>
      </c>
      <c r="C24" s="14">
        <v>0</v>
      </c>
      <c r="D24" s="38">
        <v>8.6</v>
      </c>
      <c r="E24" s="38">
        <v>5.5</v>
      </c>
      <c r="F24" s="11">
        <v>0</v>
      </c>
      <c r="G24" s="38">
        <v>13</v>
      </c>
      <c r="H24" s="38">
        <v>16.1</v>
      </c>
      <c r="I24" s="11">
        <f>H24/G24*100</f>
        <v>123.84615384615385</v>
      </c>
      <c r="J24" s="38">
        <v>21.2</v>
      </c>
      <c r="K24" s="38">
        <v>10.8</v>
      </c>
      <c r="L24" s="11">
        <f>K24/J24*100</f>
        <v>50.943396226415096</v>
      </c>
      <c r="M24" s="80">
        <f>D24+G24+J24</f>
        <v>42.8</v>
      </c>
      <c r="N24" s="80">
        <f>E24+H24+K24</f>
        <v>32.400000000000006</v>
      </c>
      <c r="O24" s="11">
        <f>N24/M24*100</f>
        <v>75.70093457943928</v>
      </c>
      <c r="P24" s="38">
        <v>10.6</v>
      </c>
      <c r="Q24" s="38">
        <v>21</v>
      </c>
      <c r="R24" s="11">
        <f>Q24/P24*100</f>
        <v>198.11320754716982</v>
      </c>
      <c r="S24" s="38">
        <v>10.7</v>
      </c>
      <c r="T24" s="38">
        <v>10.8</v>
      </c>
      <c r="U24" s="11">
        <f>T24/S24*100</f>
        <v>100.93457943925235</v>
      </c>
      <c r="V24" s="38">
        <v>11.4</v>
      </c>
      <c r="W24" s="38">
        <v>11.4</v>
      </c>
      <c r="X24" s="11">
        <f>W24/V24*100</f>
        <v>100</v>
      </c>
      <c r="Y24" s="80">
        <f>P24+S24+V24</f>
        <v>32.699999999999996</v>
      </c>
      <c r="Z24" s="80">
        <f>Q24+T24+W24</f>
        <v>43.2</v>
      </c>
      <c r="AA24" s="11">
        <f>Z24/Y24*100</f>
        <v>132.11009174311928</v>
      </c>
      <c r="AB24" s="38">
        <v>9.8</v>
      </c>
      <c r="AC24" s="38">
        <v>9.8</v>
      </c>
      <c r="AD24" s="11">
        <f>AC24/AB24*100</f>
        <v>100</v>
      </c>
      <c r="AE24" s="38">
        <v>0</v>
      </c>
      <c r="AF24" s="38">
        <v>0</v>
      </c>
      <c r="AG24" s="147" t="e">
        <f>AF24/AE24*100</f>
        <v>#DIV/0!</v>
      </c>
      <c r="AH24" s="38">
        <v>13</v>
      </c>
      <c r="AI24" s="38">
        <v>13</v>
      </c>
      <c r="AJ24" s="80">
        <f>AB24+AE24+AH24</f>
        <v>22.8</v>
      </c>
      <c r="AK24" s="80">
        <f>AC24+AF24+AI24</f>
        <v>22.8</v>
      </c>
      <c r="AL24" s="11">
        <f>AK24/AJ24*100</f>
        <v>100</v>
      </c>
      <c r="AM24" s="38">
        <v>16.9</v>
      </c>
      <c r="AN24" s="38">
        <v>16.9</v>
      </c>
      <c r="AO24" s="38">
        <v>17.6</v>
      </c>
      <c r="AP24" s="38">
        <v>17.6</v>
      </c>
      <c r="AQ24" s="38">
        <v>31.3</v>
      </c>
      <c r="AR24" s="38">
        <v>31.3</v>
      </c>
      <c r="AS24" s="65">
        <f>M24+Y24+AJ24+AM24+AO24+AQ24</f>
        <v>164.1</v>
      </c>
      <c r="AT24" s="65">
        <f>N24+Z24+AK24+AN24+AP24+AR24</f>
        <v>164.20000000000002</v>
      </c>
      <c r="AU24" s="11">
        <f>AT24/AS24*100</f>
        <v>100.06093845216333</v>
      </c>
      <c r="AV24" s="65">
        <f>AS24-AT24</f>
        <v>-0.10000000000002274</v>
      </c>
      <c r="AW24" s="18">
        <f>C24+AS24-AT24</f>
        <v>-0.10000000000002274</v>
      </c>
    </row>
    <row r="25" spans="1:49" ht="24.75" customHeight="1">
      <c r="A25" s="13" t="s">
        <v>29</v>
      </c>
      <c r="B25" s="41" t="s">
        <v>105</v>
      </c>
      <c r="C25" s="14"/>
      <c r="D25" s="38"/>
      <c r="E25" s="38"/>
      <c r="F25" s="11"/>
      <c r="G25" s="38"/>
      <c r="H25" s="38"/>
      <c r="I25" s="11"/>
      <c r="J25" s="38"/>
      <c r="K25" s="38"/>
      <c r="L25" s="11"/>
      <c r="M25" s="80"/>
      <c r="N25" s="80"/>
      <c r="O25" s="11"/>
      <c r="P25" s="38"/>
      <c r="Q25" s="38"/>
      <c r="R25" s="11"/>
      <c r="S25" s="38"/>
      <c r="T25" s="38"/>
      <c r="U25" s="11"/>
      <c r="V25" s="38"/>
      <c r="W25" s="38"/>
      <c r="X25" s="11"/>
      <c r="Y25" s="80"/>
      <c r="Z25" s="80"/>
      <c r="AA25" s="11"/>
      <c r="AB25" s="38"/>
      <c r="AC25" s="38"/>
      <c r="AD25" s="11"/>
      <c r="AE25" s="38"/>
      <c r="AF25" s="38"/>
      <c r="AG25" s="101" t="e">
        <f>AF25/AE25*100</f>
        <v>#DIV/0!</v>
      </c>
      <c r="AH25" s="38"/>
      <c r="AI25" s="38"/>
      <c r="AJ25" s="80"/>
      <c r="AK25" s="80"/>
      <c r="AL25" s="11"/>
      <c r="AM25" s="38"/>
      <c r="AN25" s="38"/>
      <c r="AO25" s="38"/>
      <c r="AP25" s="38"/>
      <c r="AQ25" s="38"/>
      <c r="AR25" s="38"/>
      <c r="AS25" s="65"/>
      <c r="AT25" s="65"/>
      <c r="AU25" s="11"/>
      <c r="AV25" s="65"/>
      <c r="AW25" s="18"/>
    </row>
    <row r="26" spans="1:49" ht="24.75" customHeight="1">
      <c r="A26" s="13" t="s">
        <v>30</v>
      </c>
      <c r="B26" s="15" t="s">
        <v>106</v>
      </c>
      <c r="C26" s="14"/>
      <c r="D26" s="38"/>
      <c r="E26" s="38"/>
      <c r="F26" s="11"/>
      <c r="G26" s="38"/>
      <c r="H26" s="38"/>
      <c r="I26" s="11"/>
      <c r="J26" s="38"/>
      <c r="K26" s="38"/>
      <c r="L26" s="11"/>
      <c r="M26" s="80"/>
      <c r="N26" s="80"/>
      <c r="O26" s="11"/>
      <c r="P26" s="38"/>
      <c r="Q26" s="38"/>
      <c r="R26" s="11"/>
      <c r="S26" s="38"/>
      <c r="T26" s="38"/>
      <c r="U26" s="11"/>
      <c r="V26" s="38"/>
      <c r="W26" s="38"/>
      <c r="X26" s="11"/>
      <c r="Y26" s="80"/>
      <c r="Z26" s="80"/>
      <c r="AA26" s="11"/>
      <c r="AB26" s="38"/>
      <c r="AC26" s="38"/>
      <c r="AD26" s="11"/>
      <c r="AE26" s="38"/>
      <c r="AF26" s="38"/>
      <c r="AG26" s="11"/>
      <c r="AH26" s="38"/>
      <c r="AI26" s="38"/>
      <c r="AJ26" s="80"/>
      <c r="AK26" s="80"/>
      <c r="AL26" s="11"/>
      <c r="AM26" s="38"/>
      <c r="AN26" s="38"/>
      <c r="AO26" s="38"/>
      <c r="AP26" s="38"/>
      <c r="AQ26" s="38"/>
      <c r="AR26" s="38"/>
      <c r="AS26" s="65"/>
      <c r="AT26" s="65"/>
      <c r="AU26" s="11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1"/>
      <c r="G27" s="38"/>
      <c r="H27" s="38"/>
      <c r="I27" s="11"/>
      <c r="J27" s="38"/>
      <c r="K27" s="38"/>
      <c r="L27" s="11"/>
      <c r="M27" s="80"/>
      <c r="N27" s="80"/>
      <c r="O27" s="11"/>
      <c r="P27" s="38"/>
      <c r="Q27" s="38"/>
      <c r="R27" s="11"/>
      <c r="S27" s="38"/>
      <c r="T27" s="38"/>
      <c r="U27" s="11"/>
      <c r="V27" s="38"/>
      <c r="W27" s="38"/>
      <c r="X27" s="11"/>
      <c r="Y27" s="80"/>
      <c r="Z27" s="80"/>
      <c r="AA27" s="11"/>
      <c r="AB27" s="38"/>
      <c r="AC27" s="38"/>
      <c r="AD27" s="11"/>
      <c r="AE27" s="38"/>
      <c r="AF27" s="38"/>
      <c r="AG27" s="11"/>
      <c r="AH27" s="38"/>
      <c r="AI27" s="38"/>
      <c r="AJ27" s="80"/>
      <c r="AK27" s="80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13">
        <v>0</v>
      </c>
      <c r="D28" s="38">
        <v>1.3</v>
      </c>
      <c r="E28" s="38">
        <v>0.3</v>
      </c>
      <c r="F28" s="85">
        <f>E28/D28*100</f>
        <v>23.076923076923077</v>
      </c>
      <c r="G28" s="38">
        <v>1.9</v>
      </c>
      <c r="H28" s="38">
        <v>1.3</v>
      </c>
      <c r="I28" s="11">
        <f>H28/G28*100</f>
        <v>68.42105263157895</v>
      </c>
      <c r="J28" s="38">
        <v>1.5</v>
      </c>
      <c r="K28" s="38">
        <v>2.1</v>
      </c>
      <c r="L28" s="11">
        <f>K28/J28*100</f>
        <v>140</v>
      </c>
      <c r="M28" s="80">
        <f>D28+G28+J28</f>
        <v>4.7</v>
      </c>
      <c r="N28" s="80">
        <f>E28+H28+K28</f>
        <v>3.7</v>
      </c>
      <c r="O28" s="11">
        <f>N28/M28*100</f>
        <v>78.72340425531915</v>
      </c>
      <c r="P28" s="38">
        <v>1.5</v>
      </c>
      <c r="Q28" s="38">
        <v>1.5</v>
      </c>
      <c r="R28" s="11">
        <f>Q28/P28*100</f>
        <v>100</v>
      </c>
      <c r="S28" s="38">
        <v>62.9</v>
      </c>
      <c r="T28" s="38">
        <v>63.1</v>
      </c>
      <c r="U28" s="11">
        <f>T28/S28*100</f>
        <v>100.31796502384738</v>
      </c>
      <c r="V28" s="38">
        <v>12.1</v>
      </c>
      <c r="W28" s="38">
        <v>11.4</v>
      </c>
      <c r="X28" s="11">
        <f>W28/V28*100</f>
        <v>94.21487603305786</v>
      </c>
      <c r="Y28" s="80">
        <f>P28+S28+V28</f>
        <v>76.5</v>
      </c>
      <c r="Z28" s="80">
        <f>Q28+T28+W28</f>
        <v>76</v>
      </c>
      <c r="AA28" s="11">
        <f>Z28/Y28*100</f>
        <v>99.34640522875817</v>
      </c>
      <c r="AB28" s="38">
        <v>13.4</v>
      </c>
      <c r="AC28" s="38">
        <v>14.2</v>
      </c>
      <c r="AD28" s="11">
        <f>AC28/AB28*100</f>
        <v>105.97014925373134</v>
      </c>
      <c r="AE28" s="38">
        <v>12</v>
      </c>
      <c r="AF28" s="90">
        <v>11.6</v>
      </c>
      <c r="AG28" s="85">
        <f>AF28/AE28*100</f>
        <v>96.66666666666667</v>
      </c>
      <c r="AH28" s="38">
        <v>14.8</v>
      </c>
      <c r="AI28" s="90">
        <v>14.8</v>
      </c>
      <c r="AJ28" s="80">
        <f>AB28+AE28+AH28</f>
        <v>40.2</v>
      </c>
      <c r="AK28" s="80">
        <f>AC28+AF28+AI28</f>
        <v>40.599999999999994</v>
      </c>
      <c r="AL28" s="11">
        <f>AK28/AJ28*100</f>
        <v>100.99502487562187</v>
      </c>
      <c r="AM28" s="38">
        <v>32.9</v>
      </c>
      <c r="AN28" s="90">
        <v>32.9</v>
      </c>
      <c r="AO28" s="38">
        <v>56.8</v>
      </c>
      <c r="AP28" s="90">
        <v>56.8</v>
      </c>
      <c r="AQ28" s="38">
        <v>44.7</v>
      </c>
      <c r="AR28" s="90">
        <v>45.8</v>
      </c>
      <c r="AS28" s="65">
        <f>M28+Y28+AJ28+AM28+AO28+AQ28</f>
        <v>255.8</v>
      </c>
      <c r="AT28" s="65">
        <f>N28+Z28+AK28+AN28+AP28+AR28</f>
        <v>255.8</v>
      </c>
      <c r="AU28" s="11">
        <f>AT28/AS28*100</f>
        <v>100</v>
      </c>
      <c r="AV28" s="65">
        <f>AS28-AT28</f>
        <v>0</v>
      </c>
      <c r="AW28" s="18">
        <f>C28+AS28-AT28</f>
        <v>0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5"/>
      <c r="D30" s="38"/>
      <c r="E30" s="38"/>
      <c r="F30" s="87"/>
      <c r="G30" s="38"/>
      <c r="H30" s="38"/>
      <c r="I30" s="68"/>
      <c r="J30" s="38"/>
      <c r="K30" s="38"/>
      <c r="L30" s="68"/>
      <c r="M30" s="80"/>
      <c r="N30" s="80"/>
      <c r="O30" s="11"/>
      <c r="P30" s="38"/>
      <c r="Q30" s="38"/>
      <c r="R30" s="68"/>
      <c r="S30" s="38"/>
      <c r="T30" s="38"/>
      <c r="U30" s="68"/>
      <c r="V30" s="38"/>
      <c r="W30" s="38"/>
      <c r="X30" s="68"/>
      <c r="Y30" s="80"/>
      <c r="Z30" s="80"/>
      <c r="AA30" s="11"/>
      <c r="AB30" s="38"/>
      <c r="AC30" s="38"/>
      <c r="AD30" s="68"/>
      <c r="AE30" s="38"/>
      <c r="AF30" s="38"/>
      <c r="AG30" s="129"/>
      <c r="AH30" s="38"/>
      <c r="AI30" s="38"/>
      <c r="AJ30" s="80"/>
      <c r="AK30" s="80"/>
      <c r="AL30" s="11"/>
      <c r="AM30" s="38"/>
      <c r="AN30" s="38"/>
      <c r="AO30" s="38"/>
      <c r="AP30" s="38"/>
      <c r="AQ30" s="38"/>
      <c r="AR30" s="38"/>
      <c r="AS30" s="65"/>
      <c r="AT30" s="65"/>
      <c r="AU30" s="11"/>
      <c r="AV30" s="65"/>
      <c r="AW30" s="18"/>
    </row>
    <row r="31" spans="1:49" ht="24.75" customHeight="1">
      <c r="A31" s="13" t="s">
        <v>35</v>
      </c>
      <c r="B31" s="15" t="s">
        <v>111</v>
      </c>
      <c r="C31" s="14">
        <v>0</v>
      </c>
      <c r="D31" s="38">
        <v>3.6</v>
      </c>
      <c r="E31" s="38">
        <v>0</v>
      </c>
      <c r="F31" s="11">
        <v>0</v>
      </c>
      <c r="G31" s="38">
        <v>6.2</v>
      </c>
      <c r="H31" s="38">
        <v>9.8</v>
      </c>
      <c r="I31" s="11">
        <f>H31/G31*100</f>
        <v>158.06451612903228</v>
      </c>
      <c r="J31" s="38">
        <v>4.9</v>
      </c>
      <c r="K31" s="38">
        <v>4.9</v>
      </c>
      <c r="L31" s="11">
        <f>K31/J31*100</f>
        <v>100</v>
      </c>
      <c r="M31" s="80">
        <f aca="true" t="shared" si="1" ref="M31:N36">D31+G31+J31</f>
        <v>14.700000000000001</v>
      </c>
      <c r="N31" s="80">
        <f t="shared" si="1"/>
        <v>14.700000000000001</v>
      </c>
      <c r="O31" s="11">
        <f>N31/M31*100</f>
        <v>100</v>
      </c>
      <c r="P31" s="38">
        <v>5.4</v>
      </c>
      <c r="Q31" s="38">
        <v>5.4</v>
      </c>
      <c r="R31" s="11">
        <f>Q31/P31*100</f>
        <v>100</v>
      </c>
      <c r="S31" s="38">
        <v>4.5</v>
      </c>
      <c r="T31" s="38">
        <v>4.5</v>
      </c>
      <c r="U31" s="11">
        <f>T31/S31*100</f>
        <v>100</v>
      </c>
      <c r="V31" s="38">
        <v>1.5</v>
      </c>
      <c r="W31" s="38">
        <v>1.5</v>
      </c>
      <c r="X31" s="11">
        <f>W31/V31*100</f>
        <v>100</v>
      </c>
      <c r="Y31" s="80">
        <f aca="true" t="shared" si="2" ref="Y31:Z36">P31+S31+V31</f>
        <v>11.4</v>
      </c>
      <c r="Z31" s="80">
        <f t="shared" si="2"/>
        <v>11.4</v>
      </c>
      <c r="AA31" s="11">
        <f>Z31/Y31*100</f>
        <v>100</v>
      </c>
      <c r="AB31" s="38">
        <v>0.3</v>
      </c>
      <c r="AC31" s="38">
        <v>0.3</v>
      </c>
      <c r="AD31" s="11">
        <f>AC31/AB31*100</f>
        <v>100</v>
      </c>
      <c r="AE31" s="38">
        <v>1.2</v>
      </c>
      <c r="AF31" s="38">
        <v>1.2</v>
      </c>
      <c r="AG31" s="129">
        <f aca="true" t="shared" si="3" ref="AG31:AG43">AF31/AE31*100</f>
        <v>100</v>
      </c>
      <c r="AH31" s="38">
        <v>4.8</v>
      </c>
      <c r="AI31" s="38">
        <v>4.8</v>
      </c>
      <c r="AJ31" s="80">
        <f aca="true" t="shared" si="4" ref="AJ31:AK35">AB31+AE31+AH31</f>
        <v>6.3</v>
      </c>
      <c r="AK31" s="80">
        <f t="shared" si="4"/>
        <v>6.3</v>
      </c>
      <c r="AL31" s="11">
        <f>AK31/AJ31*100</f>
        <v>100</v>
      </c>
      <c r="AM31" s="38">
        <v>8.7</v>
      </c>
      <c r="AN31" s="38">
        <v>8.7</v>
      </c>
      <c r="AO31" s="38">
        <v>4.8</v>
      </c>
      <c r="AP31" s="38">
        <v>4.8</v>
      </c>
      <c r="AQ31" s="38">
        <v>7.5</v>
      </c>
      <c r="AR31" s="38">
        <v>7.5</v>
      </c>
      <c r="AS31" s="65">
        <f aca="true" t="shared" si="5" ref="AS31:AT36">M31+Y31+AJ31+AM31+AO31+AQ31</f>
        <v>53.39999999999999</v>
      </c>
      <c r="AT31" s="65">
        <f t="shared" si="5"/>
        <v>53.39999999999999</v>
      </c>
      <c r="AU31" s="11">
        <f>AT31/AS31*100</f>
        <v>100</v>
      </c>
      <c r="AV31" s="65">
        <f>AS31-AT31</f>
        <v>0</v>
      </c>
      <c r="AW31" s="18">
        <f>C31+AS31-AT31</f>
        <v>0</v>
      </c>
    </row>
    <row r="32" spans="1:49" ht="24.75" customHeight="1">
      <c r="A32" s="13" t="s">
        <v>36</v>
      </c>
      <c r="B32" s="15" t="s">
        <v>112</v>
      </c>
      <c r="C32" s="71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41.25" customHeight="1">
      <c r="A33" s="13"/>
      <c r="B33" s="69" t="s">
        <v>158</v>
      </c>
      <c r="C33" s="71">
        <v>-3.7</v>
      </c>
      <c r="D33" s="38">
        <v>2.4</v>
      </c>
      <c r="E33" s="38">
        <v>0</v>
      </c>
      <c r="F33" s="11">
        <f>E33/D33*100</f>
        <v>0</v>
      </c>
      <c r="G33" s="38">
        <v>8.2</v>
      </c>
      <c r="H33" s="38">
        <v>0.6</v>
      </c>
      <c r="I33" s="11">
        <f>H33/G33*100</f>
        <v>7.3170731707317085</v>
      </c>
      <c r="J33" s="38">
        <v>7.6</v>
      </c>
      <c r="K33" s="38">
        <v>7.6</v>
      </c>
      <c r="L33" s="11">
        <f>K33/J33*100</f>
        <v>100</v>
      </c>
      <c r="M33" s="80">
        <f t="shared" si="1"/>
        <v>18.2</v>
      </c>
      <c r="N33" s="80">
        <f t="shared" si="1"/>
        <v>8.2</v>
      </c>
      <c r="O33" s="11">
        <f>N33/M33*100</f>
        <v>45.05494505494505</v>
      </c>
      <c r="P33" s="38">
        <v>9.4</v>
      </c>
      <c r="Q33" s="38">
        <v>13</v>
      </c>
      <c r="R33" s="11">
        <f>Q33/P33*100</f>
        <v>138.29787234042553</v>
      </c>
      <c r="S33" s="38">
        <v>8</v>
      </c>
      <c r="T33" s="38">
        <v>4</v>
      </c>
      <c r="U33" s="11">
        <f>T33/S33*100</f>
        <v>50</v>
      </c>
      <c r="V33" s="38">
        <v>10.1</v>
      </c>
      <c r="W33" s="38">
        <v>8</v>
      </c>
      <c r="X33" s="11">
        <f>W33/V33*100</f>
        <v>79.20792079207921</v>
      </c>
      <c r="Y33" s="80">
        <f t="shared" si="2"/>
        <v>27.5</v>
      </c>
      <c r="Z33" s="80">
        <f t="shared" si="2"/>
        <v>25</v>
      </c>
      <c r="AA33" s="11">
        <f>Z33/Y33*100</f>
        <v>90.9090909090909</v>
      </c>
      <c r="AB33" s="38">
        <v>8.9</v>
      </c>
      <c r="AC33" s="38">
        <v>10.1</v>
      </c>
      <c r="AD33" s="11">
        <f>AC33/AB33*100</f>
        <v>113.48314606741572</v>
      </c>
      <c r="AE33" s="38">
        <v>2.7</v>
      </c>
      <c r="AF33" s="38">
        <v>8.9</v>
      </c>
      <c r="AG33" s="11">
        <f t="shared" si="3"/>
        <v>329.6296296296296</v>
      </c>
      <c r="AH33" s="38">
        <v>2.7</v>
      </c>
      <c r="AI33" s="38">
        <v>6.3</v>
      </c>
      <c r="AJ33" s="80">
        <f t="shared" si="4"/>
        <v>14.3</v>
      </c>
      <c r="AK33" s="80">
        <f t="shared" si="4"/>
        <v>25.3</v>
      </c>
      <c r="AL33" s="11">
        <f>AK33/AJ33*100</f>
        <v>176.9230769230769</v>
      </c>
      <c r="AM33" s="38">
        <v>7.9</v>
      </c>
      <c r="AN33" s="38">
        <v>4.4</v>
      </c>
      <c r="AO33" s="38">
        <v>9.4</v>
      </c>
      <c r="AP33" s="38">
        <v>9.4</v>
      </c>
      <c r="AQ33" s="38">
        <v>19.6</v>
      </c>
      <c r="AR33" s="38">
        <v>23.3</v>
      </c>
      <c r="AS33" s="65">
        <f t="shared" si="5"/>
        <v>96.9</v>
      </c>
      <c r="AT33" s="65">
        <f t="shared" si="5"/>
        <v>95.6</v>
      </c>
      <c r="AU33" s="11">
        <f>AT33/AS33*100</f>
        <v>98.65841073271413</v>
      </c>
      <c r="AV33" s="65">
        <f>AS33-AT33</f>
        <v>1.3000000000000114</v>
      </c>
      <c r="AW33" s="18">
        <f>C33+AS33-AT33</f>
        <v>-2.3999999999999915</v>
      </c>
    </row>
    <row r="34" spans="1:49" ht="24.75" customHeight="1">
      <c r="A34" s="13"/>
      <c r="B34" s="136" t="s">
        <v>157</v>
      </c>
      <c r="C34" s="71">
        <v>0</v>
      </c>
      <c r="D34" s="38"/>
      <c r="E34" s="38"/>
      <c r="F34" s="11"/>
      <c r="G34" s="38"/>
      <c r="H34" s="38"/>
      <c r="I34" s="11"/>
      <c r="J34" s="38"/>
      <c r="K34" s="38"/>
      <c r="L34" s="11"/>
      <c r="M34" s="80"/>
      <c r="N34" s="80"/>
      <c r="O34" s="11"/>
      <c r="P34" s="38"/>
      <c r="Q34" s="38"/>
      <c r="R34" s="11"/>
      <c r="S34" s="38"/>
      <c r="T34" s="38"/>
      <c r="U34" s="11"/>
      <c r="V34" s="38"/>
      <c r="W34" s="38"/>
      <c r="X34" s="11"/>
      <c r="Y34" s="80"/>
      <c r="Z34" s="80"/>
      <c r="AA34" s="11"/>
      <c r="AB34" s="38"/>
      <c r="AC34" s="38"/>
      <c r="AD34" s="11"/>
      <c r="AE34" s="38"/>
      <c r="AF34" s="38"/>
      <c r="AG34" s="11"/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/>
      <c r="AT34" s="65"/>
      <c r="AU34" s="11"/>
      <c r="AV34" s="65"/>
      <c r="AW34" s="18">
        <v>0</v>
      </c>
    </row>
    <row r="35" spans="1:49" ht="24.75" customHeight="1">
      <c r="A35" s="13" t="s">
        <v>37</v>
      </c>
      <c r="B35" s="15" t="s">
        <v>113</v>
      </c>
      <c r="C35" s="71">
        <v>0</v>
      </c>
      <c r="D35" s="37">
        <v>28.7</v>
      </c>
      <c r="E35" s="37">
        <v>28.6</v>
      </c>
      <c r="F35" s="11">
        <f>E35/D35*100</f>
        <v>99.65156794425087</v>
      </c>
      <c r="G35" s="38">
        <v>39.5</v>
      </c>
      <c r="H35" s="38">
        <v>39.5</v>
      </c>
      <c r="I35" s="11">
        <f>H35/G35*100</f>
        <v>100</v>
      </c>
      <c r="J35" s="38">
        <v>48.3</v>
      </c>
      <c r="K35" s="38">
        <v>48.3</v>
      </c>
      <c r="L35" s="11">
        <f>K35/J35*100</f>
        <v>100</v>
      </c>
      <c r="M35" s="80">
        <f t="shared" si="1"/>
        <v>116.5</v>
      </c>
      <c r="N35" s="80">
        <f t="shared" si="1"/>
        <v>116.39999999999999</v>
      </c>
      <c r="O35" s="11">
        <f>N35/M35*100</f>
        <v>99.91416309012875</v>
      </c>
      <c r="P35" s="38">
        <v>45.3</v>
      </c>
      <c r="Q35" s="38">
        <v>45.3</v>
      </c>
      <c r="R35" s="11">
        <f>Q35/P35*100</f>
        <v>100</v>
      </c>
      <c r="S35" s="38">
        <v>53.4</v>
      </c>
      <c r="T35" s="38">
        <v>53.4</v>
      </c>
      <c r="U35" s="11">
        <f>T35/S35*100</f>
        <v>100</v>
      </c>
      <c r="V35" s="38">
        <v>31</v>
      </c>
      <c r="W35" s="38">
        <v>31</v>
      </c>
      <c r="X35" s="11">
        <f>W35/V35*100</f>
        <v>100</v>
      </c>
      <c r="Y35" s="80">
        <f t="shared" si="2"/>
        <v>129.7</v>
      </c>
      <c r="Z35" s="80">
        <f t="shared" si="2"/>
        <v>129.7</v>
      </c>
      <c r="AA35" s="11">
        <f>Z35/Y35*100</f>
        <v>100</v>
      </c>
      <c r="AB35" s="38">
        <v>10.9</v>
      </c>
      <c r="AC35" s="38">
        <v>12.7</v>
      </c>
      <c r="AD35" s="11">
        <f>AC35/AB35*100</f>
        <v>116.51376146788989</v>
      </c>
      <c r="AE35" s="38">
        <v>17.4</v>
      </c>
      <c r="AF35" s="38">
        <v>18.4</v>
      </c>
      <c r="AG35" s="11">
        <f t="shared" si="3"/>
        <v>105.74712643678161</v>
      </c>
      <c r="AH35" s="38">
        <v>66.2</v>
      </c>
      <c r="AI35" s="38">
        <v>63.4</v>
      </c>
      <c r="AJ35" s="80">
        <f t="shared" si="4"/>
        <v>94.5</v>
      </c>
      <c r="AK35" s="80">
        <f t="shared" si="4"/>
        <v>94.5</v>
      </c>
      <c r="AL35" s="11">
        <f>AK35/AJ35*100</f>
        <v>100</v>
      </c>
      <c r="AM35" s="38">
        <v>59.7</v>
      </c>
      <c r="AN35" s="38">
        <v>61</v>
      </c>
      <c r="AO35" s="38">
        <v>86.7</v>
      </c>
      <c r="AP35" s="38">
        <v>86.6</v>
      </c>
      <c r="AQ35" s="38">
        <v>74.7</v>
      </c>
      <c r="AR35" s="38">
        <v>73.6</v>
      </c>
      <c r="AS35" s="65">
        <f t="shared" si="5"/>
        <v>561.8</v>
      </c>
      <c r="AT35" s="65">
        <f t="shared" si="5"/>
        <v>561.8</v>
      </c>
      <c r="AU35" s="11">
        <f>AT35/AS35*100</f>
        <v>100</v>
      </c>
      <c r="AV35" s="65">
        <f>AS35-AT35</f>
        <v>0</v>
      </c>
      <c r="AW35" s="18">
        <f>C35+AS35-AT35</f>
        <v>0</v>
      </c>
    </row>
    <row r="36" spans="1:49" ht="24.75" customHeight="1">
      <c r="A36" s="13" t="s">
        <v>38</v>
      </c>
      <c r="B36" s="41" t="s">
        <v>114</v>
      </c>
      <c r="C36" s="116">
        <v>-0.8</v>
      </c>
      <c r="D36" s="38">
        <v>35.2</v>
      </c>
      <c r="E36" s="38">
        <v>32.9</v>
      </c>
      <c r="F36" s="11">
        <f>E36/D36*100</f>
        <v>93.46590909090908</v>
      </c>
      <c r="G36" s="38">
        <v>29.3</v>
      </c>
      <c r="H36" s="38">
        <v>31.2</v>
      </c>
      <c r="I36" s="68">
        <f>H36/G36*100</f>
        <v>106.48464163822524</v>
      </c>
      <c r="J36" s="38">
        <v>22.6</v>
      </c>
      <c r="K36" s="38">
        <v>23.3</v>
      </c>
      <c r="L36" s="68">
        <f>K36/J36*100</f>
        <v>103.09734513274336</v>
      </c>
      <c r="M36" s="80">
        <f t="shared" si="1"/>
        <v>87.1</v>
      </c>
      <c r="N36" s="80">
        <f t="shared" si="1"/>
        <v>87.39999999999999</v>
      </c>
      <c r="O36" s="11">
        <f>N36/M36*100</f>
        <v>100.34443168771527</v>
      </c>
      <c r="P36" s="38">
        <v>26.3</v>
      </c>
      <c r="Q36" s="38">
        <v>25.9</v>
      </c>
      <c r="R36" s="128">
        <f>Q36/P36*100</f>
        <v>98.47908745247148</v>
      </c>
      <c r="S36" s="38">
        <v>49.6</v>
      </c>
      <c r="T36" s="38">
        <v>49.5</v>
      </c>
      <c r="U36" s="128">
        <f>T36/S36*100</f>
        <v>99.79838709677419</v>
      </c>
      <c r="V36" s="38">
        <v>33.3</v>
      </c>
      <c r="W36" s="38">
        <v>34.4</v>
      </c>
      <c r="X36" s="128">
        <f>W36/V36*100</f>
        <v>103.30330330330331</v>
      </c>
      <c r="Y36" s="80">
        <f t="shared" si="2"/>
        <v>109.2</v>
      </c>
      <c r="Z36" s="80">
        <f t="shared" si="2"/>
        <v>109.80000000000001</v>
      </c>
      <c r="AA36" s="11">
        <f>Z36/Y36*100</f>
        <v>100.54945054945054</v>
      </c>
      <c r="AB36" s="38">
        <v>16.9</v>
      </c>
      <c r="AC36" s="38">
        <v>16.6</v>
      </c>
      <c r="AD36" s="128">
        <f>AC36/AB36*100</f>
        <v>98.22485207100593</v>
      </c>
      <c r="AE36" s="38">
        <v>51.3</v>
      </c>
      <c r="AF36" s="38">
        <v>51.7</v>
      </c>
      <c r="AG36" s="11">
        <f t="shared" si="3"/>
        <v>100.77972709551659</v>
      </c>
      <c r="AH36" s="38">
        <v>35.5</v>
      </c>
      <c r="AI36" s="38">
        <v>35.9</v>
      </c>
      <c r="AJ36" s="80">
        <f>AB36+AE36+AH36</f>
        <v>103.69999999999999</v>
      </c>
      <c r="AK36" s="80">
        <f>AC36+AF36+AI36</f>
        <v>104.20000000000002</v>
      </c>
      <c r="AL36" s="11">
        <f>AK36/AJ36*100</f>
        <v>100.48216007714564</v>
      </c>
      <c r="AM36" s="38">
        <v>35.3</v>
      </c>
      <c r="AN36" s="38">
        <v>34.9</v>
      </c>
      <c r="AO36" s="38">
        <v>35.9</v>
      </c>
      <c r="AP36" s="38">
        <v>35.9</v>
      </c>
      <c r="AQ36" s="38">
        <v>38.7</v>
      </c>
      <c r="AR36" s="38">
        <v>37</v>
      </c>
      <c r="AS36" s="65">
        <f t="shared" si="5"/>
        <v>409.9</v>
      </c>
      <c r="AT36" s="65">
        <f t="shared" si="5"/>
        <v>409.19999999999993</v>
      </c>
      <c r="AU36" s="11">
        <f>AT36/AS36*100</f>
        <v>99.82922664064405</v>
      </c>
      <c r="AV36" s="65">
        <f>AS36-AT36</f>
        <v>0.7000000000000455</v>
      </c>
      <c r="AW36" s="18">
        <f>C36+AS36-AT36</f>
        <v>-0.0999999999999659</v>
      </c>
    </row>
    <row r="37" spans="1:49" ht="24.75" customHeight="1">
      <c r="A37" s="13" t="s">
        <v>39</v>
      </c>
      <c r="B37" s="15" t="s">
        <v>115</v>
      </c>
      <c r="C37" s="14"/>
      <c r="D37" s="38"/>
      <c r="E37" s="38"/>
      <c r="F37" s="11"/>
      <c r="G37" s="38"/>
      <c r="H37" s="38"/>
      <c r="I37" s="11"/>
      <c r="J37" s="38"/>
      <c r="K37" s="38"/>
      <c r="L37" s="11"/>
      <c r="M37" s="80"/>
      <c r="N37" s="80"/>
      <c r="O37" s="11"/>
      <c r="P37" s="38"/>
      <c r="Q37" s="38"/>
      <c r="R37" s="11"/>
      <c r="S37" s="38"/>
      <c r="T37" s="38"/>
      <c r="U37" s="11"/>
      <c r="V37" s="38"/>
      <c r="W37" s="38"/>
      <c r="X37" s="11"/>
      <c r="Y37" s="80"/>
      <c r="Z37" s="80"/>
      <c r="AA37" s="11"/>
      <c r="AB37" s="38"/>
      <c r="AC37" s="38"/>
      <c r="AD37" s="11"/>
      <c r="AE37" s="38"/>
      <c r="AF37" s="38"/>
      <c r="AG37" s="11"/>
      <c r="AH37" s="38"/>
      <c r="AI37" s="38"/>
      <c r="AJ37" s="80"/>
      <c r="AK37" s="80"/>
      <c r="AL37" s="11"/>
      <c r="AM37" s="38"/>
      <c r="AN37" s="38"/>
      <c r="AO37" s="38"/>
      <c r="AP37" s="38"/>
      <c r="AQ37" s="38"/>
      <c r="AR37" s="38"/>
      <c r="AS37" s="65"/>
      <c r="AT37" s="65"/>
      <c r="AU37" s="11"/>
      <c r="AV37" s="65"/>
      <c r="AW37" s="18"/>
    </row>
    <row r="38" spans="1:49" ht="24.75" customHeight="1">
      <c r="A38" s="13" t="s">
        <v>40</v>
      </c>
      <c r="B38" s="15" t="s">
        <v>116</v>
      </c>
      <c r="C38" s="14">
        <v>1.9</v>
      </c>
      <c r="D38" s="38">
        <v>15.7</v>
      </c>
      <c r="E38" s="38">
        <v>15.5</v>
      </c>
      <c r="F38" s="60">
        <f aca="true" t="shared" si="6" ref="F38:F43">E38/D38*100</f>
        <v>98.72611464968153</v>
      </c>
      <c r="G38" s="38">
        <v>35.6</v>
      </c>
      <c r="H38" s="38">
        <v>32</v>
      </c>
      <c r="I38" s="11">
        <f>H38/G38*100</f>
        <v>89.8876404494382</v>
      </c>
      <c r="J38" s="38">
        <v>26.3</v>
      </c>
      <c r="K38" s="38">
        <v>32.5</v>
      </c>
      <c r="L38" s="11">
        <f>K38/J38*100</f>
        <v>123.57414448669202</v>
      </c>
      <c r="M38" s="80">
        <f>D38+G38+J38</f>
        <v>77.6</v>
      </c>
      <c r="N38" s="80">
        <f>E38+H38+K38</f>
        <v>80</v>
      </c>
      <c r="O38" s="11">
        <f>N38/M38*100</f>
        <v>103.09278350515466</v>
      </c>
      <c r="P38" s="38">
        <v>30.8</v>
      </c>
      <c r="Q38" s="38">
        <v>29.5</v>
      </c>
      <c r="R38" s="11">
        <f>Q38/P38*100</f>
        <v>95.77922077922078</v>
      </c>
      <c r="S38" s="38">
        <v>28</v>
      </c>
      <c r="T38" s="38">
        <v>27.8</v>
      </c>
      <c r="U38" s="11">
        <f>T38/S38*100</f>
        <v>99.28571428571429</v>
      </c>
      <c r="V38" s="38">
        <v>26.7</v>
      </c>
      <c r="W38" s="38">
        <v>27.6</v>
      </c>
      <c r="X38" s="11">
        <f>W38/V38*100</f>
        <v>103.37078651685394</v>
      </c>
      <c r="Y38" s="80">
        <f>P38+S38+V38</f>
        <v>85.5</v>
      </c>
      <c r="Z38" s="80">
        <f>Q38+T38+W38</f>
        <v>84.9</v>
      </c>
      <c r="AA38" s="11">
        <f>Z38/Y38*100</f>
        <v>99.2982456140351</v>
      </c>
      <c r="AB38" s="38">
        <v>26.8</v>
      </c>
      <c r="AC38" s="38">
        <v>30.4</v>
      </c>
      <c r="AD38" s="11">
        <f>AC38/AB38*100</f>
        <v>113.43283582089552</v>
      </c>
      <c r="AE38" s="38">
        <v>20.7</v>
      </c>
      <c r="AF38" s="38">
        <v>26.6</v>
      </c>
      <c r="AG38" s="11">
        <f t="shared" si="3"/>
        <v>128.5024154589372</v>
      </c>
      <c r="AH38" s="38">
        <v>24.5</v>
      </c>
      <c r="AI38" s="38">
        <v>19</v>
      </c>
      <c r="AJ38" s="80">
        <f>AB38+AE38+AH38</f>
        <v>72</v>
      </c>
      <c r="AK38" s="80">
        <f>AC38+AF38+AI38</f>
        <v>76</v>
      </c>
      <c r="AL38" s="11">
        <f>AK38/AJ38*100</f>
        <v>105.55555555555556</v>
      </c>
      <c r="AM38" s="38">
        <v>28.5</v>
      </c>
      <c r="AN38" s="38">
        <v>23.6</v>
      </c>
      <c r="AO38" s="38">
        <v>30.2</v>
      </c>
      <c r="AP38" s="38">
        <v>28.6</v>
      </c>
      <c r="AQ38" s="38">
        <v>47.2</v>
      </c>
      <c r="AR38" s="38">
        <v>51.4</v>
      </c>
      <c r="AS38" s="65">
        <f>M38+Y38+AJ38+AM38+AO38+AQ38</f>
        <v>341</v>
      </c>
      <c r="AT38" s="65">
        <f>N38+Z38+AK38+AN38+AP38+AR38</f>
        <v>344.5</v>
      </c>
      <c r="AU38" s="11">
        <f>AT38/AS38*100</f>
        <v>101.02639296187684</v>
      </c>
      <c r="AV38" s="65">
        <f>AS38-AT38</f>
        <v>-3.5</v>
      </c>
      <c r="AW38" s="18">
        <f>C38+AS38-AT38</f>
        <v>-1.6000000000000227</v>
      </c>
    </row>
    <row r="39" spans="1:49" ht="24.75" customHeight="1">
      <c r="A39" s="13" t="s">
        <v>41</v>
      </c>
      <c r="B39" s="15" t="s">
        <v>117</v>
      </c>
      <c r="C39" s="14">
        <f>-4.4-(-4.1)</f>
        <v>-0.3000000000000007</v>
      </c>
      <c r="D39" s="38">
        <v>8.8</v>
      </c>
      <c r="E39" s="38">
        <v>0</v>
      </c>
      <c r="F39" s="11">
        <f t="shared" si="6"/>
        <v>0</v>
      </c>
      <c r="G39" s="38">
        <v>10.7</v>
      </c>
      <c r="H39" s="38">
        <v>8.6</v>
      </c>
      <c r="I39" s="11">
        <f>H39/G39*100</f>
        <v>80.37383177570094</v>
      </c>
      <c r="J39" s="38">
        <v>12.3</v>
      </c>
      <c r="K39" s="38">
        <v>13.6</v>
      </c>
      <c r="L39" s="11">
        <f>K39/J39*100</f>
        <v>110.56910569105689</v>
      </c>
      <c r="M39" s="80">
        <f>D39+G39+J39</f>
        <v>31.8</v>
      </c>
      <c r="N39" s="80">
        <f>E39+H39+K39</f>
        <v>22.2</v>
      </c>
      <c r="O39" s="11">
        <f>N39/M39*100</f>
        <v>69.81132075471697</v>
      </c>
      <c r="P39" s="38">
        <v>11.6</v>
      </c>
      <c r="Q39" s="38">
        <v>10.6</v>
      </c>
      <c r="R39" s="11">
        <f>Q39/P39*100</f>
        <v>91.37931034482759</v>
      </c>
      <c r="S39" s="38">
        <v>8.9</v>
      </c>
      <c r="T39" s="38">
        <v>13.1</v>
      </c>
      <c r="U39" s="11">
        <f>T39/S39*100</f>
        <v>147.19101123595505</v>
      </c>
      <c r="V39" s="38">
        <v>9.6</v>
      </c>
      <c r="W39" s="38">
        <v>9.5</v>
      </c>
      <c r="X39" s="11">
        <f>W39/V39*100</f>
        <v>98.95833333333334</v>
      </c>
      <c r="Y39" s="80">
        <f>P39+S39+V39</f>
        <v>30.1</v>
      </c>
      <c r="Z39" s="80">
        <f>Q39+T39+W39</f>
        <v>33.2</v>
      </c>
      <c r="AA39" s="11">
        <f>Z39/Y39*100</f>
        <v>110.29900332225915</v>
      </c>
      <c r="AB39" s="38">
        <v>9.5</v>
      </c>
      <c r="AC39" s="38">
        <v>8.3</v>
      </c>
      <c r="AD39" s="11">
        <f>AC39/AB39*100</f>
        <v>87.36842105263159</v>
      </c>
      <c r="AE39" s="38">
        <v>5.9</v>
      </c>
      <c r="AF39" s="38">
        <v>9.8</v>
      </c>
      <c r="AG39" s="11">
        <f t="shared" si="3"/>
        <v>166.10169491525423</v>
      </c>
      <c r="AH39" s="38">
        <v>11.2</v>
      </c>
      <c r="AI39" s="38">
        <v>2.8</v>
      </c>
      <c r="AJ39" s="80">
        <f>AB39+AE39+AH39</f>
        <v>26.6</v>
      </c>
      <c r="AK39" s="80">
        <f>AC39+AF39+AI39</f>
        <v>20.900000000000002</v>
      </c>
      <c r="AL39" s="11">
        <f>AK39/AJ39*100</f>
        <v>78.57142857142857</v>
      </c>
      <c r="AM39" s="38">
        <v>13</v>
      </c>
      <c r="AN39" s="38">
        <v>2</v>
      </c>
      <c r="AO39" s="38">
        <v>12.2</v>
      </c>
      <c r="AP39" s="38">
        <v>24.6</v>
      </c>
      <c r="AQ39" s="38">
        <v>13.2</v>
      </c>
      <c r="AR39" s="38">
        <v>25.1</v>
      </c>
      <c r="AS39" s="65">
        <f>M39+Y39+AJ39+AM39+AO39+AQ39</f>
        <v>126.9</v>
      </c>
      <c r="AT39" s="65">
        <f>N39+Z39+AK39+AN39+AP39+AR39</f>
        <v>128</v>
      </c>
      <c r="AU39" s="11">
        <f>AT39/AS39*100</f>
        <v>100.86682427107958</v>
      </c>
      <c r="AV39" s="65">
        <f>AS39-AT39</f>
        <v>-1.0999999999999943</v>
      </c>
      <c r="AW39" s="18">
        <f>C39+AS39-AT39</f>
        <v>-1.3999999999999915</v>
      </c>
    </row>
    <row r="40" spans="1:49" ht="24.75" customHeight="1">
      <c r="A40" s="13" t="s">
        <v>42</v>
      </c>
      <c r="B40" s="15" t="s">
        <v>125</v>
      </c>
      <c r="C40" s="14"/>
      <c r="D40" s="38"/>
      <c r="E40" s="38"/>
      <c r="F40" s="11"/>
      <c r="G40" s="38"/>
      <c r="H40" s="38"/>
      <c r="I40" s="11"/>
      <c r="J40" s="38"/>
      <c r="K40" s="38"/>
      <c r="L40" s="11"/>
      <c r="M40" s="80"/>
      <c r="N40" s="80"/>
      <c r="O40" s="11"/>
      <c r="P40" s="38"/>
      <c r="Q40" s="38"/>
      <c r="R40" s="11"/>
      <c r="S40" s="38"/>
      <c r="T40" s="38"/>
      <c r="U40" s="11"/>
      <c r="V40" s="38"/>
      <c r="W40" s="38"/>
      <c r="X40" s="11"/>
      <c r="Y40" s="80"/>
      <c r="Z40" s="80"/>
      <c r="AA40" s="11"/>
      <c r="AB40" s="38"/>
      <c r="AC40" s="38"/>
      <c r="AD40" s="11"/>
      <c r="AE40" s="38"/>
      <c r="AF40" s="38"/>
      <c r="AG40" s="11"/>
      <c r="AH40" s="38"/>
      <c r="AI40" s="38"/>
      <c r="AJ40" s="80"/>
      <c r="AK40" s="80"/>
      <c r="AL40" s="11"/>
      <c r="AM40" s="38"/>
      <c r="AN40" s="38"/>
      <c r="AO40" s="38"/>
      <c r="AP40" s="38"/>
      <c r="AQ40" s="38"/>
      <c r="AR40" s="38"/>
      <c r="AS40" s="65"/>
      <c r="AT40" s="65"/>
      <c r="AU40" s="11"/>
      <c r="AV40" s="65"/>
      <c r="AW40" s="18"/>
    </row>
    <row r="41" spans="1:49" ht="24.75" customHeight="1">
      <c r="A41" s="13" t="s">
        <v>43</v>
      </c>
      <c r="B41" s="41" t="s">
        <v>126</v>
      </c>
      <c r="C41" s="81"/>
      <c r="D41" s="38"/>
      <c r="E41" s="38"/>
      <c r="F41" s="11"/>
      <c r="G41" s="38"/>
      <c r="H41" s="38"/>
      <c r="I41" s="68"/>
      <c r="J41" s="38"/>
      <c r="K41" s="38"/>
      <c r="L41" s="68"/>
      <c r="M41" s="80"/>
      <c r="N41" s="80"/>
      <c r="O41" s="11"/>
      <c r="P41" s="38"/>
      <c r="Q41" s="38"/>
      <c r="R41" s="68"/>
      <c r="S41" s="38"/>
      <c r="T41" s="38"/>
      <c r="U41" s="68"/>
      <c r="V41" s="38"/>
      <c r="W41" s="38"/>
      <c r="X41" s="68"/>
      <c r="Y41" s="80"/>
      <c r="Z41" s="80"/>
      <c r="AA41" s="11"/>
      <c r="AB41" s="38"/>
      <c r="AC41" s="38"/>
      <c r="AD41" s="68"/>
      <c r="AE41" s="38"/>
      <c r="AF41" s="38"/>
      <c r="AG41" s="11"/>
      <c r="AH41" s="38"/>
      <c r="AI41" s="38"/>
      <c r="AJ41" s="80"/>
      <c r="AK41" s="80"/>
      <c r="AL41" s="11"/>
      <c r="AM41" s="38"/>
      <c r="AN41" s="38"/>
      <c r="AO41" s="38"/>
      <c r="AP41" s="38"/>
      <c r="AQ41" s="38"/>
      <c r="AR41" s="38"/>
      <c r="AS41" s="65"/>
      <c r="AT41" s="65"/>
      <c r="AU41" s="11"/>
      <c r="AV41" s="65"/>
      <c r="AW41" s="18"/>
    </row>
    <row r="42" spans="1:49" ht="24.75" customHeight="1">
      <c r="A42" s="13" t="s">
        <v>44</v>
      </c>
      <c r="B42" s="15" t="s">
        <v>118</v>
      </c>
      <c r="C42" s="14"/>
      <c r="D42" s="38"/>
      <c r="E42" s="38"/>
      <c r="F42" s="103"/>
      <c r="G42" s="38"/>
      <c r="H42" s="38"/>
      <c r="I42" s="103"/>
      <c r="J42" s="38"/>
      <c r="K42" s="38"/>
      <c r="L42" s="103"/>
      <c r="M42" s="80"/>
      <c r="N42" s="80"/>
      <c r="O42" s="11"/>
      <c r="P42" s="38"/>
      <c r="Q42" s="38"/>
      <c r="R42" s="103"/>
      <c r="S42" s="38"/>
      <c r="T42" s="38"/>
      <c r="U42" s="103"/>
      <c r="V42" s="38"/>
      <c r="W42" s="38"/>
      <c r="X42" s="103"/>
      <c r="Y42" s="80"/>
      <c r="Z42" s="80"/>
      <c r="AA42" s="11"/>
      <c r="AB42" s="38"/>
      <c r="AC42" s="38"/>
      <c r="AD42" s="103"/>
      <c r="AE42" s="38"/>
      <c r="AF42" s="38"/>
      <c r="AG42" s="11"/>
      <c r="AH42" s="38"/>
      <c r="AI42" s="38"/>
      <c r="AJ42" s="80"/>
      <c r="AK42" s="80"/>
      <c r="AL42" s="11"/>
      <c r="AM42" s="38"/>
      <c r="AN42" s="38"/>
      <c r="AO42" s="38"/>
      <c r="AP42" s="38"/>
      <c r="AQ42" s="38"/>
      <c r="AR42" s="38"/>
      <c r="AS42" s="65"/>
      <c r="AT42" s="65"/>
      <c r="AU42" s="11"/>
      <c r="AV42" s="65"/>
      <c r="AW42" s="18"/>
    </row>
    <row r="43" spans="1:49" s="12" customFormat="1" ht="24.75" customHeight="1">
      <c r="A43" s="13" t="s">
        <v>45</v>
      </c>
      <c r="B43" s="16" t="s">
        <v>119</v>
      </c>
      <c r="C43" s="18">
        <f>SUM(C44:C44)</f>
        <v>-171.8</v>
      </c>
      <c r="D43" s="18">
        <f>SUM(D44:D44)</f>
        <v>906.1</v>
      </c>
      <c r="E43" s="18">
        <f>SUM(E44:E44)</f>
        <v>215.2</v>
      </c>
      <c r="F43" s="11">
        <f t="shared" si="6"/>
        <v>23.750137953868226</v>
      </c>
      <c r="G43" s="18">
        <f>SUM(G44:G44)</f>
        <v>1010.8</v>
      </c>
      <c r="H43" s="18">
        <f>SUM(H44:H44)</f>
        <v>982.7</v>
      </c>
      <c r="I43" s="11">
        <f>H43/G43*100</f>
        <v>97.22002374356946</v>
      </c>
      <c r="J43" s="18">
        <f>SUM(J44:J44)</f>
        <v>1014</v>
      </c>
      <c r="K43" s="18">
        <f>SUM(K44:K44)</f>
        <v>1233.9</v>
      </c>
      <c r="L43" s="11">
        <f>K43/J43*100</f>
        <v>121.6863905325444</v>
      </c>
      <c r="M43" s="18">
        <f>SUM(M44:M44)</f>
        <v>2930.9</v>
      </c>
      <c r="N43" s="18">
        <f>SUM(N44:N44)</f>
        <v>2431.8</v>
      </c>
      <c r="O43" s="11">
        <f>N43/M43*100</f>
        <v>82.97110102698831</v>
      </c>
      <c r="P43" s="18">
        <f>SUM(P44:P44)</f>
        <v>988.1</v>
      </c>
      <c r="Q43" s="18">
        <f>SUM(Q44:Q44)</f>
        <v>913.5</v>
      </c>
      <c r="R43" s="11">
        <f>Q43/P43*100</f>
        <v>92.4501568667139</v>
      </c>
      <c r="S43" s="18">
        <f>SUM(S44:S44)</f>
        <v>1089</v>
      </c>
      <c r="T43" s="18">
        <f>SUM(T44:T44)</f>
        <v>1012.1</v>
      </c>
      <c r="U43" s="11">
        <f>T43/S43*100</f>
        <v>92.9384756657484</v>
      </c>
      <c r="V43" s="18">
        <f>SUM(V44:V44)</f>
        <v>1093</v>
      </c>
      <c r="W43" s="18">
        <f>SUM(W44:W44)</f>
        <v>1076.9</v>
      </c>
      <c r="X43" s="11">
        <f>W43/V43*100</f>
        <v>98.5269899359561</v>
      </c>
      <c r="Y43" s="18">
        <f>SUM(Y44:Y44)</f>
        <v>3170.1</v>
      </c>
      <c r="Z43" s="18">
        <f>SUM(Z44:Z44)</f>
        <v>3002.5</v>
      </c>
      <c r="AA43" s="11">
        <f>Z43/Y43*100</f>
        <v>94.71310053310621</v>
      </c>
      <c r="AB43" s="18">
        <f>SUM(AB44:AB44)</f>
        <v>990.4</v>
      </c>
      <c r="AC43" s="18">
        <f>SUM(AC44:AC44)</f>
        <v>1033.6</v>
      </c>
      <c r="AD43" s="11">
        <f>AC43/AB43*100</f>
        <v>104.36187399030695</v>
      </c>
      <c r="AE43" s="18">
        <f>SUM(AE44:AE44)</f>
        <v>975</v>
      </c>
      <c r="AF43" s="18">
        <f>SUM(AF44:AF44)</f>
        <v>1112.7</v>
      </c>
      <c r="AG43" s="11">
        <f t="shared" si="3"/>
        <v>114.12307692307692</v>
      </c>
      <c r="AH43" s="18">
        <f>SUM(AH44:AH44)</f>
        <v>1135.5</v>
      </c>
      <c r="AI43" s="18">
        <f>SUM(AI44:AI44)</f>
        <v>817.7</v>
      </c>
      <c r="AJ43" s="18">
        <f>SUM(AJ44:AJ44)</f>
        <v>3100.9</v>
      </c>
      <c r="AK43" s="18">
        <f>SUM(AK44:AK44)</f>
        <v>2964</v>
      </c>
      <c r="AL43" s="11">
        <f>AK43/AJ43*100</f>
        <v>95.58515269760392</v>
      </c>
      <c r="AM43" s="18">
        <f aca="true" t="shared" si="7" ref="AM43:AR43">SUM(AM44:AM44)</f>
        <v>1163.2</v>
      </c>
      <c r="AN43" s="18">
        <f t="shared" si="7"/>
        <v>1079</v>
      </c>
      <c r="AO43" s="18">
        <f t="shared" si="7"/>
        <v>1222.3</v>
      </c>
      <c r="AP43" s="18">
        <f t="shared" si="7"/>
        <v>1374.4</v>
      </c>
      <c r="AQ43" s="18">
        <f t="shared" si="7"/>
        <v>1386.6</v>
      </c>
      <c r="AR43" s="18">
        <f t="shared" si="7"/>
        <v>2681.8</v>
      </c>
      <c r="AS43" s="128">
        <f>AS44</f>
        <v>12974</v>
      </c>
      <c r="AT43" s="128">
        <f>AT44</f>
        <v>13533.5</v>
      </c>
      <c r="AU43" s="11">
        <f>AT43/AS43*100</f>
        <v>104.31247109603822</v>
      </c>
      <c r="AV43" s="18">
        <f>SUM(AV44:AV44)</f>
        <v>-559.5</v>
      </c>
      <c r="AW43" s="18">
        <f>SUM(AW44:AW44)</f>
        <v>-731.2999999999993</v>
      </c>
    </row>
    <row r="44" spans="1:49" s="12" customFormat="1" ht="27.75" customHeight="1">
      <c r="A44" s="8"/>
      <c r="B44" s="41" t="s">
        <v>120</v>
      </c>
      <c r="C44" s="14">
        <v>-171.8</v>
      </c>
      <c r="D44" s="38">
        <v>906.1</v>
      </c>
      <c r="E44" s="38">
        <v>215.2</v>
      </c>
      <c r="F44" s="11">
        <f>E44/D44*100</f>
        <v>23.750137953868226</v>
      </c>
      <c r="G44" s="38">
        <v>1010.8</v>
      </c>
      <c r="H44" s="38">
        <v>982.7</v>
      </c>
      <c r="I44" s="11">
        <f>H44/G44*100</f>
        <v>97.22002374356946</v>
      </c>
      <c r="J44" s="38">
        <v>1014</v>
      </c>
      <c r="K44" s="38">
        <v>1233.9</v>
      </c>
      <c r="L44" s="11">
        <f>K44/J44*100</f>
        <v>121.6863905325444</v>
      </c>
      <c r="M44" s="80">
        <f>D44+G44+J44</f>
        <v>2930.9</v>
      </c>
      <c r="N44" s="80">
        <f>E44+H44+K44</f>
        <v>2431.8</v>
      </c>
      <c r="O44" s="11">
        <f>N44/M44*100</f>
        <v>82.97110102698831</v>
      </c>
      <c r="P44" s="38">
        <v>988.1</v>
      </c>
      <c r="Q44" s="38">
        <v>913.5</v>
      </c>
      <c r="R44" s="11">
        <f>Q44/P44*100</f>
        <v>92.4501568667139</v>
      </c>
      <c r="S44" s="38">
        <v>1089</v>
      </c>
      <c r="T44" s="38">
        <v>1012.1</v>
      </c>
      <c r="U44" s="11">
        <f>T44/S44*100</f>
        <v>92.9384756657484</v>
      </c>
      <c r="V44" s="38">
        <v>1093</v>
      </c>
      <c r="W44" s="38">
        <v>1076.9</v>
      </c>
      <c r="X44" s="11">
        <f>W44/V44*100</f>
        <v>98.5269899359561</v>
      </c>
      <c r="Y44" s="80">
        <f>P44+S44+V44</f>
        <v>3170.1</v>
      </c>
      <c r="Z44" s="80">
        <f>Q44+T44+W44</f>
        <v>3002.5</v>
      </c>
      <c r="AA44" s="11">
        <f>Z44/Y44*100</f>
        <v>94.71310053310621</v>
      </c>
      <c r="AB44" s="38">
        <v>990.4</v>
      </c>
      <c r="AC44" s="38">
        <v>1033.6</v>
      </c>
      <c r="AD44" s="11">
        <f>AC44/AB44*100</f>
        <v>104.36187399030695</v>
      </c>
      <c r="AE44" s="38">
        <v>975</v>
      </c>
      <c r="AF44" s="38">
        <v>1112.7</v>
      </c>
      <c r="AG44" s="11">
        <f>AF44/AE44*100</f>
        <v>114.12307692307692</v>
      </c>
      <c r="AH44" s="38">
        <v>1135.5</v>
      </c>
      <c r="AI44" s="38">
        <v>817.7</v>
      </c>
      <c r="AJ44" s="80">
        <f>AB44+AE44+AH44</f>
        <v>3100.9</v>
      </c>
      <c r="AK44" s="80">
        <f>AC44+AF44+AI44</f>
        <v>2964</v>
      </c>
      <c r="AL44" s="11">
        <f>AK44/AJ44*100</f>
        <v>95.58515269760392</v>
      </c>
      <c r="AM44" s="38">
        <v>1163.2</v>
      </c>
      <c r="AN44" s="38">
        <v>1079</v>
      </c>
      <c r="AO44" s="38">
        <v>1222.3</v>
      </c>
      <c r="AP44" s="38">
        <v>1374.4</v>
      </c>
      <c r="AQ44" s="38">
        <v>1386.6</v>
      </c>
      <c r="AR44" s="38">
        <v>2681.8</v>
      </c>
      <c r="AS44" s="65">
        <f>M44+Y44+AJ44+AM44+AO44+AQ44</f>
        <v>12974</v>
      </c>
      <c r="AT44" s="65">
        <f>N44+Z44+AK44+AN44+AP44+AR44</f>
        <v>13533.5</v>
      </c>
      <c r="AU44" s="11">
        <f>AT44/AS44*100</f>
        <v>104.31247109603822</v>
      </c>
      <c r="AV44" s="65">
        <f>AS44-AT44</f>
        <v>-559.5</v>
      </c>
      <c r="AW44" s="18">
        <f>C44+AS44-AT44</f>
        <v>-731.2999999999993</v>
      </c>
    </row>
    <row r="45" spans="1:49" ht="24.75" customHeight="1">
      <c r="A45" s="13"/>
      <c r="B45" s="16" t="s">
        <v>121</v>
      </c>
      <c r="C45" s="18">
        <f>C43+C7</f>
        <v>-178</v>
      </c>
      <c r="D45" s="18">
        <f>D43+D7</f>
        <v>1072.1</v>
      </c>
      <c r="E45" s="18">
        <f>E43+E7</f>
        <v>347.4</v>
      </c>
      <c r="F45" s="11">
        <f>E45/D45*100</f>
        <v>32.403693685290555</v>
      </c>
      <c r="G45" s="18">
        <f>G7+G43</f>
        <v>1231.8999999999999</v>
      </c>
      <c r="H45" s="18">
        <f>H7+H43</f>
        <v>1206.1</v>
      </c>
      <c r="I45" s="11">
        <f>H45/G45*100</f>
        <v>97.90567416186379</v>
      </c>
      <c r="J45" s="18">
        <f>J7+J43</f>
        <v>1229.6</v>
      </c>
      <c r="K45" s="18">
        <f>K7+K43</f>
        <v>1448.7</v>
      </c>
      <c r="L45" s="11">
        <f>K45/J45*100</f>
        <v>117.8188028627196</v>
      </c>
      <c r="M45" s="18">
        <f>M7+M43</f>
        <v>3533.6</v>
      </c>
      <c r="N45" s="18">
        <f>N7+N43</f>
        <v>3002.2000000000003</v>
      </c>
      <c r="O45" s="11">
        <f>N45/M45*100</f>
        <v>84.96151233869142</v>
      </c>
      <c r="P45" s="18">
        <f>P7+P43</f>
        <v>1203</v>
      </c>
      <c r="Q45" s="18">
        <f>Q7+Q43</f>
        <v>1138.6</v>
      </c>
      <c r="R45" s="11">
        <f>Q45/P45*100</f>
        <v>94.64671654197838</v>
      </c>
      <c r="S45" s="18">
        <f>S7+S43</f>
        <v>1386.6</v>
      </c>
      <c r="T45" s="18">
        <f>T7+T43</f>
        <v>1308.8000000000002</v>
      </c>
      <c r="U45" s="11">
        <f>T45/S45*100</f>
        <v>94.38915332467909</v>
      </c>
      <c r="V45" s="18">
        <f>V7+V43</f>
        <v>1287.7</v>
      </c>
      <c r="W45" s="18">
        <f>W7+W43</f>
        <v>1270.5</v>
      </c>
      <c r="X45" s="11">
        <f>W45/V45*100</f>
        <v>98.66428515958687</v>
      </c>
      <c r="Y45" s="18">
        <f>Y7+Y43</f>
        <v>3877.3</v>
      </c>
      <c r="Z45" s="18">
        <f>Z7+Z43</f>
        <v>3717.9</v>
      </c>
      <c r="AA45" s="11">
        <f>Z45/Y45*100</f>
        <v>95.88889175457147</v>
      </c>
      <c r="AB45" s="18">
        <f>AB7+AB43</f>
        <v>1133.3</v>
      </c>
      <c r="AC45" s="18">
        <f>AC7+AC43</f>
        <v>1184.3</v>
      </c>
      <c r="AD45" s="11">
        <f>AC45/AB45*100</f>
        <v>104.50013235683402</v>
      </c>
      <c r="AE45" s="18">
        <f>AE43+AE7</f>
        <v>1134.3</v>
      </c>
      <c r="AF45" s="18">
        <f>AF43+AF7</f>
        <v>1291.5</v>
      </c>
      <c r="AG45" s="11">
        <f>AF45/AE45*100</f>
        <v>113.85876752181963</v>
      </c>
      <c r="AH45" s="18">
        <f>AH43+AH7</f>
        <v>1451.5</v>
      </c>
      <c r="AI45" s="18">
        <f>AI43+AI7</f>
        <v>1106.6000000000001</v>
      </c>
      <c r="AJ45" s="18">
        <f>AJ7+AJ43</f>
        <v>3719.1</v>
      </c>
      <c r="AK45" s="18">
        <f>AK7+AK43</f>
        <v>3582.4</v>
      </c>
      <c r="AL45" s="11">
        <f>AK45/AJ45*100</f>
        <v>96.32437955419323</v>
      </c>
      <c r="AM45" s="18">
        <f aca="true" t="shared" si="8" ref="AM45:AR45">AM43+AM7</f>
        <v>1483.2</v>
      </c>
      <c r="AN45" s="18">
        <f t="shared" si="8"/>
        <v>1376.8</v>
      </c>
      <c r="AO45" s="18">
        <f t="shared" si="8"/>
        <v>1610.1</v>
      </c>
      <c r="AP45" s="18">
        <f t="shared" si="8"/>
        <v>1773.1000000000001</v>
      </c>
      <c r="AQ45" s="18">
        <f t="shared" si="8"/>
        <v>1796.8999999999999</v>
      </c>
      <c r="AR45" s="18">
        <f t="shared" si="8"/>
        <v>3144.6000000000004</v>
      </c>
      <c r="AS45" s="76">
        <f>AS7+AS43</f>
        <v>16020.2</v>
      </c>
      <c r="AT45" s="76">
        <f>AT7+AT43</f>
        <v>16597</v>
      </c>
      <c r="AU45" s="11">
        <f>AT45/AS45*100</f>
        <v>103.6004544262868</v>
      </c>
      <c r="AV45" s="18">
        <f>AV7+AV43</f>
        <v>-576.8</v>
      </c>
      <c r="AW45" s="18">
        <f>AW7+AW43</f>
        <v>-754.7999999999993</v>
      </c>
    </row>
    <row r="46" spans="1:61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2" t="s">
        <v>136</v>
      </c>
      <c r="AW47" s="173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17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9.5" customHeight="1">
      <c r="A51" s="29"/>
      <c r="B51" s="169" t="s">
        <v>137</v>
      </c>
      <c r="C51" s="169"/>
      <c r="D51" s="169"/>
      <c r="E51" s="169"/>
      <c r="F51" s="169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165" t="s">
        <v>133</v>
      </c>
      <c r="B52" s="165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1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1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A52:B52"/>
    <mergeCell ref="M5:O5"/>
    <mergeCell ref="V5:X5"/>
    <mergeCell ref="AB5:AD5"/>
    <mergeCell ref="AE5:AG5"/>
    <mergeCell ref="Y5:AA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I1:AW1"/>
    <mergeCell ref="B4:F4"/>
    <mergeCell ref="A2:AW2"/>
    <mergeCell ref="AV5:AV6"/>
    <mergeCell ref="AW5:AW6"/>
    <mergeCell ref="J5:L5"/>
    <mergeCell ref="P5:R5"/>
    <mergeCell ref="B3:AW3"/>
    <mergeCell ref="S5:U5"/>
    <mergeCell ref="AQ5:AR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1">
      <pane xSplit="6" ySplit="8" topLeftCell="AK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7" sqref="AS27"/>
    </sheetView>
  </sheetViews>
  <sheetFormatPr defaultColWidth="6.75390625" defaultRowHeight="12.75"/>
  <cols>
    <col min="1" max="1" width="5.625" style="1" customWidth="1"/>
    <col min="2" max="2" width="54.125" style="2" customWidth="1"/>
    <col min="3" max="3" width="17.125" style="9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customWidth="1"/>
    <col min="26" max="26" width="12.375" style="12" customWidth="1"/>
    <col min="27" max="27" width="11.125" style="12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25390625" style="12" hidden="1" customWidth="1"/>
    <col min="35" max="35" width="11.00390625" style="12" hidden="1" customWidth="1"/>
    <col min="36" max="36" width="13.75390625" style="12" customWidth="1"/>
    <col min="37" max="37" width="12.375" style="12" customWidth="1"/>
    <col min="38" max="38" width="11.125" style="12" customWidth="1"/>
    <col min="39" max="39" width="13.125" style="12" customWidth="1"/>
    <col min="40" max="40" width="11.875" style="12" customWidth="1"/>
    <col min="41" max="41" width="13.25390625" style="12" customWidth="1"/>
    <col min="42" max="43" width="12.25390625" style="12" customWidth="1"/>
    <col min="44" max="44" width="12.375" style="12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2.875" style="2" customWidth="1"/>
    <col min="51" max="51" width="12.00390625" style="2" customWidth="1"/>
    <col min="52" max="52" width="9.875" style="2" bestFit="1" customWidth="1"/>
    <col min="53" max="16384" width="6.75390625" style="2" customWidth="1"/>
  </cols>
  <sheetData>
    <row r="1" spans="9:49" ht="19.5" customHeight="1">
      <c r="I1" s="162" t="s">
        <v>49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56" customFormat="1" ht="42" customHeight="1">
      <c r="A2" s="55"/>
      <c r="B2" s="163" t="s">
        <v>131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56" customFormat="1" ht="42" customHeight="1">
      <c r="A3" s="55"/>
      <c r="B3" s="163" t="s">
        <v>161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8.75">
      <c r="B4" s="164"/>
      <c r="C4" s="164"/>
      <c r="D4" s="164"/>
      <c r="E4" s="164"/>
      <c r="F4" s="164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58" t="s">
        <v>139</v>
      </c>
      <c r="E5" s="159"/>
      <c r="F5" s="160"/>
      <c r="G5" s="153" t="s">
        <v>140</v>
      </c>
      <c r="H5" s="154"/>
      <c r="I5" s="155"/>
      <c r="J5" s="153" t="s">
        <v>142</v>
      </c>
      <c r="K5" s="154"/>
      <c r="L5" s="155"/>
      <c r="M5" s="153" t="s">
        <v>156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159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160</v>
      </c>
      <c r="AK5" s="154"/>
      <c r="AL5" s="155"/>
      <c r="AM5" s="153" t="s">
        <v>150</v>
      </c>
      <c r="AN5" s="155"/>
      <c r="AO5" s="153" t="s">
        <v>151</v>
      </c>
      <c r="AP5" s="155"/>
      <c r="AQ5" s="153" t="s">
        <v>152</v>
      </c>
      <c r="AR5" s="155"/>
      <c r="AS5" s="158" t="s">
        <v>153</v>
      </c>
      <c r="AT5" s="159"/>
      <c r="AU5" s="160"/>
      <c r="AV5" s="156" t="s">
        <v>162</v>
      </c>
      <c r="AW5" s="156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7"/>
      <c r="AW6" s="157"/>
    </row>
    <row r="7" spans="1:52" s="12" customFormat="1" ht="36" customHeight="1">
      <c r="A7" s="8"/>
      <c r="B7" s="9" t="s">
        <v>88</v>
      </c>
      <c r="C7" s="60">
        <f>SUM(C8:C42)</f>
        <v>6052.1</v>
      </c>
      <c r="D7" s="11">
        <f>SUM(D8:D42)</f>
        <v>3259.93718</v>
      </c>
      <c r="E7" s="11">
        <f>SUM(E8:E42)</f>
        <v>3117.1761300000003</v>
      </c>
      <c r="F7" s="11">
        <f aca="true" t="shared" si="0" ref="F7:F20">E7/D7*100</f>
        <v>95.62074229908934</v>
      </c>
      <c r="G7" s="11">
        <f>SUM(G8:G42)</f>
        <v>3156.0999999999995</v>
      </c>
      <c r="H7" s="11">
        <f>SUM(H8:H42)</f>
        <v>3772</v>
      </c>
      <c r="I7" s="11">
        <f aca="true" t="shared" si="1" ref="I7:I45">H7/G7*100</f>
        <v>119.51459079243372</v>
      </c>
      <c r="J7" s="11">
        <f>SUM(J8:J42)</f>
        <v>3320.0089999999996</v>
      </c>
      <c r="K7" s="11">
        <f>SUM(K8:K42)</f>
        <v>3472.7239999999997</v>
      </c>
      <c r="L7" s="11">
        <f aca="true" t="shared" si="2" ref="L7:L20">K7/J7*100</f>
        <v>104.59983692815291</v>
      </c>
      <c r="M7" s="11">
        <f>SUM(M8:M42)</f>
        <v>9736.04618</v>
      </c>
      <c r="N7" s="11">
        <f>SUM(N8:N42)</f>
        <v>10361.900129999998</v>
      </c>
      <c r="O7" s="11">
        <f>N7/M7*100</f>
        <v>106.42821468211234</v>
      </c>
      <c r="P7" s="11">
        <f>SUM(P8:P42)</f>
        <v>3619.35</v>
      </c>
      <c r="Q7" s="11">
        <f>SUM(Q8:Q42)</f>
        <v>3033.4870000000005</v>
      </c>
      <c r="R7" s="11">
        <f aca="true" t="shared" si="3" ref="R7:R20">Q7/P7*100</f>
        <v>83.81303272687086</v>
      </c>
      <c r="S7" s="11">
        <f>SUM(S8:S42)</f>
        <v>3213.75817</v>
      </c>
      <c r="T7" s="11">
        <f>SUM(T8:T42)</f>
        <v>3317.9582700000005</v>
      </c>
      <c r="U7" s="11">
        <f aca="true" t="shared" si="4" ref="U7:U20">T7/S7*100</f>
        <v>103.24231303315521</v>
      </c>
      <c r="V7" s="11">
        <f>SUM(V8:V42)</f>
        <v>3331.11817</v>
      </c>
      <c r="W7" s="11">
        <f>SUM(W8:W42)</f>
        <v>2963.39658</v>
      </c>
      <c r="X7" s="11">
        <f aca="true" t="shared" si="5" ref="X7:X24">W7/V7*100</f>
        <v>88.96101635445733</v>
      </c>
      <c r="Y7" s="11">
        <f>SUM(Y8:Y42)</f>
        <v>10164.226340000001</v>
      </c>
      <c r="Z7" s="11">
        <f>SUM(Z8:Z42)</f>
        <v>9314.841849999999</v>
      </c>
      <c r="AA7" s="11">
        <f aca="true" t="shared" si="6" ref="AA7:AA20">Z7/Y7*100</f>
        <v>91.64339260473412</v>
      </c>
      <c r="AB7" s="11">
        <f>SUM(AB8:AB42)</f>
        <v>3508.15966</v>
      </c>
      <c r="AC7" s="11">
        <f>SUM(AC8:AC42)</f>
        <v>3006.2216899999994</v>
      </c>
      <c r="AD7" s="11">
        <f aca="true" t="shared" si="7" ref="AD7:AD24">AC7/AB7*100</f>
        <v>85.69227120067846</v>
      </c>
      <c r="AE7" s="11">
        <f>SUM(AE8:AE42)</f>
        <v>3405.67121</v>
      </c>
      <c r="AF7" s="11">
        <f>SUM(AF8:AF42)</f>
        <v>3757.59953</v>
      </c>
      <c r="AG7" s="11">
        <f>AF7/AE7*100</f>
        <v>110.33359647186846</v>
      </c>
      <c r="AH7" s="11">
        <f>SUM(AH8:AH42)</f>
        <v>3080.59962</v>
      </c>
      <c r="AI7" s="11">
        <f>SUM(AI8:AI42)</f>
        <v>2839.15402</v>
      </c>
      <c r="AJ7" s="11">
        <f>SUM(AJ8:AJ42)</f>
        <v>9994.43049</v>
      </c>
      <c r="AK7" s="11">
        <f>SUM(AK8:AK42)</f>
        <v>9602.97524</v>
      </c>
      <c r="AL7" s="11">
        <f aca="true" t="shared" si="8" ref="AL7:AL20">AK7/AJ7*100</f>
        <v>96.08326607112157</v>
      </c>
      <c r="AM7" s="11">
        <f aca="true" t="shared" si="9" ref="AM7:AT7">SUM(AM8:AM42)</f>
        <v>3628.8999999999996</v>
      </c>
      <c r="AN7" s="11">
        <f t="shared" si="9"/>
        <v>3286.8</v>
      </c>
      <c r="AO7" s="11">
        <f t="shared" si="9"/>
        <v>3704.5000000000005</v>
      </c>
      <c r="AP7" s="11">
        <f t="shared" si="9"/>
        <v>3620.6</v>
      </c>
      <c r="AQ7" s="11">
        <f>SUM(AQ8:AQ42)</f>
        <v>3916.1000000000004</v>
      </c>
      <c r="AR7" s="11">
        <f>SUM(AR8:AR42)</f>
        <v>3481.5</v>
      </c>
      <c r="AS7" s="60">
        <f t="shared" si="9"/>
        <v>41144.20301</v>
      </c>
      <c r="AT7" s="60">
        <f t="shared" si="9"/>
        <v>39668.61722</v>
      </c>
      <c r="AU7" s="11">
        <f aca="true" t="shared" si="10" ref="AU7:AU44">AT7/AS7*100</f>
        <v>96.41362407812016</v>
      </c>
      <c r="AV7" s="60">
        <f>SUM(AV8:AV42)</f>
        <v>1475.58579</v>
      </c>
      <c r="AW7" s="60">
        <f>SUM(AW8:AW42)</f>
        <v>7527.685789999999</v>
      </c>
      <c r="AX7" s="23">
        <f>M7+Y7+AJ7+AM7</f>
        <v>33523.60301</v>
      </c>
      <c r="AY7" s="23">
        <f>N7+Z7+AK7+AN7</f>
        <v>32566.517219999998</v>
      </c>
      <c r="AZ7" s="42">
        <f>C7+AX7-AY7</f>
        <v>7009.1857899999995</v>
      </c>
    </row>
    <row r="8" spans="1:49" ht="24.75" customHeight="1">
      <c r="A8" s="13" t="s">
        <v>12</v>
      </c>
      <c r="B8" s="41" t="s">
        <v>90</v>
      </c>
      <c r="C8" s="98">
        <v>141.4</v>
      </c>
      <c r="D8" s="38">
        <v>237.7</v>
      </c>
      <c r="E8" s="38">
        <v>257.7</v>
      </c>
      <c r="F8" s="11">
        <f t="shared" si="0"/>
        <v>108.41396718552798</v>
      </c>
      <c r="G8" s="38">
        <v>248.9</v>
      </c>
      <c r="H8" s="38">
        <v>265</v>
      </c>
      <c r="I8" s="11">
        <f t="shared" si="1"/>
        <v>106.4684612294094</v>
      </c>
      <c r="J8" s="38">
        <v>224.5</v>
      </c>
      <c r="K8" s="38">
        <v>210.6</v>
      </c>
      <c r="L8" s="11">
        <f t="shared" si="2"/>
        <v>93.80846325167037</v>
      </c>
      <c r="M8" s="80">
        <f>D8+G8+J8</f>
        <v>711.1</v>
      </c>
      <c r="N8" s="80">
        <f>E8+H8+K8</f>
        <v>733.3000000000001</v>
      </c>
      <c r="O8" s="11">
        <f aca="true" t="shared" si="11" ref="O8:O45">N8/M8*100</f>
        <v>103.12192378005906</v>
      </c>
      <c r="P8" s="38">
        <v>296.6</v>
      </c>
      <c r="Q8" s="38">
        <v>294</v>
      </c>
      <c r="R8" s="11">
        <f t="shared" si="3"/>
        <v>99.12339851652055</v>
      </c>
      <c r="S8" s="38">
        <v>287.5</v>
      </c>
      <c r="T8" s="38">
        <v>276.5</v>
      </c>
      <c r="U8" s="11">
        <f t="shared" si="4"/>
        <v>96.17391304347827</v>
      </c>
      <c r="V8" s="38">
        <v>244.1</v>
      </c>
      <c r="W8" s="38">
        <v>248</v>
      </c>
      <c r="X8" s="11">
        <f t="shared" si="5"/>
        <v>101.59770585825481</v>
      </c>
      <c r="Y8" s="80">
        <f aca="true" t="shared" si="12" ref="Y8:Y20">P8+S8+V8</f>
        <v>828.2</v>
      </c>
      <c r="Z8" s="80">
        <f aca="true" t="shared" si="13" ref="Z8:Z20">Q8+T8+W8</f>
        <v>818.5</v>
      </c>
      <c r="AA8" s="11">
        <f t="shared" si="6"/>
        <v>98.82878531755614</v>
      </c>
      <c r="AB8" s="38">
        <v>340.5</v>
      </c>
      <c r="AC8" s="38">
        <v>274.6</v>
      </c>
      <c r="AD8" s="11">
        <f t="shared" si="7"/>
        <v>80.64610866372982</v>
      </c>
      <c r="AE8" s="38">
        <v>327.1</v>
      </c>
      <c r="AF8" s="38">
        <v>387.5</v>
      </c>
      <c r="AG8" s="11">
        <f>AF8/AE8*100</f>
        <v>118.46530113115254</v>
      </c>
      <c r="AH8" s="38">
        <v>241.4</v>
      </c>
      <c r="AI8" s="38">
        <v>280.3</v>
      </c>
      <c r="AJ8" s="80">
        <f>AB8+AE8+AH8</f>
        <v>909</v>
      </c>
      <c r="AK8" s="80">
        <f>AC8+AF8+AI8</f>
        <v>942.4000000000001</v>
      </c>
      <c r="AL8" s="11">
        <f t="shared" si="8"/>
        <v>103.67436743674368</v>
      </c>
      <c r="AM8" s="38">
        <v>264.6</v>
      </c>
      <c r="AN8" s="38">
        <v>229.2</v>
      </c>
      <c r="AO8" s="38">
        <v>275.6</v>
      </c>
      <c r="AP8" s="38">
        <v>267.2</v>
      </c>
      <c r="AQ8" s="38">
        <v>241.8</v>
      </c>
      <c r="AR8" s="38">
        <v>276</v>
      </c>
      <c r="AS8" s="65">
        <f>M8+Y8+AJ8+AM8+AO8+AQ8</f>
        <v>3230.3</v>
      </c>
      <c r="AT8" s="65">
        <f>N8+Z8+AK8+AN8+AP8+AR8</f>
        <v>3266.6</v>
      </c>
      <c r="AU8" s="11">
        <f t="shared" si="10"/>
        <v>101.12373463764975</v>
      </c>
      <c r="AV8" s="65">
        <f>AS8-AT8</f>
        <v>-36.29999999999973</v>
      </c>
      <c r="AW8" s="18">
        <f aca="true" t="shared" si="14" ref="AW8:AW20">C8+AS8-AT8</f>
        <v>105.10000000000036</v>
      </c>
    </row>
    <row r="9" spans="1:49" ht="24.75" customHeight="1">
      <c r="A9" s="13" t="s">
        <v>13</v>
      </c>
      <c r="B9" s="41" t="s">
        <v>91</v>
      </c>
      <c r="C9" s="110">
        <f>-3.3+12.5</f>
        <v>9.2</v>
      </c>
      <c r="D9" s="38">
        <v>15.1</v>
      </c>
      <c r="E9" s="38">
        <v>18.7</v>
      </c>
      <c r="F9" s="11">
        <f t="shared" si="0"/>
        <v>123.841059602649</v>
      </c>
      <c r="G9" s="38">
        <v>14.3</v>
      </c>
      <c r="H9" s="38">
        <v>13.2</v>
      </c>
      <c r="I9" s="11">
        <f t="shared" si="1"/>
        <v>92.3076923076923</v>
      </c>
      <c r="J9" s="38">
        <v>13.6</v>
      </c>
      <c r="K9" s="38">
        <v>17.3</v>
      </c>
      <c r="L9" s="11">
        <f t="shared" si="2"/>
        <v>127.20588235294119</v>
      </c>
      <c r="M9" s="80">
        <f aca="true" t="shared" si="15" ref="M9:M44">D9+G9+J9</f>
        <v>43</v>
      </c>
      <c r="N9" s="80">
        <f aca="true" t="shared" si="16" ref="N9:N44">E9+H9+K9</f>
        <v>49.2</v>
      </c>
      <c r="O9" s="11">
        <f t="shared" si="11"/>
        <v>114.41860465116281</v>
      </c>
      <c r="P9" s="38">
        <v>14.5</v>
      </c>
      <c r="Q9" s="38">
        <v>9.6</v>
      </c>
      <c r="R9" s="11">
        <f t="shared" si="3"/>
        <v>66.20689655172414</v>
      </c>
      <c r="S9" s="38">
        <v>13.7</v>
      </c>
      <c r="T9" s="38">
        <v>15.7</v>
      </c>
      <c r="U9" s="11">
        <f t="shared" si="4"/>
        <v>114.59854014598541</v>
      </c>
      <c r="V9" s="38">
        <v>15</v>
      </c>
      <c r="W9" s="38">
        <v>6.9</v>
      </c>
      <c r="X9" s="11">
        <f t="shared" si="5"/>
        <v>46</v>
      </c>
      <c r="Y9" s="80">
        <f t="shared" si="12"/>
        <v>43.2</v>
      </c>
      <c r="Z9" s="80">
        <f t="shared" si="13"/>
        <v>32.199999999999996</v>
      </c>
      <c r="AA9" s="11">
        <f t="shared" si="6"/>
        <v>74.53703703703702</v>
      </c>
      <c r="AB9" s="38">
        <v>13.9</v>
      </c>
      <c r="AC9" s="38">
        <v>19.3</v>
      </c>
      <c r="AD9" s="11">
        <f t="shared" si="7"/>
        <v>138.84892086330936</v>
      </c>
      <c r="AE9" s="38">
        <v>17.3</v>
      </c>
      <c r="AF9" s="38">
        <v>10.8</v>
      </c>
      <c r="AG9" s="11">
        <f>AF9/AE9*100</f>
        <v>62.42774566473989</v>
      </c>
      <c r="AH9" s="38">
        <v>15.4</v>
      </c>
      <c r="AI9" s="38">
        <v>18</v>
      </c>
      <c r="AJ9" s="80">
        <f aca="true" t="shared" si="17" ref="AJ9:AJ42">AB9+AE9+AH9</f>
        <v>46.6</v>
      </c>
      <c r="AK9" s="80">
        <f aca="true" t="shared" si="18" ref="AK9:AK42">AC9+AF9+AI9</f>
        <v>48.1</v>
      </c>
      <c r="AL9" s="11">
        <f t="shared" si="8"/>
        <v>103.21888412017168</v>
      </c>
      <c r="AM9" s="38">
        <v>14.7</v>
      </c>
      <c r="AN9" s="38">
        <v>7.9</v>
      </c>
      <c r="AO9" s="38">
        <v>14.2</v>
      </c>
      <c r="AP9" s="38">
        <v>21.4</v>
      </c>
      <c r="AQ9" s="38">
        <v>10</v>
      </c>
      <c r="AR9" s="38">
        <v>8.4</v>
      </c>
      <c r="AS9" s="65">
        <f aca="true" t="shared" si="19" ref="AS9:AS42">M9+Y9+AJ9+AM9+AO9+AQ9</f>
        <v>171.7</v>
      </c>
      <c r="AT9" s="65">
        <f aca="true" t="shared" si="20" ref="AT9:AT42">N9+Z9+AK9+AN9+AP9+AR9</f>
        <v>167.20000000000002</v>
      </c>
      <c r="AU9" s="11">
        <f t="shared" si="10"/>
        <v>97.37914967967387</v>
      </c>
      <c r="AV9" s="65">
        <f aca="true" t="shared" si="21" ref="AV9:AV28">AS9-AT9</f>
        <v>4.499999999999972</v>
      </c>
      <c r="AW9" s="18">
        <f t="shared" si="14"/>
        <v>13.69999999999996</v>
      </c>
    </row>
    <row r="10" spans="1:49" ht="24.75" customHeight="1">
      <c r="A10" s="13" t="s">
        <v>14</v>
      </c>
      <c r="B10" s="15" t="s">
        <v>132</v>
      </c>
      <c r="C10" s="98"/>
      <c r="D10" s="38"/>
      <c r="E10" s="38"/>
      <c r="F10" s="101"/>
      <c r="G10" s="38"/>
      <c r="H10" s="38"/>
      <c r="I10" s="11"/>
      <c r="J10" s="38"/>
      <c r="K10" s="38"/>
      <c r="L10" s="101"/>
      <c r="M10" s="80"/>
      <c r="N10" s="80"/>
      <c r="O10" s="11"/>
      <c r="P10" s="38"/>
      <c r="Q10" s="38"/>
      <c r="R10" s="11"/>
      <c r="S10" s="38"/>
      <c r="T10" s="38"/>
      <c r="U10" s="11"/>
      <c r="V10" s="38"/>
      <c r="W10" s="38"/>
      <c r="X10" s="11"/>
      <c r="Y10" s="80"/>
      <c r="Z10" s="80"/>
      <c r="AA10" s="11"/>
      <c r="AB10" s="38"/>
      <c r="AC10" s="38"/>
      <c r="AD10" s="1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1"/>
      <c r="AV10" s="65"/>
      <c r="AW10" s="18"/>
    </row>
    <row r="11" spans="1:49" ht="24.75" customHeight="1">
      <c r="A11" s="13" t="s">
        <v>15</v>
      </c>
      <c r="B11" s="41" t="s">
        <v>92</v>
      </c>
      <c r="C11" s="98">
        <v>-13.1</v>
      </c>
      <c r="D11" s="38">
        <v>89.8</v>
      </c>
      <c r="E11" s="38">
        <v>101.5</v>
      </c>
      <c r="F11" s="11">
        <f t="shared" si="0"/>
        <v>113.02895322939868</v>
      </c>
      <c r="G11" s="38">
        <v>87.4</v>
      </c>
      <c r="H11" s="38">
        <v>61.6</v>
      </c>
      <c r="I11" s="11">
        <f>H11/G11*100</f>
        <v>70.48054919908466</v>
      </c>
      <c r="J11" s="38">
        <v>78.8</v>
      </c>
      <c r="K11" s="38">
        <v>84.7</v>
      </c>
      <c r="L11" s="11">
        <f t="shared" si="2"/>
        <v>107.48730964467006</v>
      </c>
      <c r="M11" s="80">
        <f t="shared" si="15"/>
        <v>256</v>
      </c>
      <c r="N11" s="80">
        <f t="shared" si="16"/>
        <v>247.8</v>
      </c>
      <c r="O11" s="11">
        <f t="shared" si="11"/>
        <v>96.796875</v>
      </c>
      <c r="P11" s="38">
        <v>77.6</v>
      </c>
      <c r="Q11" s="38">
        <v>94.2</v>
      </c>
      <c r="R11" s="11">
        <f t="shared" si="3"/>
        <v>121.39175257731961</v>
      </c>
      <c r="S11" s="38">
        <v>80.3</v>
      </c>
      <c r="T11" s="38">
        <v>77</v>
      </c>
      <c r="U11" s="11">
        <f t="shared" si="4"/>
        <v>95.89041095890411</v>
      </c>
      <c r="V11" s="38">
        <v>84.2</v>
      </c>
      <c r="W11" s="38">
        <v>80.1</v>
      </c>
      <c r="X11" s="11">
        <f t="shared" si="5"/>
        <v>95.13064133016627</v>
      </c>
      <c r="Y11" s="80">
        <f t="shared" si="12"/>
        <v>242.09999999999997</v>
      </c>
      <c r="Z11" s="80">
        <f t="shared" si="13"/>
        <v>251.29999999999998</v>
      </c>
      <c r="AA11" s="11">
        <f t="shared" si="6"/>
        <v>103.80008261049154</v>
      </c>
      <c r="AB11" s="38">
        <v>79.3</v>
      </c>
      <c r="AC11" s="38">
        <v>75.7</v>
      </c>
      <c r="AD11" s="11">
        <f t="shared" si="7"/>
        <v>95.46027742749055</v>
      </c>
      <c r="AE11" s="38">
        <v>75.8</v>
      </c>
      <c r="AF11" s="38">
        <v>74.2</v>
      </c>
      <c r="AG11" s="11">
        <f>AF11/AE11*100</f>
        <v>97.8891820580475</v>
      </c>
      <c r="AH11" s="38">
        <v>51.6</v>
      </c>
      <c r="AI11" s="38">
        <v>54.9</v>
      </c>
      <c r="AJ11" s="80">
        <f t="shared" si="17"/>
        <v>206.7</v>
      </c>
      <c r="AK11" s="80">
        <f t="shared" si="18"/>
        <v>204.8</v>
      </c>
      <c r="AL11" s="11">
        <f t="shared" si="8"/>
        <v>99.08079342041607</v>
      </c>
      <c r="AM11" s="38">
        <v>51.2</v>
      </c>
      <c r="AN11" s="38">
        <v>46</v>
      </c>
      <c r="AO11" s="38">
        <v>58.1</v>
      </c>
      <c r="AP11" s="38">
        <v>65.8</v>
      </c>
      <c r="AQ11" s="38">
        <v>46.4</v>
      </c>
      <c r="AR11" s="38">
        <v>47.8</v>
      </c>
      <c r="AS11" s="65">
        <f t="shared" si="19"/>
        <v>860.5</v>
      </c>
      <c r="AT11" s="65">
        <f t="shared" si="20"/>
        <v>863.5</v>
      </c>
      <c r="AU11" s="11">
        <f t="shared" si="10"/>
        <v>100.34863451481696</v>
      </c>
      <c r="AV11" s="65">
        <f t="shared" si="21"/>
        <v>-3</v>
      </c>
      <c r="AW11" s="18">
        <f t="shared" si="14"/>
        <v>-16.100000000000023</v>
      </c>
    </row>
    <row r="12" spans="1:49" ht="24.75" customHeight="1">
      <c r="A12" s="13" t="s">
        <v>16</v>
      </c>
      <c r="B12" s="41" t="s">
        <v>93</v>
      </c>
      <c r="C12" s="98">
        <v>43</v>
      </c>
      <c r="D12" s="38">
        <v>13</v>
      </c>
      <c r="E12" s="38">
        <v>15.4</v>
      </c>
      <c r="F12" s="11">
        <f t="shared" si="0"/>
        <v>118.46153846153847</v>
      </c>
      <c r="G12" s="38">
        <v>17.6</v>
      </c>
      <c r="H12" s="38">
        <v>37.8</v>
      </c>
      <c r="I12" s="11">
        <f>H12/G12*100</f>
        <v>214.77272727272725</v>
      </c>
      <c r="J12" s="38">
        <v>13.1</v>
      </c>
      <c r="K12" s="38">
        <v>19.9</v>
      </c>
      <c r="L12" s="11">
        <f t="shared" si="2"/>
        <v>151.9083969465649</v>
      </c>
      <c r="M12" s="80">
        <f t="shared" si="15"/>
        <v>43.7</v>
      </c>
      <c r="N12" s="80">
        <f t="shared" si="16"/>
        <v>73.1</v>
      </c>
      <c r="O12" s="11">
        <f t="shared" si="11"/>
        <v>167.27688787185352</v>
      </c>
      <c r="P12" s="38">
        <v>41.7</v>
      </c>
      <c r="Q12" s="38">
        <v>10.4</v>
      </c>
      <c r="R12" s="11">
        <f t="shared" si="3"/>
        <v>24.940047961630697</v>
      </c>
      <c r="S12" s="38">
        <v>74.3</v>
      </c>
      <c r="T12" s="38">
        <v>22</v>
      </c>
      <c r="U12" s="11">
        <f t="shared" si="4"/>
        <v>29.609690444145357</v>
      </c>
      <c r="V12" s="38">
        <v>73.1</v>
      </c>
      <c r="W12" s="38">
        <v>72.5</v>
      </c>
      <c r="X12" s="11">
        <f t="shared" si="5"/>
        <v>99.17920656634747</v>
      </c>
      <c r="Y12" s="80">
        <f t="shared" si="12"/>
        <v>189.1</v>
      </c>
      <c r="Z12" s="80">
        <f t="shared" si="13"/>
        <v>104.9</v>
      </c>
      <c r="AA12" s="11">
        <f t="shared" si="6"/>
        <v>55.47329455314649</v>
      </c>
      <c r="AB12" s="38">
        <v>15.9</v>
      </c>
      <c r="AC12" s="38">
        <v>83.7</v>
      </c>
      <c r="AD12" s="11">
        <f t="shared" si="7"/>
        <v>526.4150943396227</v>
      </c>
      <c r="AE12" s="38">
        <v>10.2</v>
      </c>
      <c r="AF12" s="38">
        <v>15.1</v>
      </c>
      <c r="AG12" s="129">
        <f aca="true" t="shared" si="22" ref="AG12:AG24">AF12/AE12*100</f>
        <v>148.03921568627453</v>
      </c>
      <c r="AH12" s="38">
        <v>11.3</v>
      </c>
      <c r="AI12" s="38">
        <v>19.3</v>
      </c>
      <c r="AJ12" s="80">
        <f t="shared" si="17"/>
        <v>37.400000000000006</v>
      </c>
      <c r="AK12" s="80">
        <f t="shared" si="18"/>
        <v>118.1</v>
      </c>
      <c r="AL12" s="11">
        <f t="shared" si="8"/>
        <v>315.7754010695187</v>
      </c>
      <c r="AM12" s="38">
        <v>14.7</v>
      </c>
      <c r="AN12" s="38">
        <v>18.3</v>
      </c>
      <c r="AO12" s="38">
        <v>13.2</v>
      </c>
      <c r="AP12" s="38">
        <v>13.9</v>
      </c>
      <c r="AQ12" s="38">
        <v>16.1</v>
      </c>
      <c r="AR12" s="38">
        <v>15.4</v>
      </c>
      <c r="AS12" s="65">
        <f t="shared" si="19"/>
        <v>314.20000000000005</v>
      </c>
      <c r="AT12" s="65">
        <f t="shared" si="20"/>
        <v>343.7</v>
      </c>
      <c r="AU12" s="11">
        <f t="shared" si="10"/>
        <v>109.38892425206872</v>
      </c>
      <c r="AV12" s="65">
        <f t="shared" si="21"/>
        <v>-29.499999999999943</v>
      </c>
      <c r="AW12" s="18">
        <f t="shared" si="14"/>
        <v>13.500000000000057</v>
      </c>
    </row>
    <row r="13" spans="1:49" ht="24.75" customHeight="1">
      <c r="A13" s="13" t="s">
        <v>17</v>
      </c>
      <c r="B13" s="41" t="s">
        <v>94</v>
      </c>
      <c r="C13" s="98">
        <v>30</v>
      </c>
      <c r="D13" s="38">
        <v>30.1</v>
      </c>
      <c r="E13" s="38">
        <v>15.9</v>
      </c>
      <c r="F13" s="11">
        <f t="shared" si="0"/>
        <v>52.823920265780735</v>
      </c>
      <c r="G13" s="38">
        <v>29.6</v>
      </c>
      <c r="H13" s="38">
        <v>20.2</v>
      </c>
      <c r="I13" s="68">
        <f t="shared" si="1"/>
        <v>68.24324324324323</v>
      </c>
      <c r="J13" s="38">
        <v>28.9</v>
      </c>
      <c r="K13" s="38">
        <v>37.7</v>
      </c>
      <c r="L13" s="68">
        <f t="shared" si="2"/>
        <v>130.4498269896194</v>
      </c>
      <c r="M13" s="80">
        <f t="shared" si="15"/>
        <v>88.6</v>
      </c>
      <c r="N13" s="80">
        <f t="shared" si="16"/>
        <v>73.80000000000001</v>
      </c>
      <c r="O13" s="11">
        <f t="shared" si="11"/>
        <v>83.2957110609481</v>
      </c>
      <c r="P13" s="38">
        <v>51.9</v>
      </c>
      <c r="Q13" s="38">
        <v>18.2</v>
      </c>
      <c r="R13" s="128">
        <f t="shared" si="3"/>
        <v>35.067437379576106</v>
      </c>
      <c r="S13" s="38">
        <v>37.1</v>
      </c>
      <c r="T13" s="38">
        <v>33.4</v>
      </c>
      <c r="U13" s="128">
        <f t="shared" si="4"/>
        <v>90.02695417789757</v>
      </c>
      <c r="V13" s="38">
        <v>37.6</v>
      </c>
      <c r="W13" s="38">
        <v>27.5</v>
      </c>
      <c r="X13" s="11">
        <f t="shared" si="5"/>
        <v>73.13829787234042</v>
      </c>
      <c r="Y13" s="80">
        <f t="shared" si="12"/>
        <v>126.6</v>
      </c>
      <c r="Z13" s="80">
        <f t="shared" si="13"/>
        <v>79.1</v>
      </c>
      <c r="AA13" s="11">
        <f t="shared" si="6"/>
        <v>62.480252764612956</v>
      </c>
      <c r="AB13" s="38">
        <v>41</v>
      </c>
      <c r="AC13" s="38">
        <v>69</v>
      </c>
      <c r="AD13" s="11">
        <f t="shared" si="7"/>
        <v>168.29268292682926</v>
      </c>
      <c r="AE13" s="38">
        <v>44.3</v>
      </c>
      <c r="AF13" s="38">
        <v>31.8</v>
      </c>
      <c r="AG13" s="11">
        <f t="shared" si="22"/>
        <v>71.78329571106096</v>
      </c>
      <c r="AH13" s="38">
        <v>43.4</v>
      </c>
      <c r="AI13" s="38">
        <v>53.4</v>
      </c>
      <c r="AJ13" s="80">
        <f t="shared" si="17"/>
        <v>128.7</v>
      </c>
      <c r="AK13" s="80">
        <f t="shared" si="18"/>
        <v>154.2</v>
      </c>
      <c r="AL13" s="11">
        <f t="shared" si="8"/>
        <v>119.81351981351982</v>
      </c>
      <c r="AM13" s="38">
        <v>40</v>
      </c>
      <c r="AN13" s="38">
        <v>38.6</v>
      </c>
      <c r="AO13" s="38">
        <v>41.2</v>
      </c>
      <c r="AP13" s="38">
        <v>52</v>
      </c>
      <c r="AQ13" s="38">
        <v>35.2</v>
      </c>
      <c r="AR13" s="38">
        <v>64.4</v>
      </c>
      <c r="AS13" s="65">
        <f t="shared" si="19"/>
        <v>460.29999999999995</v>
      </c>
      <c r="AT13" s="65">
        <f t="shared" si="20"/>
        <v>462.1</v>
      </c>
      <c r="AU13" s="11">
        <f t="shared" si="10"/>
        <v>100.39104931566372</v>
      </c>
      <c r="AV13" s="65">
        <f t="shared" si="21"/>
        <v>-1.8000000000000682</v>
      </c>
      <c r="AW13" s="18">
        <f t="shared" si="14"/>
        <v>28.199999999999932</v>
      </c>
    </row>
    <row r="14" spans="1:49" ht="24.75" customHeight="1">
      <c r="A14" s="13" t="s">
        <v>18</v>
      </c>
      <c r="B14" s="41" t="s">
        <v>95</v>
      </c>
      <c r="C14" s="98">
        <v>-0.2</v>
      </c>
      <c r="D14" s="38">
        <v>4</v>
      </c>
      <c r="E14" s="38">
        <v>4</v>
      </c>
      <c r="F14" s="11">
        <f t="shared" si="0"/>
        <v>100</v>
      </c>
      <c r="G14" s="38">
        <v>7.8</v>
      </c>
      <c r="H14" s="38">
        <v>9</v>
      </c>
      <c r="I14" s="11">
        <f t="shared" si="1"/>
        <v>115.3846153846154</v>
      </c>
      <c r="J14" s="38">
        <v>7.3</v>
      </c>
      <c r="K14" s="38">
        <v>6.5</v>
      </c>
      <c r="L14" s="11">
        <f t="shared" si="2"/>
        <v>89.04109589041096</v>
      </c>
      <c r="M14" s="80">
        <f t="shared" si="15"/>
        <v>19.1</v>
      </c>
      <c r="N14" s="80">
        <f t="shared" si="16"/>
        <v>19.5</v>
      </c>
      <c r="O14" s="11">
        <f t="shared" si="11"/>
        <v>102.09424083769633</v>
      </c>
      <c r="P14" s="38">
        <v>20.7</v>
      </c>
      <c r="Q14" s="38">
        <v>20.2</v>
      </c>
      <c r="R14" s="11">
        <f t="shared" si="3"/>
        <v>97.58454106280193</v>
      </c>
      <c r="S14" s="38">
        <v>8.4</v>
      </c>
      <c r="T14" s="38">
        <v>9.9</v>
      </c>
      <c r="U14" s="11">
        <f t="shared" si="4"/>
        <v>117.85714285714286</v>
      </c>
      <c r="V14" s="38">
        <v>11.2</v>
      </c>
      <c r="W14" s="38">
        <v>11</v>
      </c>
      <c r="X14" s="11">
        <f t="shared" si="5"/>
        <v>98.21428571428572</v>
      </c>
      <c r="Y14" s="80">
        <f t="shared" si="12"/>
        <v>40.3</v>
      </c>
      <c r="Z14" s="80">
        <f t="shared" si="13"/>
        <v>41.1</v>
      </c>
      <c r="AA14" s="11">
        <f t="shared" si="6"/>
        <v>101.98511166253104</v>
      </c>
      <c r="AB14" s="38">
        <v>9.9</v>
      </c>
      <c r="AC14" s="38">
        <v>8.6</v>
      </c>
      <c r="AD14" s="11">
        <f t="shared" si="7"/>
        <v>86.86868686868686</v>
      </c>
      <c r="AE14" s="38">
        <v>11.8</v>
      </c>
      <c r="AF14" s="38">
        <v>11.9</v>
      </c>
      <c r="AG14" s="11">
        <f t="shared" si="22"/>
        <v>100.84745762711864</v>
      </c>
      <c r="AH14" s="38">
        <v>11.7</v>
      </c>
      <c r="AI14" s="38">
        <v>12</v>
      </c>
      <c r="AJ14" s="80">
        <f t="shared" si="17"/>
        <v>33.400000000000006</v>
      </c>
      <c r="AK14" s="80">
        <f t="shared" si="18"/>
        <v>32.5</v>
      </c>
      <c r="AL14" s="11">
        <f t="shared" si="8"/>
        <v>97.30538922155687</v>
      </c>
      <c r="AM14" s="38">
        <v>10.4</v>
      </c>
      <c r="AN14" s="38">
        <v>10.1</v>
      </c>
      <c r="AO14" s="38">
        <v>10.3</v>
      </c>
      <c r="AP14" s="38">
        <v>12</v>
      </c>
      <c r="AQ14" s="38">
        <v>10.9</v>
      </c>
      <c r="AR14" s="38">
        <v>10.6</v>
      </c>
      <c r="AS14" s="65">
        <f t="shared" si="19"/>
        <v>124.40000000000002</v>
      </c>
      <c r="AT14" s="65">
        <f t="shared" si="20"/>
        <v>125.79999999999998</v>
      </c>
      <c r="AU14" s="11">
        <f t="shared" si="10"/>
        <v>101.12540192926043</v>
      </c>
      <c r="AV14" s="65">
        <f t="shared" si="21"/>
        <v>-1.399999999999963</v>
      </c>
      <c r="AW14" s="18">
        <f t="shared" si="14"/>
        <v>-1.599999999999966</v>
      </c>
    </row>
    <row r="15" spans="1:49" ht="24.75" customHeight="1">
      <c r="A15" s="13" t="s">
        <v>19</v>
      </c>
      <c r="B15" s="41" t="s">
        <v>96</v>
      </c>
      <c r="C15" s="98">
        <v>57.3</v>
      </c>
      <c r="D15" s="38">
        <v>58</v>
      </c>
      <c r="E15" s="38">
        <v>48</v>
      </c>
      <c r="F15" s="11">
        <f t="shared" si="0"/>
        <v>82.75862068965517</v>
      </c>
      <c r="G15" s="38">
        <v>55</v>
      </c>
      <c r="H15" s="38">
        <v>54</v>
      </c>
      <c r="I15" s="68">
        <f t="shared" si="1"/>
        <v>98.18181818181819</v>
      </c>
      <c r="J15" s="38">
        <v>66</v>
      </c>
      <c r="K15" s="38">
        <v>63</v>
      </c>
      <c r="L15" s="68">
        <f t="shared" si="2"/>
        <v>95.45454545454545</v>
      </c>
      <c r="M15" s="80">
        <f t="shared" si="15"/>
        <v>179</v>
      </c>
      <c r="N15" s="80">
        <f t="shared" si="16"/>
        <v>165</v>
      </c>
      <c r="O15" s="11">
        <f t="shared" si="11"/>
        <v>92.17877094972067</v>
      </c>
      <c r="P15" s="38">
        <v>127.3</v>
      </c>
      <c r="Q15" s="38">
        <v>56.2</v>
      </c>
      <c r="R15" s="128">
        <f t="shared" si="3"/>
        <v>44.14768263943441</v>
      </c>
      <c r="S15" s="38">
        <v>136.2</v>
      </c>
      <c r="T15" s="38">
        <v>95</v>
      </c>
      <c r="U15" s="128">
        <f t="shared" si="4"/>
        <v>69.75036710719532</v>
      </c>
      <c r="V15" s="38">
        <v>126.1</v>
      </c>
      <c r="W15" s="38">
        <v>62.9</v>
      </c>
      <c r="X15" s="11">
        <f t="shared" si="5"/>
        <v>49.88104678826328</v>
      </c>
      <c r="Y15" s="80">
        <f t="shared" si="12"/>
        <v>389.6</v>
      </c>
      <c r="Z15" s="80">
        <f t="shared" si="13"/>
        <v>214.1</v>
      </c>
      <c r="AA15" s="11">
        <f t="shared" si="6"/>
        <v>54.95379876796714</v>
      </c>
      <c r="AB15" s="38">
        <v>133.8</v>
      </c>
      <c r="AC15" s="38">
        <v>72.1</v>
      </c>
      <c r="AD15" s="11">
        <f t="shared" si="7"/>
        <v>53.88639760837069</v>
      </c>
      <c r="AE15" s="38">
        <v>137.7</v>
      </c>
      <c r="AF15" s="38">
        <v>90.1</v>
      </c>
      <c r="AG15" s="11">
        <f t="shared" si="22"/>
        <v>65.4320987654321</v>
      </c>
      <c r="AH15" s="38">
        <v>147</v>
      </c>
      <c r="AI15" s="38">
        <v>87.3</v>
      </c>
      <c r="AJ15" s="80">
        <f t="shared" si="17"/>
        <v>418.5</v>
      </c>
      <c r="AK15" s="80">
        <f t="shared" si="18"/>
        <v>249.5</v>
      </c>
      <c r="AL15" s="11">
        <f t="shared" si="8"/>
        <v>59.61768219832736</v>
      </c>
      <c r="AM15" s="38">
        <v>148.7</v>
      </c>
      <c r="AN15" s="38">
        <v>84.2</v>
      </c>
      <c r="AO15" s="38">
        <v>146.5</v>
      </c>
      <c r="AP15" s="38">
        <v>117.6</v>
      </c>
      <c r="AQ15" s="38">
        <v>150.7</v>
      </c>
      <c r="AR15" s="38">
        <v>104.5</v>
      </c>
      <c r="AS15" s="65">
        <f t="shared" si="19"/>
        <v>1433</v>
      </c>
      <c r="AT15" s="65">
        <f t="shared" si="20"/>
        <v>934.9000000000001</v>
      </c>
      <c r="AU15" s="11">
        <f t="shared" si="10"/>
        <v>65.24075366364272</v>
      </c>
      <c r="AV15" s="65">
        <f t="shared" si="21"/>
        <v>498.0999999999999</v>
      </c>
      <c r="AW15" s="18">
        <f t="shared" si="14"/>
        <v>555.3999999999999</v>
      </c>
    </row>
    <row r="16" spans="1:49" ht="24.75" customHeight="1">
      <c r="A16" s="13" t="s">
        <v>20</v>
      </c>
      <c r="B16" s="41" t="s">
        <v>97</v>
      </c>
      <c r="C16" s="107">
        <v>2</v>
      </c>
      <c r="D16" s="38">
        <v>0.8</v>
      </c>
      <c r="E16" s="38">
        <v>0.5</v>
      </c>
      <c r="F16" s="11">
        <f t="shared" si="0"/>
        <v>62.5</v>
      </c>
      <c r="G16" s="38">
        <v>0.9</v>
      </c>
      <c r="H16" s="38">
        <v>2</v>
      </c>
      <c r="I16" s="68">
        <f t="shared" si="1"/>
        <v>222.22222222222223</v>
      </c>
      <c r="J16" s="38">
        <v>0.9</v>
      </c>
      <c r="K16" s="38">
        <v>0.7</v>
      </c>
      <c r="L16" s="11">
        <f t="shared" si="2"/>
        <v>77.77777777777777</v>
      </c>
      <c r="M16" s="80">
        <f t="shared" si="15"/>
        <v>2.6</v>
      </c>
      <c r="N16" s="80">
        <f t="shared" si="16"/>
        <v>3.2</v>
      </c>
      <c r="O16" s="11">
        <f t="shared" si="11"/>
        <v>123.07692307692308</v>
      </c>
      <c r="P16" s="38">
        <v>0.8</v>
      </c>
      <c r="Q16" s="38">
        <v>0.4</v>
      </c>
      <c r="R16" s="11">
        <f t="shared" si="3"/>
        <v>50</v>
      </c>
      <c r="S16" s="38">
        <v>1.2</v>
      </c>
      <c r="T16" s="38">
        <v>1.1</v>
      </c>
      <c r="U16" s="11">
        <f t="shared" si="4"/>
        <v>91.66666666666667</v>
      </c>
      <c r="V16" s="38">
        <v>0.8</v>
      </c>
      <c r="W16" s="38">
        <v>1</v>
      </c>
      <c r="X16" s="11">
        <f t="shared" si="5"/>
        <v>125</v>
      </c>
      <c r="Y16" s="80">
        <f t="shared" si="12"/>
        <v>2.8</v>
      </c>
      <c r="Z16" s="80">
        <f t="shared" si="13"/>
        <v>2.5</v>
      </c>
      <c r="AA16" s="11">
        <f t="shared" si="6"/>
        <v>89.28571428571429</v>
      </c>
      <c r="AB16" s="38">
        <v>0.9</v>
      </c>
      <c r="AC16" s="38">
        <v>0.8</v>
      </c>
      <c r="AD16" s="11">
        <f t="shared" si="7"/>
        <v>88.8888888888889</v>
      </c>
      <c r="AE16" s="38">
        <v>0.9</v>
      </c>
      <c r="AF16" s="38">
        <v>0.8</v>
      </c>
      <c r="AG16" s="11">
        <f t="shared" si="22"/>
        <v>88.8888888888889</v>
      </c>
      <c r="AH16" s="38">
        <v>1.2</v>
      </c>
      <c r="AI16" s="38">
        <v>1</v>
      </c>
      <c r="AJ16" s="80">
        <f t="shared" si="17"/>
        <v>3</v>
      </c>
      <c r="AK16" s="80">
        <f t="shared" si="18"/>
        <v>2.6</v>
      </c>
      <c r="AL16" s="11">
        <f t="shared" si="8"/>
        <v>86.66666666666667</v>
      </c>
      <c r="AM16" s="38">
        <v>0.9</v>
      </c>
      <c r="AN16" s="38">
        <v>1.1</v>
      </c>
      <c r="AO16" s="38">
        <v>1.1</v>
      </c>
      <c r="AP16" s="38">
        <v>0.1</v>
      </c>
      <c r="AQ16" s="38">
        <v>0.7</v>
      </c>
      <c r="AR16" s="38">
        <v>2.3</v>
      </c>
      <c r="AS16" s="65">
        <f t="shared" si="19"/>
        <v>11.1</v>
      </c>
      <c r="AT16" s="65">
        <f t="shared" si="20"/>
        <v>11.8</v>
      </c>
      <c r="AU16" s="11">
        <f t="shared" si="10"/>
        <v>106.30630630630631</v>
      </c>
      <c r="AV16" s="65">
        <f t="shared" si="21"/>
        <v>-0.7000000000000011</v>
      </c>
      <c r="AW16" s="18">
        <f t="shared" si="14"/>
        <v>1.299999999999999</v>
      </c>
    </row>
    <row r="17" spans="1:49" ht="24.75" customHeight="1">
      <c r="A17" s="13" t="s">
        <v>21</v>
      </c>
      <c r="B17" s="15" t="s">
        <v>98</v>
      </c>
      <c r="C17" s="107">
        <f>1902.2+95.4+28.2</f>
        <v>2025.8000000000002</v>
      </c>
      <c r="D17" s="38">
        <f>73.5+19.8</f>
        <v>93.3</v>
      </c>
      <c r="E17" s="38">
        <f>98.6+18.3</f>
        <v>116.89999999999999</v>
      </c>
      <c r="F17" s="11">
        <f t="shared" si="0"/>
        <v>125.2947481243301</v>
      </c>
      <c r="G17" s="38">
        <f>86.8+21.2</f>
        <v>108</v>
      </c>
      <c r="H17" s="38">
        <f>73.9+19.9</f>
        <v>93.80000000000001</v>
      </c>
      <c r="I17" s="11">
        <f t="shared" si="1"/>
        <v>86.85185185185186</v>
      </c>
      <c r="J17" s="38">
        <f>77.6+24.7</f>
        <v>102.3</v>
      </c>
      <c r="K17" s="38">
        <f>87.8+20.9</f>
        <v>108.69999999999999</v>
      </c>
      <c r="L17" s="11">
        <f t="shared" si="2"/>
        <v>106.25610948191593</v>
      </c>
      <c r="M17" s="80">
        <f>D17+G17+J17</f>
        <v>303.6</v>
      </c>
      <c r="N17" s="80">
        <f>E17+H17+K17</f>
        <v>319.4</v>
      </c>
      <c r="O17" s="11">
        <f t="shared" si="11"/>
        <v>105.20421607378128</v>
      </c>
      <c r="P17" s="38">
        <f>95.9+23.1</f>
        <v>119</v>
      </c>
      <c r="Q17" s="38">
        <f>73+28.3</f>
        <v>101.3</v>
      </c>
      <c r="R17" s="11">
        <f t="shared" si="3"/>
        <v>85.12605042016807</v>
      </c>
      <c r="S17" s="38">
        <f>77.1+38.7</f>
        <v>115.8</v>
      </c>
      <c r="T17" s="38">
        <f>76.6+29.9</f>
        <v>106.5</v>
      </c>
      <c r="U17" s="11">
        <f t="shared" si="4"/>
        <v>91.96891191709845</v>
      </c>
      <c r="V17" s="38">
        <f>29+41.3</f>
        <v>70.3</v>
      </c>
      <c r="W17" s="38">
        <f>37.3+31.7</f>
        <v>69</v>
      </c>
      <c r="X17" s="11">
        <f t="shared" si="5"/>
        <v>98.15078236130869</v>
      </c>
      <c r="Y17" s="80">
        <f t="shared" si="12"/>
        <v>305.1</v>
      </c>
      <c r="Z17" s="80">
        <f t="shared" si="13"/>
        <v>276.8</v>
      </c>
      <c r="AA17" s="11">
        <f t="shared" si="6"/>
        <v>90.72435267125533</v>
      </c>
      <c r="AB17" s="38">
        <f>28.4+54.9</f>
        <v>83.3</v>
      </c>
      <c r="AC17" s="38">
        <f>17.1+43.7</f>
        <v>60.800000000000004</v>
      </c>
      <c r="AD17" s="11">
        <f t="shared" si="7"/>
        <v>72.98919567827132</v>
      </c>
      <c r="AE17" s="38">
        <f>63.9+17.1</f>
        <v>81</v>
      </c>
      <c r="AF17" s="38">
        <f>58.7+18.9</f>
        <v>77.6</v>
      </c>
      <c r="AG17" s="11">
        <f t="shared" si="22"/>
        <v>95.80246913580245</v>
      </c>
      <c r="AH17" s="38">
        <f>59.4+24</f>
        <v>83.4</v>
      </c>
      <c r="AI17" s="38">
        <f>61.7+19.7</f>
        <v>81.4</v>
      </c>
      <c r="AJ17" s="80">
        <f t="shared" si="17"/>
        <v>247.70000000000002</v>
      </c>
      <c r="AK17" s="80">
        <f t="shared" si="18"/>
        <v>219.8</v>
      </c>
      <c r="AL17" s="11">
        <f t="shared" si="8"/>
        <v>88.73637464675011</v>
      </c>
      <c r="AM17" s="38">
        <f>57.1+76.6</f>
        <v>133.7</v>
      </c>
      <c r="AN17" s="38">
        <f>59.7+36.8</f>
        <v>96.5</v>
      </c>
      <c r="AO17" s="38">
        <f>61.8+139.9</f>
        <v>201.7</v>
      </c>
      <c r="AP17" s="38">
        <f>58.9+13.5</f>
        <v>72.4</v>
      </c>
      <c r="AQ17" s="38">
        <f>139.3+68.2</f>
        <v>207.5</v>
      </c>
      <c r="AR17" s="38">
        <f>13+60.6</f>
        <v>73.6</v>
      </c>
      <c r="AS17" s="65">
        <f t="shared" si="19"/>
        <v>1399.3000000000002</v>
      </c>
      <c r="AT17" s="65">
        <f t="shared" si="20"/>
        <v>1058.5</v>
      </c>
      <c r="AU17" s="11">
        <f t="shared" si="10"/>
        <v>75.64496533981276</v>
      </c>
      <c r="AV17" s="65">
        <f t="shared" si="21"/>
        <v>340.8000000000002</v>
      </c>
      <c r="AW17" s="18">
        <f t="shared" si="14"/>
        <v>2366.6000000000004</v>
      </c>
    </row>
    <row r="18" spans="1:49" ht="24.75" customHeight="1">
      <c r="A18" s="13" t="s">
        <v>22</v>
      </c>
      <c r="B18" s="15" t="s">
        <v>99</v>
      </c>
      <c r="C18" s="98">
        <v>3.5</v>
      </c>
      <c r="D18" s="38">
        <v>11</v>
      </c>
      <c r="E18" s="38">
        <v>8.9</v>
      </c>
      <c r="F18" s="11">
        <f t="shared" si="0"/>
        <v>80.9090909090909</v>
      </c>
      <c r="G18" s="38">
        <v>8.5</v>
      </c>
      <c r="H18" s="38">
        <v>8</v>
      </c>
      <c r="I18" s="11">
        <f t="shared" si="1"/>
        <v>94.11764705882352</v>
      </c>
      <c r="J18" s="38">
        <v>9.4</v>
      </c>
      <c r="K18" s="38">
        <v>6.6</v>
      </c>
      <c r="L18" s="11">
        <f t="shared" si="2"/>
        <v>70.2127659574468</v>
      </c>
      <c r="M18" s="80">
        <f t="shared" si="15"/>
        <v>28.9</v>
      </c>
      <c r="N18" s="80">
        <f t="shared" si="16"/>
        <v>23.5</v>
      </c>
      <c r="O18" s="11">
        <f t="shared" si="11"/>
        <v>81.31487889273356</v>
      </c>
      <c r="P18" s="38">
        <v>10.1</v>
      </c>
      <c r="Q18" s="38">
        <v>7.5</v>
      </c>
      <c r="R18" s="11">
        <f t="shared" si="3"/>
        <v>74.25742574257426</v>
      </c>
      <c r="S18" s="38">
        <v>8.6</v>
      </c>
      <c r="T18" s="38">
        <v>14.6</v>
      </c>
      <c r="U18" s="11">
        <f t="shared" si="4"/>
        <v>169.76744186046514</v>
      </c>
      <c r="V18" s="38">
        <v>10.8</v>
      </c>
      <c r="W18" s="38">
        <v>6.2</v>
      </c>
      <c r="X18" s="11">
        <f t="shared" si="5"/>
        <v>57.407407407407405</v>
      </c>
      <c r="Y18" s="80">
        <f t="shared" si="12"/>
        <v>29.5</v>
      </c>
      <c r="Z18" s="80">
        <f t="shared" si="13"/>
        <v>28.3</v>
      </c>
      <c r="AA18" s="11">
        <f t="shared" si="6"/>
        <v>95.9322033898305</v>
      </c>
      <c r="AB18" s="38">
        <v>10.9</v>
      </c>
      <c r="AC18" s="38">
        <v>12.5</v>
      </c>
      <c r="AD18" s="11">
        <f t="shared" si="7"/>
        <v>114.6788990825688</v>
      </c>
      <c r="AE18" s="38">
        <v>7.8</v>
      </c>
      <c r="AF18" s="38">
        <v>9.3</v>
      </c>
      <c r="AG18" s="11">
        <f t="shared" si="22"/>
        <v>119.23076923076925</v>
      </c>
      <c r="AH18" s="38">
        <v>8.6</v>
      </c>
      <c r="AI18" s="38">
        <v>6.4</v>
      </c>
      <c r="AJ18" s="80">
        <f t="shared" si="17"/>
        <v>27.299999999999997</v>
      </c>
      <c r="AK18" s="80">
        <f t="shared" si="18"/>
        <v>28.200000000000003</v>
      </c>
      <c r="AL18" s="11">
        <f t="shared" si="8"/>
        <v>103.29670329670331</v>
      </c>
      <c r="AM18" s="38">
        <v>9.1</v>
      </c>
      <c r="AN18" s="38">
        <v>7.5</v>
      </c>
      <c r="AO18" s="38">
        <v>12.1</v>
      </c>
      <c r="AP18" s="38">
        <v>11.2</v>
      </c>
      <c r="AQ18" s="38">
        <v>11.1</v>
      </c>
      <c r="AR18" s="38">
        <v>12</v>
      </c>
      <c r="AS18" s="65">
        <f t="shared" si="19"/>
        <v>117.99999999999997</v>
      </c>
      <c r="AT18" s="65">
        <f t="shared" si="20"/>
        <v>110.7</v>
      </c>
      <c r="AU18" s="11">
        <f t="shared" si="10"/>
        <v>93.81355932203392</v>
      </c>
      <c r="AV18" s="65">
        <f t="shared" si="21"/>
        <v>7.299999999999969</v>
      </c>
      <c r="AW18" s="18">
        <f t="shared" si="14"/>
        <v>10.799999999999969</v>
      </c>
    </row>
    <row r="19" spans="1:49" ht="24.75" customHeight="1">
      <c r="A19" s="13" t="s">
        <v>23</v>
      </c>
      <c r="B19" s="41" t="s">
        <v>100</v>
      </c>
      <c r="C19" s="98">
        <v>414.7</v>
      </c>
      <c r="D19" s="38">
        <v>198.9</v>
      </c>
      <c r="E19" s="38">
        <v>187.3</v>
      </c>
      <c r="F19" s="60">
        <f t="shared" si="0"/>
        <v>94.16792357968828</v>
      </c>
      <c r="G19" s="38">
        <v>188</v>
      </c>
      <c r="H19" s="38">
        <v>328.7</v>
      </c>
      <c r="I19" s="68">
        <f t="shared" si="1"/>
        <v>174.8404255319149</v>
      </c>
      <c r="J19" s="38">
        <v>210</v>
      </c>
      <c r="K19" s="38">
        <v>196.2</v>
      </c>
      <c r="L19" s="68">
        <f t="shared" si="2"/>
        <v>93.42857142857143</v>
      </c>
      <c r="M19" s="80">
        <f t="shared" si="15"/>
        <v>596.9</v>
      </c>
      <c r="N19" s="80">
        <f t="shared" si="16"/>
        <v>712.2</v>
      </c>
      <c r="O19" s="11">
        <f t="shared" si="11"/>
        <v>119.31646842017089</v>
      </c>
      <c r="P19" s="38">
        <v>217.9</v>
      </c>
      <c r="Q19" s="38">
        <v>67.7</v>
      </c>
      <c r="R19" s="128">
        <f t="shared" si="3"/>
        <v>31.069297843047273</v>
      </c>
      <c r="S19" s="38">
        <v>195.7</v>
      </c>
      <c r="T19" s="38">
        <v>317.7</v>
      </c>
      <c r="U19" s="128">
        <f t="shared" si="4"/>
        <v>162.3403168114461</v>
      </c>
      <c r="V19" s="38">
        <v>157.4</v>
      </c>
      <c r="W19" s="38">
        <v>222.4</v>
      </c>
      <c r="X19" s="11">
        <f t="shared" si="5"/>
        <v>141.29606099110546</v>
      </c>
      <c r="Y19" s="80">
        <f t="shared" si="12"/>
        <v>571</v>
      </c>
      <c r="Z19" s="80">
        <f t="shared" si="13"/>
        <v>607.8</v>
      </c>
      <c r="AA19" s="11">
        <f t="shared" si="6"/>
        <v>106.4448336252189</v>
      </c>
      <c r="AB19" s="38">
        <v>157.8</v>
      </c>
      <c r="AC19" s="38">
        <v>43.3</v>
      </c>
      <c r="AD19" s="11">
        <f t="shared" si="7"/>
        <v>27.439797211660327</v>
      </c>
      <c r="AE19" s="38">
        <v>169.1</v>
      </c>
      <c r="AF19" s="38">
        <v>175.3</v>
      </c>
      <c r="AG19" s="129">
        <f t="shared" si="22"/>
        <v>103.66646954464815</v>
      </c>
      <c r="AH19" s="38">
        <v>167.2</v>
      </c>
      <c r="AI19" s="38">
        <v>268.8</v>
      </c>
      <c r="AJ19" s="80">
        <f t="shared" si="17"/>
        <v>494.09999999999997</v>
      </c>
      <c r="AK19" s="80">
        <f t="shared" si="18"/>
        <v>487.40000000000003</v>
      </c>
      <c r="AL19" s="11">
        <f t="shared" si="8"/>
        <v>98.64399919044729</v>
      </c>
      <c r="AM19" s="38">
        <v>200.7</v>
      </c>
      <c r="AN19" s="38">
        <v>168.4</v>
      </c>
      <c r="AO19" s="38">
        <v>181.7</v>
      </c>
      <c r="AP19" s="38">
        <v>188.6</v>
      </c>
      <c r="AQ19" s="38">
        <v>232.4</v>
      </c>
      <c r="AR19" s="38">
        <v>161</v>
      </c>
      <c r="AS19" s="65">
        <f t="shared" si="19"/>
        <v>2276.8</v>
      </c>
      <c r="AT19" s="65">
        <f t="shared" si="20"/>
        <v>2325.4</v>
      </c>
      <c r="AU19" s="11">
        <f t="shared" si="10"/>
        <v>102.13457484188334</v>
      </c>
      <c r="AV19" s="65">
        <f t="shared" si="21"/>
        <v>-48.59999999999991</v>
      </c>
      <c r="AW19" s="18">
        <f t="shared" si="14"/>
        <v>366.0999999999999</v>
      </c>
    </row>
    <row r="20" spans="1:49" ht="24.75" customHeight="1">
      <c r="A20" s="13" t="s">
        <v>24</v>
      </c>
      <c r="B20" s="15" t="s">
        <v>101</v>
      </c>
      <c r="C20" s="108">
        <v>-16.2</v>
      </c>
      <c r="D20" s="38">
        <v>6.2</v>
      </c>
      <c r="E20" s="38">
        <v>6.3</v>
      </c>
      <c r="F20" s="85">
        <f t="shared" si="0"/>
        <v>101.61290322580645</v>
      </c>
      <c r="G20" s="38">
        <v>4.4</v>
      </c>
      <c r="H20" s="38">
        <v>30.9</v>
      </c>
      <c r="I20" s="68">
        <f t="shared" si="1"/>
        <v>702.2727272727271</v>
      </c>
      <c r="J20" s="38">
        <v>5.8</v>
      </c>
      <c r="K20" s="38">
        <v>5.3</v>
      </c>
      <c r="L20" s="68">
        <f t="shared" si="2"/>
        <v>91.37931034482759</v>
      </c>
      <c r="M20" s="80">
        <f t="shared" si="15"/>
        <v>16.400000000000002</v>
      </c>
      <c r="N20" s="80">
        <f t="shared" si="16"/>
        <v>42.49999999999999</v>
      </c>
      <c r="O20" s="11">
        <f t="shared" si="11"/>
        <v>259.14634146341456</v>
      </c>
      <c r="P20" s="38">
        <v>7.6</v>
      </c>
      <c r="Q20" s="38">
        <v>4.9</v>
      </c>
      <c r="R20" s="128">
        <f t="shared" si="3"/>
        <v>64.47368421052633</v>
      </c>
      <c r="S20" s="38">
        <v>8.1</v>
      </c>
      <c r="T20" s="38">
        <v>4.9</v>
      </c>
      <c r="U20" s="128">
        <f t="shared" si="4"/>
        <v>60.49382716049383</v>
      </c>
      <c r="V20" s="38">
        <v>8.1</v>
      </c>
      <c r="W20" s="38">
        <v>3.4</v>
      </c>
      <c r="X20" s="11">
        <f t="shared" si="5"/>
        <v>41.97530864197531</v>
      </c>
      <c r="Y20" s="80">
        <f t="shared" si="12"/>
        <v>23.799999999999997</v>
      </c>
      <c r="Z20" s="80">
        <f t="shared" si="13"/>
        <v>13.200000000000001</v>
      </c>
      <c r="AA20" s="11">
        <f t="shared" si="6"/>
        <v>55.462184873949596</v>
      </c>
      <c r="AB20" s="38">
        <v>8</v>
      </c>
      <c r="AC20" s="38">
        <v>4.3</v>
      </c>
      <c r="AD20" s="11">
        <f t="shared" si="7"/>
        <v>53.75</v>
      </c>
      <c r="AE20" s="38">
        <v>18</v>
      </c>
      <c r="AF20" s="38">
        <v>15.1</v>
      </c>
      <c r="AG20" s="11">
        <f t="shared" si="22"/>
        <v>83.88888888888889</v>
      </c>
      <c r="AH20" s="38">
        <v>7.2</v>
      </c>
      <c r="AI20" s="38">
        <v>6.9</v>
      </c>
      <c r="AJ20" s="80">
        <f t="shared" si="17"/>
        <v>33.2</v>
      </c>
      <c r="AK20" s="80">
        <f t="shared" si="18"/>
        <v>26.299999999999997</v>
      </c>
      <c r="AL20" s="11">
        <f t="shared" si="8"/>
        <v>79.2168674698795</v>
      </c>
      <c r="AM20" s="38">
        <v>7.3</v>
      </c>
      <c r="AN20" s="38">
        <v>4.8</v>
      </c>
      <c r="AO20" s="38">
        <v>7.1</v>
      </c>
      <c r="AP20" s="38">
        <v>5.6</v>
      </c>
      <c r="AQ20" s="38">
        <v>5.4</v>
      </c>
      <c r="AR20" s="38">
        <v>4.4</v>
      </c>
      <c r="AS20" s="65">
        <f t="shared" si="19"/>
        <v>93.2</v>
      </c>
      <c r="AT20" s="65">
        <f t="shared" si="20"/>
        <v>96.8</v>
      </c>
      <c r="AU20" s="11">
        <f t="shared" si="10"/>
        <v>103.862660944206</v>
      </c>
      <c r="AV20" s="65">
        <f t="shared" si="21"/>
        <v>-3.5999999999999943</v>
      </c>
      <c r="AW20" s="18">
        <f t="shared" si="14"/>
        <v>-19.799999999999997</v>
      </c>
    </row>
    <row r="21" spans="1:49" ht="24.75" customHeight="1">
      <c r="A21" s="13" t="s">
        <v>25</v>
      </c>
      <c r="B21" s="50" t="s">
        <v>102</v>
      </c>
      <c r="C21" s="98"/>
      <c r="D21" s="38"/>
      <c r="E21" s="38"/>
      <c r="F21" s="18"/>
      <c r="G21" s="38"/>
      <c r="H21" s="38"/>
      <c r="I21" s="68"/>
      <c r="J21" s="38"/>
      <c r="K21" s="38"/>
      <c r="L21" s="68"/>
      <c r="M21" s="80"/>
      <c r="N21" s="80"/>
      <c r="O21" s="11"/>
      <c r="P21" s="38"/>
      <c r="Q21" s="38"/>
      <c r="R21" s="68"/>
      <c r="S21" s="38"/>
      <c r="T21" s="38"/>
      <c r="U21" s="68"/>
      <c r="V21" s="38"/>
      <c r="W21" s="38"/>
      <c r="X21" s="11" t="e">
        <f t="shared" si="5"/>
        <v>#DIV/0!</v>
      </c>
      <c r="Y21" s="80"/>
      <c r="Z21" s="80"/>
      <c r="AA21" s="11"/>
      <c r="AB21" s="38"/>
      <c r="AC21" s="38"/>
      <c r="AD21" s="101" t="e">
        <f t="shared" si="7"/>
        <v>#DIV/0!</v>
      </c>
      <c r="AE21" s="38"/>
      <c r="AF21" s="38"/>
      <c r="AG21" s="11"/>
      <c r="AH21" s="38"/>
      <c r="AI21" s="38"/>
      <c r="AJ21" s="80"/>
      <c r="AK21" s="80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09">
        <v>13.4</v>
      </c>
      <c r="D22" s="38">
        <v>1.2</v>
      </c>
      <c r="E22" s="38">
        <v>9.7</v>
      </c>
      <c r="F22" s="118">
        <f aca="true" t="shared" si="23" ref="F22:F28">E22/D22*100</f>
        <v>808.3333333333334</v>
      </c>
      <c r="G22" s="38">
        <v>5.8</v>
      </c>
      <c r="H22" s="38">
        <v>5.6</v>
      </c>
      <c r="I22" s="68">
        <f t="shared" si="1"/>
        <v>96.55172413793103</v>
      </c>
      <c r="J22" s="38">
        <v>7.1</v>
      </c>
      <c r="K22" s="38">
        <v>5.8</v>
      </c>
      <c r="L22" s="68">
        <f>K22/J22*100</f>
        <v>81.69014084507043</v>
      </c>
      <c r="M22" s="80">
        <f t="shared" si="15"/>
        <v>14.1</v>
      </c>
      <c r="N22" s="80">
        <f t="shared" si="16"/>
        <v>21.099999999999998</v>
      </c>
      <c r="O22" s="11">
        <f t="shared" si="11"/>
        <v>149.64539007092196</v>
      </c>
      <c r="P22" s="38">
        <v>12.9</v>
      </c>
      <c r="Q22" s="38">
        <v>4.6</v>
      </c>
      <c r="R22" s="128">
        <f>Q22/P22*100</f>
        <v>35.65891472868217</v>
      </c>
      <c r="S22" s="38">
        <v>8.4</v>
      </c>
      <c r="T22" s="38">
        <v>11.2</v>
      </c>
      <c r="U22" s="128">
        <f>T22/S22*100</f>
        <v>133.33333333333331</v>
      </c>
      <c r="V22" s="38">
        <v>9.8</v>
      </c>
      <c r="W22" s="38">
        <v>10.4</v>
      </c>
      <c r="X22" s="11">
        <f t="shared" si="5"/>
        <v>106.12244897959184</v>
      </c>
      <c r="Y22" s="80">
        <f aca="true" t="shared" si="24" ref="Y22:Z28">P22+S22+V22</f>
        <v>31.1</v>
      </c>
      <c r="Z22" s="80">
        <f t="shared" si="24"/>
        <v>26.2</v>
      </c>
      <c r="AA22" s="11">
        <f aca="true" t="shared" si="25" ref="AA22:AA28">Z22/Y22*100</f>
        <v>84.24437299035368</v>
      </c>
      <c r="AB22" s="38">
        <v>10.8</v>
      </c>
      <c r="AC22" s="38">
        <v>10.3</v>
      </c>
      <c r="AD22" s="11">
        <f t="shared" si="7"/>
        <v>95.37037037037037</v>
      </c>
      <c r="AE22" s="38">
        <v>8.7</v>
      </c>
      <c r="AF22" s="38">
        <v>7.5</v>
      </c>
      <c r="AG22" s="130">
        <f t="shared" si="22"/>
        <v>86.20689655172414</v>
      </c>
      <c r="AH22" s="38">
        <v>6.1</v>
      </c>
      <c r="AI22" s="38">
        <v>6.5</v>
      </c>
      <c r="AJ22" s="80">
        <f t="shared" si="17"/>
        <v>25.6</v>
      </c>
      <c r="AK22" s="80">
        <f t="shared" si="18"/>
        <v>24.3</v>
      </c>
      <c r="AL22" s="11">
        <f aca="true" t="shared" si="26" ref="AL22:AL28">AK22/AJ22*100</f>
        <v>94.921875</v>
      </c>
      <c r="AM22" s="38">
        <v>8.3</v>
      </c>
      <c r="AN22" s="38">
        <v>10.5</v>
      </c>
      <c r="AO22" s="38">
        <v>13.2</v>
      </c>
      <c r="AP22" s="38">
        <v>9</v>
      </c>
      <c r="AQ22" s="38">
        <v>10.2</v>
      </c>
      <c r="AR22" s="38">
        <v>12.6</v>
      </c>
      <c r="AS22" s="65">
        <f t="shared" si="19"/>
        <v>102.50000000000001</v>
      </c>
      <c r="AT22" s="65">
        <f t="shared" si="20"/>
        <v>103.69999999999999</v>
      </c>
      <c r="AU22" s="11">
        <f t="shared" si="10"/>
        <v>101.17073170731705</v>
      </c>
      <c r="AV22" s="65">
        <f t="shared" si="21"/>
        <v>-1.1999999999999744</v>
      </c>
      <c r="AW22" s="18">
        <f aca="true" t="shared" si="27" ref="AW22:AW28">C22+AS22-AT22</f>
        <v>12.200000000000031</v>
      </c>
    </row>
    <row r="23" spans="1:49" ht="24.75" customHeight="1">
      <c r="A23" s="13" t="s">
        <v>27</v>
      </c>
      <c r="B23" s="15" t="s">
        <v>124</v>
      </c>
      <c r="C23" s="98">
        <v>4</v>
      </c>
      <c r="D23" s="38">
        <v>3.7</v>
      </c>
      <c r="E23" s="38">
        <v>3.7</v>
      </c>
      <c r="F23" s="87">
        <f t="shared" si="23"/>
        <v>100</v>
      </c>
      <c r="G23" s="38">
        <v>4.7</v>
      </c>
      <c r="H23" s="38">
        <v>3.3</v>
      </c>
      <c r="I23" s="11">
        <f t="shared" si="1"/>
        <v>70.2127659574468</v>
      </c>
      <c r="J23" s="38">
        <v>4</v>
      </c>
      <c r="K23" s="38">
        <v>4.1</v>
      </c>
      <c r="L23" s="11">
        <f>K23/J23*100</f>
        <v>102.49999999999999</v>
      </c>
      <c r="M23" s="80">
        <f t="shared" si="15"/>
        <v>12.4</v>
      </c>
      <c r="N23" s="80">
        <f t="shared" si="16"/>
        <v>11.1</v>
      </c>
      <c r="O23" s="11">
        <f t="shared" si="11"/>
        <v>89.51612903225806</v>
      </c>
      <c r="P23" s="38">
        <v>5.7</v>
      </c>
      <c r="Q23" s="38">
        <v>1.5</v>
      </c>
      <c r="R23" s="11">
        <f>Q23/P23*100</f>
        <v>26.31578947368421</v>
      </c>
      <c r="S23" s="38">
        <v>2.6</v>
      </c>
      <c r="T23" s="38">
        <v>6.8</v>
      </c>
      <c r="U23" s="11">
        <f>T23/S23*100</f>
        <v>261.53846153846155</v>
      </c>
      <c r="V23" s="38">
        <v>1.9</v>
      </c>
      <c r="W23" s="38">
        <v>2.4</v>
      </c>
      <c r="X23" s="11">
        <f t="shared" si="5"/>
        <v>126.3157894736842</v>
      </c>
      <c r="Y23" s="80">
        <f t="shared" si="24"/>
        <v>10.200000000000001</v>
      </c>
      <c r="Z23" s="80">
        <f t="shared" si="24"/>
        <v>10.700000000000001</v>
      </c>
      <c r="AA23" s="11">
        <f t="shared" si="25"/>
        <v>104.90196078431373</v>
      </c>
      <c r="AB23" s="38">
        <v>2</v>
      </c>
      <c r="AC23" s="38">
        <v>1.8</v>
      </c>
      <c r="AD23" s="11">
        <f t="shared" si="7"/>
        <v>90</v>
      </c>
      <c r="AE23" s="38">
        <v>2.5</v>
      </c>
      <c r="AF23" s="38">
        <v>2</v>
      </c>
      <c r="AG23" s="130">
        <f t="shared" si="22"/>
        <v>80</v>
      </c>
      <c r="AH23" s="38">
        <v>2.6</v>
      </c>
      <c r="AI23" s="38">
        <v>2.5</v>
      </c>
      <c r="AJ23" s="80">
        <f t="shared" si="17"/>
        <v>7.1</v>
      </c>
      <c r="AK23" s="80">
        <f t="shared" si="18"/>
        <v>6.3</v>
      </c>
      <c r="AL23" s="11">
        <f t="shared" si="26"/>
        <v>88.73239436619718</v>
      </c>
      <c r="AM23" s="38">
        <v>3.9</v>
      </c>
      <c r="AN23" s="38">
        <v>2.6</v>
      </c>
      <c r="AO23" s="38">
        <v>4.6</v>
      </c>
      <c r="AP23" s="38">
        <v>2.2</v>
      </c>
      <c r="AQ23" s="38">
        <v>3.7</v>
      </c>
      <c r="AR23" s="38">
        <v>8</v>
      </c>
      <c r="AS23" s="65">
        <f t="shared" si="19"/>
        <v>41.900000000000006</v>
      </c>
      <c r="AT23" s="65">
        <f t="shared" si="20"/>
        <v>40.900000000000006</v>
      </c>
      <c r="AU23" s="11">
        <f t="shared" si="10"/>
        <v>97.61336515513126</v>
      </c>
      <c r="AV23" s="65">
        <f t="shared" si="21"/>
        <v>1</v>
      </c>
      <c r="AW23" s="18">
        <f t="shared" si="27"/>
        <v>5</v>
      </c>
    </row>
    <row r="24" spans="1:49" ht="24.75" customHeight="1">
      <c r="A24" s="13" t="s">
        <v>28</v>
      </c>
      <c r="B24" s="15" t="s">
        <v>104</v>
      </c>
      <c r="C24" s="98">
        <v>9.5</v>
      </c>
      <c r="D24" s="38">
        <v>85.6</v>
      </c>
      <c r="E24" s="38">
        <v>84.7</v>
      </c>
      <c r="F24" s="11">
        <f t="shared" si="23"/>
        <v>98.94859813084113</v>
      </c>
      <c r="G24" s="38">
        <v>92.8</v>
      </c>
      <c r="H24" s="38">
        <v>81.2</v>
      </c>
      <c r="I24" s="11">
        <f t="shared" si="1"/>
        <v>87.50000000000001</v>
      </c>
      <c r="J24" s="38">
        <v>99.7</v>
      </c>
      <c r="K24" s="38">
        <v>116.5</v>
      </c>
      <c r="L24" s="11">
        <f>K24/J24*100</f>
        <v>116.8505516549649</v>
      </c>
      <c r="M24" s="80">
        <f t="shared" si="15"/>
        <v>278.09999999999997</v>
      </c>
      <c r="N24" s="80">
        <f t="shared" si="16"/>
        <v>282.4</v>
      </c>
      <c r="O24" s="11">
        <f t="shared" si="11"/>
        <v>101.54620640057534</v>
      </c>
      <c r="P24" s="38">
        <v>100.7</v>
      </c>
      <c r="Q24" s="38">
        <v>83.6</v>
      </c>
      <c r="R24" s="11">
        <f>Q24/P24*100</f>
        <v>83.0188679245283</v>
      </c>
      <c r="S24" s="38">
        <v>133.1</v>
      </c>
      <c r="T24" s="38">
        <v>127.4</v>
      </c>
      <c r="U24" s="11">
        <f>T24/S24*100</f>
        <v>95.71750563486101</v>
      </c>
      <c r="V24" s="38">
        <v>159.9</v>
      </c>
      <c r="W24" s="38">
        <v>139.3</v>
      </c>
      <c r="X24" s="11">
        <f t="shared" si="5"/>
        <v>87.11694809255786</v>
      </c>
      <c r="Y24" s="80">
        <f t="shared" si="24"/>
        <v>393.70000000000005</v>
      </c>
      <c r="Z24" s="80">
        <f t="shared" si="24"/>
        <v>350.3</v>
      </c>
      <c r="AA24" s="11">
        <f t="shared" si="25"/>
        <v>88.9763779527559</v>
      </c>
      <c r="AB24" s="38">
        <v>154.5</v>
      </c>
      <c r="AC24" s="38">
        <v>137.4</v>
      </c>
      <c r="AD24" s="11">
        <f t="shared" si="7"/>
        <v>88.93203883495146</v>
      </c>
      <c r="AE24" s="38">
        <v>136.8</v>
      </c>
      <c r="AF24" s="38">
        <v>141.8</v>
      </c>
      <c r="AG24" s="130">
        <f t="shared" si="22"/>
        <v>103.65497076023391</v>
      </c>
      <c r="AH24" s="38">
        <v>130.3</v>
      </c>
      <c r="AI24" s="38">
        <v>146.1</v>
      </c>
      <c r="AJ24" s="80">
        <f t="shared" si="17"/>
        <v>421.6</v>
      </c>
      <c r="AK24" s="80">
        <f t="shared" si="18"/>
        <v>425.30000000000007</v>
      </c>
      <c r="AL24" s="11">
        <f t="shared" si="26"/>
        <v>100.87760910815939</v>
      </c>
      <c r="AM24" s="38">
        <v>181.4</v>
      </c>
      <c r="AN24" s="38">
        <v>195.1</v>
      </c>
      <c r="AO24" s="38">
        <v>153.6</v>
      </c>
      <c r="AP24" s="38">
        <v>181.6</v>
      </c>
      <c r="AQ24" s="38">
        <v>151.9</v>
      </c>
      <c r="AR24" s="38">
        <v>114.7</v>
      </c>
      <c r="AS24" s="65">
        <f t="shared" si="19"/>
        <v>1580.3000000000002</v>
      </c>
      <c r="AT24" s="65">
        <f t="shared" si="20"/>
        <v>1549.3999999999999</v>
      </c>
      <c r="AU24" s="11">
        <f t="shared" si="10"/>
        <v>98.04467506169713</v>
      </c>
      <c r="AV24" s="65">
        <f t="shared" si="21"/>
        <v>30.90000000000032</v>
      </c>
      <c r="AW24" s="18">
        <f t="shared" si="27"/>
        <v>40.40000000000032</v>
      </c>
    </row>
    <row r="25" spans="1:49" ht="24.75" customHeight="1">
      <c r="A25" s="13" t="s">
        <v>29</v>
      </c>
      <c r="B25" s="41" t="s">
        <v>105</v>
      </c>
      <c r="C25" s="98">
        <v>30.2</v>
      </c>
      <c r="D25" s="38">
        <v>20.4</v>
      </c>
      <c r="E25" s="38">
        <v>13.3</v>
      </c>
      <c r="F25" s="11">
        <f t="shared" si="23"/>
        <v>65.19607843137256</v>
      </c>
      <c r="G25" s="38">
        <v>20.4</v>
      </c>
      <c r="H25" s="38">
        <v>21.5</v>
      </c>
      <c r="I25" s="11">
        <f t="shared" si="1"/>
        <v>105.3921568627451</v>
      </c>
      <c r="J25" s="38">
        <v>21.7</v>
      </c>
      <c r="K25" s="38">
        <v>17.9</v>
      </c>
      <c r="L25" s="11">
        <f>K25/J25*100</f>
        <v>82.48847926267281</v>
      </c>
      <c r="M25" s="80">
        <f t="shared" si="15"/>
        <v>62.5</v>
      </c>
      <c r="N25" s="80">
        <f t="shared" si="16"/>
        <v>52.699999999999996</v>
      </c>
      <c r="O25" s="11">
        <f t="shared" si="11"/>
        <v>84.32</v>
      </c>
      <c r="P25" s="38">
        <v>26.1</v>
      </c>
      <c r="Q25" s="38">
        <v>17.1</v>
      </c>
      <c r="R25" s="11">
        <f>Q25/P25*100</f>
        <v>65.51724137931035</v>
      </c>
      <c r="S25" s="38">
        <v>31.7</v>
      </c>
      <c r="T25" s="38">
        <v>19.3</v>
      </c>
      <c r="U25" s="11">
        <f>T25/S25*100</f>
        <v>60.88328075709779</v>
      </c>
      <c r="V25" s="38">
        <v>27.5</v>
      </c>
      <c r="W25" s="38">
        <v>40.4</v>
      </c>
      <c r="X25" s="11">
        <f>W25/V25*100</f>
        <v>146.9090909090909</v>
      </c>
      <c r="Y25" s="80">
        <f t="shared" si="24"/>
        <v>85.3</v>
      </c>
      <c r="Z25" s="80">
        <f t="shared" si="24"/>
        <v>76.80000000000001</v>
      </c>
      <c r="AA25" s="11">
        <f t="shared" si="25"/>
        <v>90.03516998827669</v>
      </c>
      <c r="AB25" s="38">
        <v>28</v>
      </c>
      <c r="AC25" s="38">
        <v>24.8</v>
      </c>
      <c r="AD25" s="11">
        <f>AC25/AB25*100</f>
        <v>88.57142857142858</v>
      </c>
      <c r="AE25" s="38">
        <v>22</v>
      </c>
      <c r="AF25" s="38">
        <v>22.6</v>
      </c>
      <c r="AG25" s="11">
        <f>AF25/AE25*100</f>
        <v>102.72727272727273</v>
      </c>
      <c r="AH25" s="38">
        <v>22.1</v>
      </c>
      <c r="AI25" s="38">
        <v>17.5</v>
      </c>
      <c r="AJ25" s="80">
        <f t="shared" si="17"/>
        <v>72.1</v>
      </c>
      <c r="AK25" s="80">
        <f t="shared" si="18"/>
        <v>64.9</v>
      </c>
      <c r="AL25" s="11">
        <f t="shared" si="26"/>
        <v>90.01386962552013</v>
      </c>
      <c r="AM25" s="38">
        <v>21.4</v>
      </c>
      <c r="AN25" s="38">
        <v>37</v>
      </c>
      <c r="AO25" s="38">
        <v>22.7</v>
      </c>
      <c r="AP25" s="38">
        <v>19.9</v>
      </c>
      <c r="AQ25" s="38">
        <v>22.8</v>
      </c>
      <c r="AR25" s="38">
        <v>17.3</v>
      </c>
      <c r="AS25" s="65">
        <f t="shared" si="19"/>
        <v>286.8</v>
      </c>
      <c r="AT25" s="65">
        <f t="shared" si="20"/>
        <v>268.6</v>
      </c>
      <c r="AU25" s="11">
        <f t="shared" si="10"/>
        <v>93.65411436541144</v>
      </c>
      <c r="AV25" s="65">
        <f t="shared" si="21"/>
        <v>18.19999999999999</v>
      </c>
      <c r="AW25" s="18">
        <f t="shared" si="27"/>
        <v>48.39999999999998</v>
      </c>
    </row>
    <row r="26" spans="1:49" ht="24.75" customHeight="1">
      <c r="A26" s="13" t="s">
        <v>30</v>
      </c>
      <c r="B26" s="15" t="s">
        <v>106</v>
      </c>
      <c r="C26" s="98">
        <v>1.2</v>
      </c>
      <c r="D26" s="38">
        <v>2.3</v>
      </c>
      <c r="E26" s="38">
        <v>1.1</v>
      </c>
      <c r="F26" s="11">
        <f t="shared" si="23"/>
        <v>47.82608695652175</v>
      </c>
      <c r="G26" s="38">
        <v>2.8</v>
      </c>
      <c r="H26" s="38">
        <v>2.4</v>
      </c>
      <c r="I26" s="11">
        <v>0</v>
      </c>
      <c r="J26" s="38">
        <v>3.2</v>
      </c>
      <c r="K26" s="38">
        <v>3.1</v>
      </c>
      <c r="L26" s="11">
        <v>0</v>
      </c>
      <c r="M26" s="80">
        <f t="shared" si="15"/>
        <v>8.3</v>
      </c>
      <c r="N26" s="80">
        <f t="shared" si="16"/>
        <v>6.6</v>
      </c>
      <c r="O26" s="11">
        <f t="shared" si="11"/>
        <v>79.51807228915662</v>
      </c>
      <c r="P26" s="38">
        <v>1.3</v>
      </c>
      <c r="Q26" s="38">
        <v>3.7</v>
      </c>
      <c r="R26" s="11">
        <v>0</v>
      </c>
      <c r="S26" s="38">
        <v>0.1</v>
      </c>
      <c r="T26" s="38">
        <v>0.4</v>
      </c>
      <c r="U26" s="11">
        <v>0</v>
      </c>
      <c r="V26" s="38">
        <v>0.1</v>
      </c>
      <c r="W26" s="38">
        <v>0.1</v>
      </c>
      <c r="X26" s="11">
        <v>0</v>
      </c>
      <c r="Y26" s="80">
        <f t="shared" si="24"/>
        <v>1.5000000000000002</v>
      </c>
      <c r="Z26" s="80">
        <f t="shared" si="24"/>
        <v>4.2</v>
      </c>
      <c r="AA26" s="11">
        <f t="shared" si="25"/>
        <v>280</v>
      </c>
      <c r="AB26" s="38">
        <v>0.1</v>
      </c>
      <c r="AC26" s="38">
        <v>0.1</v>
      </c>
      <c r="AD26" s="11">
        <v>0</v>
      </c>
      <c r="AE26" s="38">
        <v>0.1</v>
      </c>
      <c r="AF26" s="38">
        <v>0.1</v>
      </c>
      <c r="AG26" s="11">
        <f>AF26/AE26*100</f>
        <v>100</v>
      </c>
      <c r="AH26" s="38">
        <v>0.5</v>
      </c>
      <c r="AI26" s="38">
        <v>0.2</v>
      </c>
      <c r="AJ26" s="80">
        <f t="shared" si="17"/>
        <v>0.7</v>
      </c>
      <c r="AK26" s="80">
        <f t="shared" si="18"/>
        <v>0.4</v>
      </c>
      <c r="AL26" s="11">
        <f t="shared" si="26"/>
        <v>57.14285714285715</v>
      </c>
      <c r="AM26" s="38">
        <v>0.6</v>
      </c>
      <c r="AN26" s="38">
        <v>0.2</v>
      </c>
      <c r="AO26" s="38">
        <v>5.1</v>
      </c>
      <c r="AP26" s="38">
        <v>2</v>
      </c>
      <c r="AQ26" s="38">
        <v>4</v>
      </c>
      <c r="AR26" s="38">
        <v>5.2</v>
      </c>
      <c r="AS26" s="65">
        <f t="shared" si="19"/>
        <v>20.2</v>
      </c>
      <c r="AT26" s="65">
        <f t="shared" si="20"/>
        <v>18.6</v>
      </c>
      <c r="AU26" s="11">
        <f t="shared" si="10"/>
        <v>92.0792079207921</v>
      </c>
      <c r="AV26" s="65">
        <f t="shared" si="21"/>
        <v>1.5999999999999979</v>
      </c>
      <c r="AW26" s="18">
        <f t="shared" si="27"/>
        <v>2.799999999999997</v>
      </c>
    </row>
    <row r="27" spans="1:49" ht="24.75" customHeight="1">
      <c r="A27" s="13" t="s">
        <v>31</v>
      </c>
      <c r="B27" s="15" t="s">
        <v>107</v>
      </c>
      <c r="C27" s="98">
        <v>0</v>
      </c>
      <c r="D27" s="38">
        <v>8.6</v>
      </c>
      <c r="E27" s="38">
        <v>8.6</v>
      </c>
      <c r="F27" s="11">
        <f t="shared" si="23"/>
        <v>100</v>
      </c>
      <c r="G27" s="38">
        <v>0</v>
      </c>
      <c r="H27" s="38">
        <v>0</v>
      </c>
      <c r="I27" s="11">
        <v>0</v>
      </c>
      <c r="J27" s="38">
        <v>15.6</v>
      </c>
      <c r="K27" s="38">
        <v>15.6</v>
      </c>
      <c r="L27" s="11">
        <v>0</v>
      </c>
      <c r="M27" s="80">
        <f t="shared" si="15"/>
        <v>24.2</v>
      </c>
      <c r="N27" s="80">
        <f t="shared" si="16"/>
        <v>24.2</v>
      </c>
      <c r="O27" s="11">
        <f t="shared" si="11"/>
        <v>100</v>
      </c>
      <c r="P27" s="38">
        <v>0</v>
      </c>
      <c r="Q27" s="38">
        <v>0</v>
      </c>
      <c r="R27" s="11">
        <v>0</v>
      </c>
      <c r="S27" s="38">
        <v>15</v>
      </c>
      <c r="T27" s="38">
        <v>15</v>
      </c>
      <c r="U27" s="11">
        <v>0</v>
      </c>
      <c r="V27" s="38">
        <v>17.9</v>
      </c>
      <c r="W27" s="38">
        <v>17.9</v>
      </c>
      <c r="X27" s="11">
        <v>0</v>
      </c>
      <c r="Y27" s="80">
        <f t="shared" si="24"/>
        <v>32.9</v>
      </c>
      <c r="Z27" s="80">
        <f t="shared" si="24"/>
        <v>32.9</v>
      </c>
      <c r="AA27" s="11">
        <f t="shared" si="25"/>
        <v>100</v>
      </c>
      <c r="AB27" s="38">
        <v>12</v>
      </c>
      <c r="AC27" s="38">
        <v>12</v>
      </c>
      <c r="AD27" s="11">
        <v>0</v>
      </c>
      <c r="AE27" s="38">
        <v>18.8</v>
      </c>
      <c r="AF27" s="38">
        <v>18.8</v>
      </c>
      <c r="AG27" s="11">
        <f>AF27/AE27*100</f>
        <v>100</v>
      </c>
      <c r="AH27" s="38">
        <v>17.4</v>
      </c>
      <c r="AI27" s="38">
        <v>17.4</v>
      </c>
      <c r="AJ27" s="80">
        <f t="shared" si="17"/>
        <v>48.2</v>
      </c>
      <c r="AK27" s="80">
        <f t="shared" si="18"/>
        <v>48.2</v>
      </c>
      <c r="AL27" s="11">
        <f t="shared" si="26"/>
        <v>100</v>
      </c>
      <c r="AM27" s="38">
        <v>10.3</v>
      </c>
      <c r="AN27" s="38">
        <v>10.3</v>
      </c>
      <c r="AO27" s="38">
        <v>19.1</v>
      </c>
      <c r="AP27" s="38">
        <v>19.1</v>
      </c>
      <c r="AQ27" s="38">
        <v>19.1</v>
      </c>
      <c r="AR27" s="38">
        <v>19.1</v>
      </c>
      <c r="AS27" s="65">
        <f t="shared" si="19"/>
        <v>153.79999999999998</v>
      </c>
      <c r="AT27" s="65">
        <f t="shared" si="20"/>
        <v>153.79999999999998</v>
      </c>
      <c r="AU27" s="11">
        <f t="shared" si="10"/>
        <v>100</v>
      </c>
      <c r="AV27" s="65">
        <f t="shared" si="21"/>
        <v>0</v>
      </c>
      <c r="AW27" s="18">
        <f t="shared" si="27"/>
        <v>0</v>
      </c>
    </row>
    <row r="28" spans="1:49" ht="24.75" customHeight="1">
      <c r="A28" s="13" t="s">
        <v>32</v>
      </c>
      <c r="B28" s="41" t="s">
        <v>108</v>
      </c>
      <c r="C28" s="108">
        <v>79.9</v>
      </c>
      <c r="D28" s="38">
        <v>99.9</v>
      </c>
      <c r="E28" s="38">
        <v>86.7</v>
      </c>
      <c r="F28" s="11">
        <f t="shared" si="23"/>
        <v>86.78678678678679</v>
      </c>
      <c r="G28" s="38">
        <v>82.1</v>
      </c>
      <c r="H28" s="38">
        <v>54.9</v>
      </c>
      <c r="I28" s="11">
        <v>0</v>
      </c>
      <c r="J28" s="38">
        <v>82</v>
      </c>
      <c r="K28" s="38">
        <v>96.4</v>
      </c>
      <c r="L28" s="11">
        <v>0</v>
      </c>
      <c r="M28" s="80">
        <f t="shared" si="15"/>
        <v>264</v>
      </c>
      <c r="N28" s="80">
        <f t="shared" si="16"/>
        <v>238</v>
      </c>
      <c r="O28" s="11">
        <f t="shared" si="11"/>
        <v>90.15151515151516</v>
      </c>
      <c r="P28" s="38">
        <v>72.9</v>
      </c>
      <c r="Q28" s="38">
        <v>63</v>
      </c>
      <c r="R28" s="11">
        <v>0</v>
      </c>
      <c r="S28" s="38">
        <v>68.1</v>
      </c>
      <c r="T28" s="38">
        <v>80.7</v>
      </c>
      <c r="U28" s="11">
        <v>0</v>
      </c>
      <c r="V28" s="38">
        <v>106.5</v>
      </c>
      <c r="W28" s="38">
        <v>82.8</v>
      </c>
      <c r="X28" s="11">
        <v>0</v>
      </c>
      <c r="Y28" s="80">
        <f t="shared" si="24"/>
        <v>247.5</v>
      </c>
      <c r="Z28" s="80">
        <f t="shared" si="24"/>
        <v>226.5</v>
      </c>
      <c r="AA28" s="11">
        <f t="shared" si="25"/>
        <v>91.51515151515152</v>
      </c>
      <c r="AB28" s="38">
        <v>74.3</v>
      </c>
      <c r="AC28" s="38">
        <v>125.1</v>
      </c>
      <c r="AD28" s="11">
        <v>0</v>
      </c>
      <c r="AE28" s="38">
        <v>103.9</v>
      </c>
      <c r="AF28" s="90">
        <v>74.4</v>
      </c>
      <c r="AG28" s="85">
        <f>AF28/AE28*100</f>
        <v>71.60731472569779</v>
      </c>
      <c r="AH28" s="38">
        <v>0</v>
      </c>
      <c r="AI28" s="90">
        <v>0</v>
      </c>
      <c r="AJ28" s="80">
        <f t="shared" si="17"/>
        <v>178.2</v>
      </c>
      <c r="AK28" s="80">
        <f t="shared" si="18"/>
        <v>199.5</v>
      </c>
      <c r="AL28" s="11">
        <f t="shared" si="26"/>
        <v>111.95286195286197</v>
      </c>
      <c r="AM28" s="38">
        <v>203</v>
      </c>
      <c r="AN28" s="90">
        <v>182.8</v>
      </c>
      <c r="AO28" s="38">
        <v>132.9</v>
      </c>
      <c r="AP28" s="90">
        <v>174.5</v>
      </c>
      <c r="AQ28" s="38">
        <v>81.3</v>
      </c>
      <c r="AR28" s="90">
        <v>75.9</v>
      </c>
      <c r="AS28" s="65">
        <f t="shared" si="19"/>
        <v>1106.9</v>
      </c>
      <c r="AT28" s="65">
        <f t="shared" si="20"/>
        <v>1097.2</v>
      </c>
      <c r="AU28" s="11">
        <f t="shared" si="10"/>
        <v>99.12367874243382</v>
      </c>
      <c r="AV28" s="65">
        <f t="shared" si="21"/>
        <v>9.700000000000045</v>
      </c>
      <c r="AW28" s="18">
        <f t="shared" si="27"/>
        <v>89.60000000000014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0">
        <v>4.7</v>
      </c>
      <c r="D30" s="38">
        <v>28.3</v>
      </c>
      <c r="E30" s="38">
        <v>24.3</v>
      </c>
      <c r="F30" s="87">
        <f>E30/D30*100</f>
        <v>85.86572438162544</v>
      </c>
      <c r="G30" s="38">
        <v>31.2</v>
      </c>
      <c r="H30" s="38">
        <v>32.5</v>
      </c>
      <c r="I30" s="68">
        <f t="shared" si="1"/>
        <v>104.16666666666667</v>
      </c>
      <c r="J30" s="38">
        <v>31.4</v>
      </c>
      <c r="K30" s="38">
        <v>35.4</v>
      </c>
      <c r="L30" s="68">
        <f aca="true" t="shared" si="28" ref="L30:L44">K30/J30*100</f>
        <v>112.73885350318471</v>
      </c>
      <c r="M30" s="80">
        <f t="shared" si="15"/>
        <v>90.9</v>
      </c>
      <c r="N30" s="80">
        <f t="shared" si="16"/>
        <v>92.19999999999999</v>
      </c>
      <c r="O30" s="11">
        <f t="shared" si="11"/>
        <v>101.43014301430142</v>
      </c>
      <c r="P30" s="38">
        <v>32.2</v>
      </c>
      <c r="Q30" s="38">
        <v>26.2</v>
      </c>
      <c r="R30" s="128">
        <f aca="true" t="shared" si="29" ref="R30:R45">Q30/P30*100</f>
        <v>81.36645962732918</v>
      </c>
      <c r="S30" s="38">
        <v>35.8</v>
      </c>
      <c r="T30" s="38">
        <v>33</v>
      </c>
      <c r="U30" s="128">
        <f aca="true" t="shared" si="30" ref="U30:U45">T30/S30*100</f>
        <v>92.17877094972067</v>
      </c>
      <c r="V30" s="38">
        <v>35.3</v>
      </c>
      <c r="W30" s="38">
        <v>36</v>
      </c>
      <c r="X30" s="128">
        <f aca="true" t="shared" si="31" ref="X30:X45">W30/V30*100</f>
        <v>101.98300283286119</v>
      </c>
      <c r="Y30" s="80">
        <f aca="true" t="shared" si="32" ref="Y30:Y42">P30+S30+V30</f>
        <v>103.3</v>
      </c>
      <c r="Z30" s="80">
        <f aca="true" t="shared" si="33" ref="Z30:Z42">Q30+T30+W30</f>
        <v>95.2</v>
      </c>
      <c r="AA30" s="11">
        <f aca="true" t="shared" si="34" ref="AA30:AA45">Z30/Y30*100</f>
        <v>92.15876089060988</v>
      </c>
      <c r="AB30" s="38">
        <v>32.8</v>
      </c>
      <c r="AC30" s="38">
        <v>34.2</v>
      </c>
      <c r="AD30" s="128">
        <f aca="true" t="shared" si="35" ref="AD30:AD45">AC30/AB30*100</f>
        <v>104.26829268292686</v>
      </c>
      <c r="AE30" s="38">
        <v>31.5</v>
      </c>
      <c r="AF30" s="38">
        <v>30.4</v>
      </c>
      <c r="AG30" s="129">
        <f aca="true" t="shared" si="36" ref="AG30:AG43">AF30/AE30*100</f>
        <v>96.50793650793649</v>
      </c>
      <c r="AH30" s="38">
        <v>35.1</v>
      </c>
      <c r="AI30" s="38">
        <v>32.9</v>
      </c>
      <c r="AJ30" s="80">
        <f t="shared" si="17"/>
        <v>99.4</v>
      </c>
      <c r="AK30" s="80">
        <f t="shared" si="18"/>
        <v>97.5</v>
      </c>
      <c r="AL30" s="11">
        <f aca="true" t="shared" si="37" ref="AL30:AL45">AK30/AJ30*100</f>
        <v>98.08853118712273</v>
      </c>
      <c r="AM30" s="38">
        <v>33.3</v>
      </c>
      <c r="AN30" s="38">
        <v>31.4</v>
      </c>
      <c r="AO30" s="38">
        <v>30.5</v>
      </c>
      <c r="AP30" s="38">
        <v>40.1</v>
      </c>
      <c r="AQ30" s="38">
        <v>27.9</v>
      </c>
      <c r="AR30" s="38">
        <v>33</v>
      </c>
      <c r="AS30" s="65">
        <f t="shared" si="19"/>
        <v>385.3</v>
      </c>
      <c r="AT30" s="65">
        <f t="shared" si="20"/>
        <v>389.4</v>
      </c>
      <c r="AU30" s="11">
        <f t="shared" si="10"/>
        <v>101.0641058915131</v>
      </c>
      <c r="AV30" s="65">
        <f aca="true" t="shared" si="38" ref="AV30:AV44">AS30-AT30</f>
        <v>-4.099999999999966</v>
      </c>
      <c r="AW30" s="18">
        <f aca="true" t="shared" si="39" ref="AW30:AW42">C30+AS30-AT30</f>
        <v>0.6000000000000227</v>
      </c>
    </row>
    <row r="31" spans="1:49" ht="24.75" customHeight="1">
      <c r="A31" s="13" t="s">
        <v>35</v>
      </c>
      <c r="B31" s="15" t="s">
        <v>111</v>
      </c>
      <c r="C31" s="98">
        <v>1.8</v>
      </c>
      <c r="D31" s="38">
        <v>9.9</v>
      </c>
      <c r="E31" s="38">
        <v>6.3</v>
      </c>
      <c r="F31" s="11">
        <f>E31/D31*100</f>
        <v>63.63636363636363</v>
      </c>
      <c r="G31" s="38">
        <v>9.9</v>
      </c>
      <c r="H31" s="38">
        <v>9.5</v>
      </c>
      <c r="I31" s="11">
        <f t="shared" si="1"/>
        <v>95.95959595959596</v>
      </c>
      <c r="J31" s="38">
        <v>10.3</v>
      </c>
      <c r="K31" s="38">
        <v>6.7</v>
      </c>
      <c r="L31" s="11">
        <f t="shared" si="28"/>
        <v>65.04854368932038</v>
      </c>
      <c r="M31" s="80">
        <f t="shared" si="15"/>
        <v>30.1</v>
      </c>
      <c r="N31" s="80">
        <f t="shared" si="16"/>
        <v>22.5</v>
      </c>
      <c r="O31" s="11">
        <f t="shared" si="11"/>
        <v>74.75083056478405</v>
      </c>
      <c r="P31" s="38">
        <v>11.7</v>
      </c>
      <c r="Q31" s="38">
        <v>7.7</v>
      </c>
      <c r="R31" s="11">
        <f t="shared" si="29"/>
        <v>65.81196581196582</v>
      </c>
      <c r="S31" s="38">
        <v>14.8</v>
      </c>
      <c r="T31" s="38">
        <v>25.4</v>
      </c>
      <c r="U31" s="11">
        <f t="shared" si="30"/>
        <v>171.6216216216216</v>
      </c>
      <c r="V31" s="38">
        <v>12.7</v>
      </c>
      <c r="W31" s="38">
        <v>11</v>
      </c>
      <c r="X31" s="11">
        <f t="shared" si="31"/>
        <v>86.61417322834646</v>
      </c>
      <c r="Y31" s="80">
        <f t="shared" si="32"/>
        <v>39.2</v>
      </c>
      <c r="Z31" s="80">
        <f t="shared" si="33"/>
        <v>44.1</v>
      </c>
      <c r="AA31" s="11">
        <f t="shared" si="34"/>
        <v>112.5</v>
      </c>
      <c r="AB31" s="38">
        <v>13.5</v>
      </c>
      <c r="AC31" s="38">
        <v>8.2</v>
      </c>
      <c r="AD31" s="11">
        <f t="shared" si="35"/>
        <v>60.74074074074074</v>
      </c>
      <c r="AE31" s="38">
        <v>27.5</v>
      </c>
      <c r="AF31" s="38">
        <v>18.7</v>
      </c>
      <c r="AG31" s="129">
        <f t="shared" si="36"/>
        <v>68</v>
      </c>
      <c r="AH31" s="38">
        <v>14.7</v>
      </c>
      <c r="AI31" s="38">
        <v>25.8</v>
      </c>
      <c r="AJ31" s="80">
        <f t="shared" si="17"/>
        <v>55.7</v>
      </c>
      <c r="AK31" s="80">
        <f t="shared" si="18"/>
        <v>52.7</v>
      </c>
      <c r="AL31" s="11">
        <f t="shared" si="37"/>
        <v>94.61400359066428</v>
      </c>
      <c r="AM31" s="38">
        <v>14.7</v>
      </c>
      <c r="AN31" s="38">
        <v>10.9</v>
      </c>
      <c r="AO31" s="38">
        <v>10.8</v>
      </c>
      <c r="AP31" s="38">
        <v>10.8</v>
      </c>
      <c r="AQ31" s="38">
        <v>13.7</v>
      </c>
      <c r="AR31" s="38">
        <v>12.7</v>
      </c>
      <c r="AS31" s="65">
        <f t="shared" si="19"/>
        <v>164.20000000000002</v>
      </c>
      <c r="AT31" s="65">
        <f t="shared" si="20"/>
        <v>153.7</v>
      </c>
      <c r="AU31" s="11">
        <f t="shared" si="10"/>
        <v>93.60535931790498</v>
      </c>
      <c r="AV31" s="65">
        <f t="shared" si="38"/>
        <v>10.500000000000028</v>
      </c>
      <c r="AW31" s="18">
        <f t="shared" si="39"/>
        <v>12.30000000000004</v>
      </c>
    </row>
    <row r="32" spans="1:49" ht="24.75" customHeight="1">
      <c r="A32" s="13" t="s">
        <v>36</v>
      </c>
      <c r="B32" s="15" t="s">
        <v>112</v>
      </c>
      <c r="C32" s="98"/>
      <c r="D32" s="90"/>
      <c r="E32" s="90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42" customHeight="1">
      <c r="A33" s="13"/>
      <c r="B33" s="137" t="s">
        <v>158</v>
      </c>
      <c r="C33" s="98">
        <v>315</v>
      </c>
      <c r="D33" s="90">
        <v>51.1</v>
      </c>
      <c r="E33" s="90">
        <v>79.9</v>
      </c>
      <c r="F33" s="60">
        <f>E33/D33*100</f>
        <v>156.3600782778865</v>
      </c>
      <c r="G33" s="38">
        <v>42.1</v>
      </c>
      <c r="H33" s="38">
        <v>51.2</v>
      </c>
      <c r="I33" s="11">
        <f t="shared" si="1"/>
        <v>121.61520190023754</v>
      </c>
      <c r="J33" s="38">
        <v>44.1</v>
      </c>
      <c r="K33" s="38">
        <v>40.2</v>
      </c>
      <c r="L33" s="11">
        <f t="shared" si="28"/>
        <v>91.15646258503402</v>
      </c>
      <c r="M33" s="80">
        <f t="shared" si="15"/>
        <v>137.3</v>
      </c>
      <c r="N33" s="80">
        <f t="shared" si="16"/>
        <v>171.3</v>
      </c>
      <c r="O33" s="11">
        <f t="shared" si="11"/>
        <v>124.76329206117988</v>
      </c>
      <c r="P33" s="38">
        <v>42.8</v>
      </c>
      <c r="Q33" s="38">
        <v>69.7</v>
      </c>
      <c r="R33" s="11">
        <f t="shared" si="29"/>
        <v>162.85046728971963</v>
      </c>
      <c r="S33" s="38">
        <v>61.6</v>
      </c>
      <c r="T33" s="38">
        <v>31.2</v>
      </c>
      <c r="U33" s="11">
        <f t="shared" si="30"/>
        <v>50.649350649350644</v>
      </c>
      <c r="V33" s="38">
        <v>61.4</v>
      </c>
      <c r="W33" s="38">
        <v>72</v>
      </c>
      <c r="X33" s="11">
        <f t="shared" si="31"/>
        <v>117.26384364820848</v>
      </c>
      <c r="Y33" s="80">
        <f t="shared" si="32"/>
        <v>165.8</v>
      </c>
      <c r="Z33" s="80">
        <f t="shared" si="33"/>
        <v>172.9</v>
      </c>
      <c r="AA33" s="11">
        <f t="shared" si="34"/>
        <v>104.2822677925211</v>
      </c>
      <c r="AB33" s="38">
        <v>60.6</v>
      </c>
      <c r="AC33" s="38">
        <v>60.9</v>
      </c>
      <c r="AD33" s="11">
        <f t="shared" si="35"/>
        <v>100.4950495049505</v>
      </c>
      <c r="AE33" s="38">
        <v>59.3</v>
      </c>
      <c r="AF33" s="38">
        <v>117.1</v>
      </c>
      <c r="AG33" s="11">
        <f t="shared" si="36"/>
        <v>197.47048903878584</v>
      </c>
      <c r="AH33" s="38">
        <v>59.3</v>
      </c>
      <c r="AI33" s="38">
        <v>34.1</v>
      </c>
      <c r="AJ33" s="80">
        <f t="shared" si="17"/>
        <v>179.2</v>
      </c>
      <c r="AK33" s="80">
        <f t="shared" si="18"/>
        <v>212.1</v>
      </c>
      <c r="AL33" s="11">
        <f t="shared" si="37"/>
        <v>118.359375</v>
      </c>
      <c r="AM33" s="38">
        <v>68.3</v>
      </c>
      <c r="AN33" s="38">
        <v>214.9</v>
      </c>
      <c r="AO33" s="38">
        <v>57.4</v>
      </c>
      <c r="AP33" s="38">
        <v>68.1</v>
      </c>
      <c r="AQ33" s="38">
        <v>64.3</v>
      </c>
      <c r="AR33" s="38">
        <v>66.5</v>
      </c>
      <c r="AS33" s="65">
        <f t="shared" si="19"/>
        <v>672.3</v>
      </c>
      <c r="AT33" s="65">
        <f t="shared" si="20"/>
        <v>905.8000000000001</v>
      </c>
      <c r="AU33" s="11">
        <f t="shared" si="10"/>
        <v>134.73151866726164</v>
      </c>
      <c r="AV33" s="65">
        <f t="shared" si="38"/>
        <v>-233.5000000000001</v>
      </c>
      <c r="AW33" s="18">
        <f t="shared" si="39"/>
        <v>81.49999999999989</v>
      </c>
    </row>
    <row r="34" spans="1:51" ht="42" customHeight="1">
      <c r="A34" s="13"/>
      <c r="B34" s="138" t="s">
        <v>157</v>
      </c>
      <c r="C34" s="104">
        <v>138.7</v>
      </c>
      <c r="D34" s="90">
        <v>110.73718</v>
      </c>
      <c r="E34" s="90">
        <v>75.27613000000001</v>
      </c>
      <c r="F34" s="60">
        <f>E34/D34*100</f>
        <v>67.9772864001052</v>
      </c>
      <c r="G34" s="38">
        <v>96</v>
      </c>
      <c r="H34" s="38">
        <v>137.5</v>
      </c>
      <c r="I34" s="11">
        <f t="shared" si="1"/>
        <v>143.22916666666669</v>
      </c>
      <c r="J34" s="38">
        <v>121.109</v>
      </c>
      <c r="K34" s="38">
        <v>100.024</v>
      </c>
      <c r="L34" s="11">
        <f t="shared" si="28"/>
        <v>82.59006349651968</v>
      </c>
      <c r="M34" s="80">
        <f t="shared" si="15"/>
        <v>327.84618</v>
      </c>
      <c r="N34" s="80">
        <f t="shared" si="16"/>
        <v>312.80013</v>
      </c>
      <c r="O34" s="11">
        <f t="shared" si="11"/>
        <v>95.41063739098622</v>
      </c>
      <c r="P34" s="38">
        <v>118.85</v>
      </c>
      <c r="Q34" s="38">
        <v>50.187</v>
      </c>
      <c r="R34" s="11">
        <f t="shared" si="29"/>
        <v>42.22717711400926</v>
      </c>
      <c r="S34" s="38">
        <v>158.45817</v>
      </c>
      <c r="T34" s="38">
        <v>46.05827</v>
      </c>
      <c r="U34" s="11">
        <f t="shared" si="30"/>
        <v>29.06651641881261</v>
      </c>
      <c r="V34" s="38">
        <v>184.51817</v>
      </c>
      <c r="W34" s="38">
        <v>169.09658</v>
      </c>
      <c r="X34" s="11">
        <f t="shared" si="31"/>
        <v>91.64223772650682</v>
      </c>
      <c r="Y34" s="80">
        <f>P34+S34+V34</f>
        <v>461.82634</v>
      </c>
      <c r="Z34" s="80">
        <f>Q34+T34+W34</f>
        <v>265.34185</v>
      </c>
      <c r="AA34" s="11">
        <f>Z34/Y34*100</f>
        <v>57.45489744045349</v>
      </c>
      <c r="AB34" s="38">
        <v>142.35966</v>
      </c>
      <c r="AC34" s="38">
        <v>92.92169</v>
      </c>
      <c r="AD34" s="11">
        <f t="shared" si="35"/>
        <v>65.2724866018927</v>
      </c>
      <c r="AE34" s="38">
        <v>120.77121000000001</v>
      </c>
      <c r="AF34" s="38">
        <v>275.89953</v>
      </c>
      <c r="AG34" s="11">
        <f t="shared" si="36"/>
        <v>228.44809619776103</v>
      </c>
      <c r="AH34" s="38">
        <v>125.29961999999999</v>
      </c>
      <c r="AI34" s="38">
        <v>19.354020000000002</v>
      </c>
      <c r="AJ34" s="80">
        <f t="shared" si="17"/>
        <v>388.43049</v>
      </c>
      <c r="AK34" s="80">
        <f t="shared" si="18"/>
        <v>388.17524000000003</v>
      </c>
      <c r="AL34" s="11">
        <f t="shared" si="37"/>
        <v>99.93428682696872</v>
      </c>
      <c r="AM34" s="38">
        <v>103</v>
      </c>
      <c r="AN34" s="38">
        <v>208.3</v>
      </c>
      <c r="AO34" s="38">
        <v>87.4</v>
      </c>
      <c r="AP34" s="38">
        <v>198.3</v>
      </c>
      <c r="AQ34" s="38">
        <v>77</v>
      </c>
      <c r="AR34" s="38">
        <v>84.2</v>
      </c>
      <c r="AS34" s="65">
        <f t="shared" si="19"/>
        <v>1445.5030100000001</v>
      </c>
      <c r="AT34" s="65">
        <f t="shared" si="20"/>
        <v>1457.11722</v>
      </c>
      <c r="AU34" s="11">
        <f t="shared" si="10"/>
        <v>100.80347186547884</v>
      </c>
      <c r="AV34" s="65">
        <f t="shared" si="38"/>
        <v>-11.614209999999957</v>
      </c>
      <c r="AW34" s="18">
        <f t="shared" si="39"/>
        <v>127.08579000000009</v>
      </c>
      <c r="AX34" s="19">
        <f>M34+Y34+AB34+AE34+AH34</f>
        <v>1178.10301</v>
      </c>
      <c r="AY34" s="19">
        <f>N34+Z34+AC34+AF34+AI34</f>
        <v>966.3172200000001</v>
      </c>
    </row>
    <row r="35" spans="1:49" ht="24.75" customHeight="1">
      <c r="A35" s="13" t="s">
        <v>37</v>
      </c>
      <c r="B35" s="15" t="s">
        <v>113</v>
      </c>
      <c r="C35" s="104">
        <v>917.4</v>
      </c>
      <c r="D35" s="37">
        <v>272</v>
      </c>
      <c r="E35" s="37">
        <v>238.3</v>
      </c>
      <c r="F35" s="11">
        <f>E35/D35*100</f>
        <v>87.61029411764706</v>
      </c>
      <c r="G35" s="38">
        <v>246.2</v>
      </c>
      <c r="H35" s="38">
        <v>560.7</v>
      </c>
      <c r="I35" s="11">
        <f t="shared" si="1"/>
        <v>227.74167343623074</v>
      </c>
      <c r="J35" s="38">
        <v>277.4</v>
      </c>
      <c r="K35" s="38">
        <v>213.2</v>
      </c>
      <c r="L35" s="11">
        <f t="shared" si="28"/>
        <v>76.85652487382842</v>
      </c>
      <c r="M35" s="80">
        <f t="shared" si="15"/>
        <v>795.6</v>
      </c>
      <c r="N35" s="80">
        <f t="shared" si="16"/>
        <v>1012.2</v>
      </c>
      <c r="O35" s="11">
        <f t="shared" si="11"/>
        <v>127.22473604826546</v>
      </c>
      <c r="P35" s="38">
        <v>305.4</v>
      </c>
      <c r="Q35" s="38">
        <v>237</v>
      </c>
      <c r="R35" s="11">
        <f t="shared" si="29"/>
        <v>77.6031434184676</v>
      </c>
      <c r="S35" s="38">
        <v>324.7</v>
      </c>
      <c r="T35" s="38">
        <v>309.2</v>
      </c>
      <c r="U35" s="11">
        <f t="shared" si="30"/>
        <v>95.22636279642747</v>
      </c>
      <c r="V35" s="38">
        <v>303.5</v>
      </c>
      <c r="W35" s="38">
        <v>294.7</v>
      </c>
      <c r="X35" s="11">
        <f t="shared" si="31"/>
        <v>97.1004942339374</v>
      </c>
      <c r="Y35" s="80">
        <f t="shared" si="32"/>
        <v>933.5999999999999</v>
      </c>
      <c r="Z35" s="80">
        <f t="shared" si="33"/>
        <v>840.9000000000001</v>
      </c>
      <c r="AA35" s="11">
        <f t="shared" si="34"/>
        <v>90.07069408740361</v>
      </c>
      <c r="AB35" s="38">
        <v>295.8</v>
      </c>
      <c r="AC35" s="38">
        <v>93.7</v>
      </c>
      <c r="AD35" s="11">
        <f t="shared" si="35"/>
        <v>31.67680865449628</v>
      </c>
      <c r="AE35" s="38">
        <v>302.1</v>
      </c>
      <c r="AF35" s="38">
        <v>360.2</v>
      </c>
      <c r="AG35" s="11">
        <f t="shared" si="36"/>
        <v>119.23204237007612</v>
      </c>
      <c r="AH35" s="38">
        <v>292</v>
      </c>
      <c r="AI35" s="38">
        <v>237.2</v>
      </c>
      <c r="AJ35" s="80">
        <f t="shared" si="17"/>
        <v>889.9000000000001</v>
      </c>
      <c r="AK35" s="80">
        <f t="shared" si="18"/>
        <v>691.0999999999999</v>
      </c>
      <c r="AL35" s="11">
        <f t="shared" si="37"/>
        <v>77.66041128216652</v>
      </c>
      <c r="AM35" s="38">
        <v>291.6</v>
      </c>
      <c r="AN35" s="38">
        <v>285.3</v>
      </c>
      <c r="AO35" s="38">
        <v>300.5</v>
      </c>
      <c r="AP35" s="38">
        <v>316.7</v>
      </c>
      <c r="AQ35" s="38">
        <v>320.8</v>
      </c>
      <c r="AR35" s="38">
        <v>252.9</v>
      </c>
      <c r="AS35" s="65">
        <f t="shared" si="19"/>
        <v>3532</v>
      </c>
      <c r="AT35" s="65">
        <f t="shared" si="20"/>
        <v>3399.1</v>
      </c>
      <c r="AU35" s="11">
        <f t="shared" si="10"/>
        <v>96.23725934314835</v>
      </c>
      <c r="AV35" s="65">
        <f t="shared" si="38"/>
        <v>132.9000000000001</v>
      </c>
      <c r="AW35" s="18">
        <f t="shared" si="39"/>
        <v>1050.2999999999997</v>
      </c>
    </row>
    <row r="36" spans="1:49" ht="24.75" customHeight="1">
      <c r="A36" s="13" t="s">
        <v>38</v>
      </c>
      <c r="B36" s="41" t="s">
        <v>114</v>
      </c>
      <c r="C36" s="107">
        <f>6.4+10.6</f>
        <v>17</v>
      </c>
      <c r="D36" s="72">
        <v>19.1</v>
      </c>
      <c r="E36" s="72">
        <v>14.9</v>
      </c>
      <c r="F36" s="11">
        <f aca="true" t="shared" si="40" ref="F36:F44">E36/D36*100</f>
        <v>78.01047120418848</v>
      </c>
      <c r="G36" s="38">
        <v>15</v>
      </c>
      <c r="H36" s="38">
        <v>17.5</v>
      </c>
      <c r="I36" s="68">
        <f t="shared" si="1"/>
        <v>116.66666666666667</v>
      </c>
      <c r="J36" s="38">
        <v>13.4</v>
      </c>
      <c r="K36" s="38">
        <v>12.1</v>
      </c>
      <c r="L36" s="68">
        <f t="shared" si="28"/>
        <v>90.29850746268656</v>
      </c>
      <c r="M36" s="80">
        <f t="shared" si="15"/>
        <v>47.5</v>
      </c>
      <c r="N36" s="80">
        <f t="shared" si="16"/>
        <v>44.5</v>
      </c>
      <c r="O36" s="11">
        <f t="shared" si="11"/>
        <v>93.6842105263158</v>
      </c>
      <c r="P36" s="38">
        <v>20.2</v>
      </c>
      <c r="Q36" s="38">
        <v>21.1</v>
      </c>
      <c r="R36" s="128">
        <f t="shared" si="29"/>
        <v>104.45544554455446</v>
      </c>
      <c r="S36" s="38">
        <v>26.7</v>
      </c>
      <c r="T36" s="38">
        <v>23.2</v>
      </c>
      <c r="U36" s="128">
        <f t="shared" si="30"/>
        <v>86.89138576779027</v>
      </c>
      <c r="V36" s="38">
        <v>22.2</v>
      </c>
      <c r="W36" s="38">
        <v>16.3</v>
      </c>
      <c r="X36" s="128">
        <f t="shared" si="31"/>
        <v>73.42342342342343</v>
      </c>
      <c r="Y36" s="80">
        <f t="shared" si="32"/>
        <v>69.1</v>
      </c>
      <c r="Z36" s="80">
        <f t="shared" si="33"/>
        <v>60.599999999999994</v>
      </c>
      <c r="AA36" s="11">
        <f t="shared" si="34"/>
        <v>87.69898697539797</v>
      </c>
      <c r="AB36" s="38">
        <v>27.4</v>
      </c>
      <c r="AC36" s="38">
        <v>19.1</v>
      </c>
      <c r="AD36" s="128">
        <f t="shared" si="35"/>
        <v>69.70802919708031</v>
      </c>
      <c r="AE36" s="38">
        <v>27.4</v>
      </c>
      <c r="AF36" s="38">
        <v>18.4</v>
      </c>
      <c r="AG36" s="11">
        <f t="shared" si="36"/>
        <v>67.15328467153284</v>
      </c>
      <c r="AH36" s="38">
        <v>26.4</v>
      </c>
      <c r="AI36" s="38">
        <v>13.5</v>
      </c>
      <c r="AJ36" s="80">
        <f>AB36+AE36+AH36</f>
        <v>81.19999999999999</v>
      </c>
      <c r="AK36" s="80">
        <f>AC36+AF36+AI36</f>
        <v>51</v>
      </c>
      <c r="AL36" s="11">
        <f t="shared" si="37"/>
        <v>62.80788177339902</v>
      </c>
      <c r="AM36" s="38">
        <v>17.4</v>
      </c>
      <c r="AN36" s="38">
        <v>39.8</v>
      </c>
      <c r="AO36" s="38">
        <v>24.3</v>
      </c>
      <c r="AP36" s="38">
        <v>20.9</v>
      </c>
      <c r="AQ36" s="38">
        <v>14.2</v>
      </c>
      <c r="AR36" s="38">
        <v>16.4</v>
      </c>
      <c r="AS36" s="65">
        <f t="shared" si="19"/>
        <v>253.7</v>
      </c>
      <c r="AT36" s="65">
        <f t="shared" si="20"/>
        <v>233.2</v>
      </c>
      <c r="AU36" s="11">
        <f t="shared" si="10"/>
        <v>91.91959006700827</v>
      </c>
      <c r="AV36" s="65">
        <f t="shared" si="38"/>
        <v>20.5</v>
      </c>
      <c r="AW36" s="18">
        <f t="shared" si="39"/>
        <v>37.5</v>
      </c>
    </row>
    <row r="37" spans="1:49" ht="24.75" customHeight="1">
      <c r="A37" s="13" t="s">
        <v>39</v>
      </c>
      <c r="B37" s="15" t="s">
        <v>115</v>
      </c>
      <c r="C37" s="98">
        <v>64.9</v>
      </c>
      <c r="D37" s="38">
        <v>142.8</v>
      </c>
      <c r="E37" s="38">
        <v>127.7</v>
      </c>
      <c r="F37" s="11">
        <f t="shared" si="40"/>
        <v>89.42577030812325</v>
      </c>
      <c r="G37" s="38">
        <v>144.4</v>
      </c>
      <c r="H37" s="38">
        <v>132.2</v>
      </c>
      <c r="I37" s="11">
        <f t="shared" si="1"/>
        <v>91.55124653739611</v>
      </c>
      <c r="J37" s="38">
        <v>134.8</v>
      </c>
      <c r="K37" s="38">
        <v>153.6</v>
      </c>
      <c r="L37" s="11">
        <f t="shared" si="28"/>
        <v>113.94658753709197</v>
      </c>
      <c r="M37" s="80">
        <f t="shared" si="15"/>
        <v>422.00000000000006</v>
      </c>
      <c r="N37" s="80">
        <f t="shared" si="16"/>
        <v>413.5</v>
      </c>
      <c r="O37" s="11">
        <f t="shared" si="11"/>
        <v>97.98578199052132</v>
      </c>
      <c r="P37" s="38">
        <v>198.3</v>
      </c>
      <c r="Q37" s="38">
        <v>155.8</v>
      </c>
      <c r="R37" s="11">
        <f t="shared" si="29"/>
        <v>78.56782652546647</v>
      </c>
      <c r="S37" s="38">
        <v>145.5</v>
      </c>
      <c r="T37" s="38">
        <v>190</v>
      </c>
      <c r="U37" s="11">
        <f t="shared" si="30"/>
        <v>130.58419243986253</v>
      </c>
      <c r="V37" s="38">
        <v>178.4</v>
      </c>
      <c r="W37" s="38">
        <v>156</v>
      </c>
      <c r="X37" s="11">
        <f t="shared" si="31"/>
        <v>87.4439461883408</v>
      </c>
      <c r="Y37" s="80">
        <f t="shared" si="32"/>
        <v>522.2</v>
      </c>
      <c r="Z37" s="80">
        <f t="shared" si="33"/>
        <v>501.8</v>
      </c>
      <c r="AA37" s="11">
        <f t="shared" si="34"/>
        <v>96.0934507851398</v>
      </c>
      <c r="AB37" s="38">
        <v>279.2</v>
      </c>
      <c r="AC37" s="38">
        <v>288.9</v>
      </c>
      <c r="AD37" s="11">
        <f t="shared" si="35"/>
        <v>103.47421203438397</v>
      </c>
      <c r="AE37" s="38">
        <v>275.7</v>
      </c>
      <c r="AF37" s="38">
        <v>284.8</v>
      </c>
      <c r="AG37" s="11">
        <f t="shared" si="36"/>
        <v>103.30068915487848</v>
      </c>
      <c r="AH37" s="38">
        <v>166.3</v>
      </c>
      <c r="AI37" s="38">
        <v>163.7</v>
      </c>
      <c r="AJ37" s="80">
        <f t="shared" si="17"/>
        <v>721.2</v>
      </c>
      <c r="AK37" s="80">
        <f t="shared" si="18"/>
        <v>737.4000000000001</v>
      </c>
      <c r="AL37" s="11">
        <f t="shared" si="37"/>
        <v>102.24625623960067</v>
      </c>
      <c r="AM37" s="38">
        <v>183.1</v>
      </c>
      <c r="AN37" s="38">
        <v>180.4</v>
      </c>
      <c r="AO37" s="38">
        <v>200.4</v>
      </c>
      <c r="AP37" s="38">
        <v>194.2</v>
      </c>
      <c r="AQ37" s="38">
        <v>168.7</v>
      </c>
      <c r="AR37" s="38">
        <v>169.4</v>
      </c>
      <c r="AS37" s="65">
        <f t="shared" si="19"/>
        <v>2217.6</v>
      </c>
      <c r="AT37" s="65">
        <f t="shared" si="20"/>
        <v>2196.7000000000003</v>
      </c>
      <c r="AU37" s="11">
        <f t="shared" si="10"/>
        <v>99.0575396825397</v>
      </c>
      <c r="AV37" s="65">
        <f t="shared" si="38"/>
        <v>20.899999999999636</v>
      </c>
      <c r="AW37" s="18">
        <f t="shared" si="39"/>
        <v>85.79999999999973</v>
      </c>
    </row>
    <row r="38" spans="1:49" ht="24.75" customHeight="1">
      <c r="A38" s="13" t="s">
        <v>40</v>
      </c>
      <c r="B38" s="15" t="s">
        <v>116</v>
      </c>
      <c r="C38" s="98">
        <f>554.8+0.7</f>
        <v>555.5</v>
      </c>
      <c r="D38" s="38">
        <v>708.1</v>
      </c>
      <c r="E38" s="38">
        <v>467</v>
      </c>
      <c r="F38" s="11">
        <f t="shared" si="40"/>
        <v>65.95113684507837</v>
      </c>
      <c r="G38" s="38">
        <v>685.3</v>
      </c>
      <c r="H38" s="38">
        <v>1025.3</v>
      </c>
      <c r="I38" s="11">
        <f t="shared" si="1"/>
        <v>149.61330804027432</v>
      </c>
      <c r="J38" s="38">
        <v>727.5</v>
      </c>
      <c r="K38" s="38">
        <v>707.3</v>
      </c>
      <c r="L38" s="11">
        <f t="shared" si="28"/>
        <v>97.2233676975945</v>
      </c>
      <c r="M38" s="80">
        <f t="shared" si="15"/>
        <v>2120.9</v>
      </c>
      <c r="N38" s="80">
        <f t="shared" si="16"/>
        <v>2199.6</v>
      </c>
      <c r="O38" s="11">
        <f t="shared" si="11"/>
        <v>103.71068885850346</v>
      </c>
      <c r="P38" s="38">
        <v>696.4</v>
      </c>
      <c r="Q38" s="38">
        <v>919</v>
      </c>
      <c r="R38" s="11">
        <f t="shared" si="29"/>
        <v>131.96438828259622</v>
      </c>
      <c r="S38" s="38">
        <v>537.9</v>
      </c>
      <c r="T38" s="38">
        <v>442.3</v>
      </c>
      <c r="U38" s="11">
        <f t="shared" si="30"/>
        <v>82.22717977319205</v>
      </c>
      <c r="V38" s="38">
        <v>525.2</v>
      </c>
      <c r="W38" s="38">
        <v>478.7</v>
      </c>
      <c r="X38" s="11">
        <f t="shared" si="31"/>
        <v>91.14623000761614</v>
      </c>
      <c r="Y38" s="80">
        <f t="shared" si="32"/>
        <v>1759.5</v>
      </c>
      <c r="Z38" s="80">
        <f t="shared" si="33"/>
        <v>1840</v>
      </c>
      <c r="AA38" s="11">
        <f t="shared" si="34"/>
        <v>104.57516339869282</v>
      </c>
      <c r="AB38" s="38">
        <v>551.3</v>
      </c>
      <c r="AC38" s="38">
        <v>562.7</v>
      </c>
      <c r="AD38" s="11">
        <f t="shared" si="35"/>
        <v>102.0678396517323</v>
      </c>
      <c r="AE38" s="38">
        <v>505.9</v>
      </c>
      <c r="AF38" s="38">
        <v>653.4</v>
      </c>
      <c r="AG38" s="11">
        <f t="shared" si="36"/>
        <v>129.15595967582527</v>
      </c>
      <c r="AH38" s="38">
        <v>501.8</v>
      </c>
      <c r="AI38" s="38">
        <v>487.3</v>
      </c>
      <c r="AJ38" s="80">
        <f t="shared" si="17"/>
        <v>1558.9999999999998</v>
      </c>
      <c r="AK38" s="80">
        <f t="shared" si="18"/>
        <v>1703.3999999999999</v>
      </c>
      <c r="AL38" s="11">
        <f t="shared" si="37"/>
        <v>109.26234765875562</v>
      </c>
      <c r="AM38" s="38">
        <v>583.3</v>
      </c>
      <c r="AN38" s="38">
        <v>485.2</v>
      </c>
      <c r="AO38" s="38">
        <v>662.3</v>
      </c>
      <c r="AP38" s="38">
        <v>704.6</v>
      </c>
      <c r="AQ38" s="38">
        <v>937.2</v>
      </c>
      <c r="AR38" s="38">
        <v>662</v>
      </c>
      <c r="AS38" s="65">
        <f t="shared" si="19"/>
        <v>7622.2</v>
      </c>
      <c r="AT38" s="65">
        <f t="shared" si="20"/>
        <v>7594.8</v>
      </c>
      <c r="AU38" s="11">
        <f t="shared" si="10"/>
        <v>99.64052373330536</v>
      </c>
      <c r="AV38" s="65">
        <f t="shared" si="38"/>
        <v>27.399999999999636</v>
      </c>
      <c r="AW38" s="18">
        <f t="shared" si="39"/>
        <v>582.8999999999996</v>
      </c>
    </row>
    <row r="39" spans="1:49" ht="24.75" customHeight="1">
      <c r="A39" s="13" t="s">
        <v>41</v>
      </c>
      <c r="B39" s="15" t="s">
        <v>117</v>
      </c>
      <c r="C39" s="98">
        <f>984.7-458.5</f>
        <v>526.2</v>
      </c>
      <c r="D39" s="38">
        <v>395.3</v>
      </c>
      <c r="E39" s="38">
        <v>514.3</v>
      </c>
      <c r="F39" s="11">
        <f t="shared" si="40"/>
        <v>130.10371869466226</v>
      </c>
      <c r="G39" s="38">
        <v>387.7</v>
      </c>
      <c r="H39" s="38">
        <v>235.2</v>
      </c>
      <c r="I39" s="11">
        <f t="shared" si="1"/>
        <v>60.6654629868455</v>
      </c>
      <c r="J39" s="38">
        <v>466.7</v>
      </c>
      <c r="K39" s="38">
        <v>631.2</v>
      </c>
      <c r="L39" s="11">
        <f t="shared" si="28"/>
        <v>135.24748232269127</v>
      </c>
      <c r="M39" s="80">
        <f t="shared" si="15"/>
        <v>1249.7</v>
      </c>
      <c r="N39" s="80">
        <f t="shared" si="16"/>
        <v>1380.7</v>
      </c>
      <c r="O39" s="11">
        <f t="shared" si="11"/>
        <v>110.48251580379291</v>
      </c>
      <c r="P39" s="38">
        <v>436.4</v>
      </c>
      <c r="Q39" s="38">
        <v>308.5</v>
      </c>
      <c r="R39" s="11">
        <f t="shared" si="29"/>
        <v>70.69202566452796</v>
      </c>
      <c r="S39" s="38">
        <v>236.5</v>
      </c>
      <c r="T39" s="38">
        <v>261.5</v>
      </c>
      <c r="U39" s="11">
        <f t="shared" si="30"/>
        <v>110.57082452431291</v>
      </c>
      <c r="V39" s="38">
        <v>376.1</v>
      </c>
      <c r="W39" s="38">
        <v>226.8</v>
      </c>
      <c r="X39" s="11">
        <f t="shared" si="31"/>
        <v>60.30311087476735</v>
      </c>
      <c r="Y39" s="80">
        <f t="shared" si="32"/>
        <v>1049</v>
      </c>
      <c r="Z39" s="80">
        <f t="shared" si="33"/>
        <v>796.8</v>
      </c>
      <c r="AA39" s="11">
        <f t="shared" si="34"/>
        <v>75.9580552907531</v>
      </c>
      <c r="AB39" s="38">
        <v>458.6</v>
      </c>
      <c r="AC39" s="38">
        <v>298.2</v>
      </c>
      <c r="AD39" s="11">
        <f t="shared" si="35"/>
        <v>65.02398604448321</v>
      </c>
      <c r="AE39" s="38">
        <v>377.1</v>
      </c>
      <c r="AF39" s="38">
        <v>351</v>
      </c>
      <c r="AG39" s="11">
        <f t="shared" si="36"/>
        <v>93.07875894988065</v>
      </c>
      <c r="AH39" s="38">
        <v>377.1</v>
      </c>
      <c r="AI39" s="38">
        <v>286.1</v>
      </c>
      <c r="AJ39" s="80">
        <f t="shared" si="17"/>
        <v>1212.8000000000002</v>
      </c>
      <c r="AK39" s="80">
        <f t="shared" si="18"/>
        <v>935.3000000000001</v>
      </c>
      <c r="AL39" s="11">
        <f t="shared" si="37"/>
        <v>77.11906332453825</v>
      </c>
      <c r="AM39" s="38">
        <v>387.8</v>
      </c>
      <c r="AN39" s="38">
        <v>211.4</v>
      </c>
      <c r="AO39" s="38">
        <v>407.6</v>
      </c>
      <c r="AP39" s="38">
        <v>408.8</v>
      </c>
      <c r="AQ39" s="38">
        <v>467</v>
      </c>
      <c r="AR39" s="38">
        <v>472.9</v>
      </c>
      <c r="AS39" s="65">
        <f t="shared" si="19"/>
        <v>4773.900000000001</v>
      </c>
      <c r="AT39" s="65">
        <f t="shared" si="20"/>
        <v>4205.900000000001</v>
      </c>
      <c r="AU39" s="11">
        <f t="shared" si="10"/>
        <v>88.10197113471166</v>
      </c>
      <c r="AV39" s="65">
        <f t="shared" si="38"/>
        <v>568</v>
      </c>
      <c r="AW39" s="18">
        <f t="shared" si="39"/>
        <v>1094.1999999999998</v>
      </c>
    </row>
    <row r="40" spans="1:49" ht="24.75" customHeight="1">
      <c r="A40" s="13" t="s">
        <v>42</v>
      </c>
      <c r="B40" s="15" t="s">
        <v>125</v>
      </c>
      <c r="C40" s="98">
        <v>292.6</v>
      </c>
      <c r="D40" s="38">
        <v>212.3</v>
      </c>
      <c r="E40" s="38">
        <v>186.5</v>
      </c>
      <c r="F40" s="11">
        <f t="shared" si="40"/>
        <v>87.84738577484691</v>
      </c>
      <c r="G40" s="38">
        <v>209.7</v>
      </c>
      <c r="H40" s="38">
        <v>236.9</v>
      </c>
      <c r="I40" s="11">
        <f t="shared" si="1"/>
        <v>112.9709108249881</v>
      </c>
      <c r="J40" s="38">
        <v>177.6</v>
      </c>
      <c r="K40" s="38">
        <v>201.9</v>
      </c>
      <c r="L40" s="11">
        <f t="shared" si="28"/>
        <v>113.68243243243244</v>
      </c>
      <c r="M40" s="80">
        <f t="shared" si="15"/>
        <v>599.6</v>
      </c>
      <c r="N40" s="80">
        <f t="shared" si="16"/>
        <v>625.3</v>
      </c>
      <c r="O40" s="11">
        <f t="shared" si="11"/>
        <v>104.28619079386256</v>
      </c>
      <c r="P40" s="38">
        <v>225.1</v>
      </c>
      <c r="Q40" s="38">
        <v>192</v>
      </c>
      <c r="R40" s="11">
        <f t="shared" si="29"/>
        <v>85.29542425588627</v>
      </c>
      <c r="S40" s="38">
        <v>185.7</v>
      </c>
      <c r="T40" s="38">
        <v>247.4</v>
      </c>
      <c r="U40" s="11">
        <f t="shared" si="30"/>
        <v>133.2256327409801</v>
      </c>
      <c r="V40" s="38">
        <v>205</v>
      </c>
      <c r="W40" s="38">
        <v>181.1</v>
      </c>
      <c r="X40" s="11">
        <f t="shared" si="31"/>
        <v>88.34146341463415</v>
      </c>
      <c r="Y40" s="80">
        <f t="shared" si="32"/>
        <v>615.8</v>
      </c>
      <c r="Z40" s="80">
        <f t="shared" si="33"/>
        <v>620.5</v>
      </c>
      <c r="AA40" s="11">
        <f t="shared" si="34"/>
        <v>100.76323481649887</v>
      </c>
      <c r="AB40" s="38">
        <v>203.4</v>
      </c>
      <c r="AC40" s="38">
        <v>205.7</v>
      </c>
      <c r="AD40" s="11">
        <f t="shared" si="35"/>
        <v>101.1307767944936</v>
      </c>
      <c r="AE40" s="38">
        <v>198.1</v>
      </c>
      <c r="AF40" s="38">
        <v>207.2</v>
      </c>
      <c r="AG40" s="11">
        <f t="shared" si="36"/>
        <v>104.59363957597172</v>
      </c>
      <c r="AH40" s="38">
        <v>219.6</v>
      </c>
      <c r="AI40" s="38">
        <v>199.7</v>
      </c>
      <c r="AJ40" s="80">
        <f t="shared" si="17"/>
        <v>621.1</v>
      </c>
      <c r="AK40" s="80">
        <f t="shared" si="18"/>
        <v>612.5999999999999</v>
      </c>
      <c r="AL40" s="11">
        <f t="shared" si="37"/>
        <v>98.63146031234903</v>
      </c>
      <c r="AM40" s="38">
        <v>263.1</v>
      </c>
      <c r="AN40" s="38">
        <v>193.1</v>
      </c>
      <c r="AO40" s="38">
        <v>254.9</v>
      </c>
      <c r="AP40" s="38">
        <v>198.5</v>
      </c>
      <c r="AQ40" s="38">
        <v>220.8</v>
      </c>
      <c r="AR40" s="38">
        <v>278.5</v>
      </c>
      <c r="AS40" s="65">
        <f t="shared" si="19"/>
        <v>2575.3</v>
      </c>
      <c r="AT40" s="65">
        <f t="shared" si="20"/>
        <v>2528.5</v>
      </c>
      <c r="AU40" s="11">
        <f t="shared" si="10"/>
        <v>98.18273599192327</v>
      </c>
      <c r="AV40" s="65">
        <f t="shared" si="38"/>
        <v>46.80000000000018</v>
      </c>
      <c r="AW40" s="18">
        <f t="shared" si="39"/>
        <v>339.4000000000001</v>
      </c>
    </row>
    <row r="41" spans="1:49" ht="24.75" customHeight="1">
      <c r="A41" s="13" t="s">
        <v>43</v>
      </c>
      <c r="B41" s="41" t="s">
        <v>126</v>
      </c>
      <c r="C41" s="107">
        <v>151.6</v>
      </c>
      <c r="D41" s="38">
        <v>134.6</v>
      </c>
      <c r="E41" s="38">
        <v>186.3</v>
      </c>
      <c r="F41" s="11">
        <f t="shared" si="40"/>
        <v>138.41010401188709</v>
      </c>
      <c r="G41" s="38">
        <v>128.1</v>
      </c>
      <c r="H41" s="38">
        <v>97.3</v>
      </c>
      <c r="I41" s="68">
        <f t="shared" si="1"/>
        <v>75.95628415300547</v>
      </c>
      <c r="J41" s="38">
        <v>128.4</v>
      </c>
      <c r="K41" s="38">
        <v>173.3</v>
      </c>
      <c r="L41" s="68">
        <f t="shared" si="28"/>
        <v>134.9688473520249</v>
      </c>
      <c r="M41" s="80">
        <f t="shared" si="15"/>
        <v>391.1</v>
      </c>
      <c r="N41" s="80">
        <f t="shared" si="16"/>
        <v>456.90000000000003</v>
      </c>
      <c r="O41" s="11">
        <f t="shared" si="11"/>
        <v>116.82434160061365</v>
      </c>
      <c r="P41" s="38">
        <v>127.7</v>
      </c>
      <c r="Q41" s="38">
        <v>61.9</v>
      </c>
      <c r="R41" s="128">
        <f t="shared" si="29"/>
        <v>48.47298355520751</v>
      </c>
      <c r="S41" s="38">
        <v>109.8</v>
      </c>
      <c r="T41" s="38">
        <v>162.4</v>
      </c>
      <c r="U41" s="128">
        <f t="shared" si="30"/>
        <v>147.90528233151184</v>
      </c>
      <c r="V41" s="38">
        <v>108.2</v>
      </c>
      <c r="W41" s="38">
        <v>65.2</v>
      </c>
      <c r="X41" s="128">
        <f t="shared" si="31"/>
        <v>60.258780036968574</v>
      </c>
      <c r="Y41" s="80">
        <f t="shared" si="32"/>
        <v>345.7</v>
      </c>
      <c r="Z41" s="80">
        <f t="shared" si="33"/>
        <v>289.5</v>
      </c>
      <c r="AA41" s="11">
        <f t="shared" si="34"/>
        <v>83.74312988140005</v>
      </c>
      <c r="AB41" s="38">
        <v>104.5</v>
      </c>
      <c r="AC41" s="38">
        <v>147.5</v>
      </c>
      <c r="AD41" s="128">
        <f t="shared" si="35"/>
        <v>141.14832535885168</v>
      </c>
      <c r="AE41" s="38">
        <v>123.6</v>
      </c>
      <c r="AF41" s="38">
        <v>116</v>
      </c>
      <c r="AG41" s="11">
        <f t="shared" si="36"/>
        <v>93.85113268608414</v>
      </c>
      <c r="AH41" s="38">
        <v>120.1</v>
      </c>
      <c r="AI41" s="38">
        <v>110.4</v>
      </c>
      <c r="AJ41" s="80">
        <f t="shared" si="17"/>
        <v>348.2</v>
      </c>
      <c r="AK41" s="80">
        <f t="shared" si="18"/>
        <v>373.9</v>
      </c>
      <c r="AL41" s="11">
        <f t="shared" si="37"/>
        <v>107.38081562320505</v>
      </c>
      <c r="AM41" s="38">
        <v>127.5</v>
      </c>
      <c r="AN41" s="38">
        <v>111.6</v>
      </c>
      <c r="AO41" s="38">
        <v>141.6</v>
      </c>
      <c r="AP41" s="38">
        <v>68.8</v>
      </c>
      <c r="AQ41" s="38">
        <v>122</v>
      </c>
      <c r="AR41" s="38">
        <v>233.2</v>
      </c>
      <c r="AS41" s="65">
        <f t="shared" si="19"/>
        <v>1476.1</v>
      </c>
      <c r="AT41" s="65">
        <f t="shared" si="20"/>
        <v>1533.9</v>
      </c>
      <c r="AU41" s="11">
        <f t="shared" si="10"/>
        <v>103.91572386694669</v>
      </c>
      <c r="AV41" s="65">
        <f t="shared" si="38"/>
        <v>-57.80000000000018</v>
      </c>
      <c r="AW41" s="18">
        <f t="shared" si="39"/>
        <v>93.79999999999973</v>
      </c>
    </row>
    <row r="42" spans="1:49" ht="24.75" customHeight="1">
      <c r="A42" s="13" t="s">
        <v>44</v>
      </c>
      <c r="B42" s="15" t="s">
        <v>118</v>
      </c>
      <c r="C42" s="98">
        <v>231.1</v>
      </c>
      <c r="D42" s="38">
        <v>196.1</v>
      </c>
      <c r="E42" s="38">
        <v>207.5</v>
      </c>
      <c r="F42" s="11">
        <f t="shared" si="40"/>
        <v>105.81336053034167</v>
      </c>
      <c r="G42" s="38">
        <v>181.5</v>
      </c>
      <c r="H42" s="38">
        <v>143.1</v>
      </c>
      <c r="I42" s="68">
        <f t="shared" si="1"/>
        <v>78.84297520661157</v>
      </c>
      <c r="J42" s="38">
        <v>193.4</v>
      </c>
      <c r="K42" s="38">
        <v>181.2</v>
      </c>
      <c r="L42" s="68">
        <f t="shared" si="28"/>
        <v>93.6918304033092</v>
      </c>
      <c r="M42" s="80">
        <f t="shared" si="15"/>
        <v>571</v>
      </c>
      <c r="N42" s="80">
        <f t="shared" si="16"/>
        <v>531.8</v>
      </c>
      <c r="O42" s="11">
        <f t="shared" si="11"/>
        <v>93.13485113835375</v>
      </c>
      <c r="P42" s="38">
        <v>199</v>
      </c>
      <c r="Q42" s="38">
        <v>126.3</v>
      </c>
      <c r="R42" s="128">
        <f t="shared" si="29"/>
        <v>63.46733668341709</v>
      </c>
      <c r="S42" s="38">
        <v>150.4</v>
      </c>
      <c r="T42" s="38">
        <v>311.2</v>
      </c>
      <c r="U42" s="128">
        <f t="shared" si="30"/>
        <v>206.91489361702128</v>
      </c>
      <c r="V42" s="38">
        <v>156.3</v>
      </c>
      <c r="W42" s="38">
        <v>152.3</v>
      </c>
      <c r="X42" s="128">
        <f t="shared" si="31"/>
        <v>97.44081893793985</v>
      </c>
      <c r="Y42" s="80">
        <f t="shared" si="32"/>
        <v>505.7</v>
      </c>
      <c r="Z42" s="80">
        <f t="shared" si="33"/>
        <v>589.8</v>
      </c>
      <c r="AA42" s="11">
        <f t="shared" si="34"/>
        <v>116.63041328851097</v>
      </c>
      <c r="AB42" s="38">
        <v>161.8</v>
      </c>
      <c r="AC42" s="38">
        <v>158</v>
      </c>
      <c r="AD42" s="128">
        <f t="shared" si="35"/>
        <v>97.6514215080346</v>
      </c>
      <c r="AE42" s="38">
        <v>162.9</v>
      </c>
      <c r="AF42" s="38">
        <v>157.8</v>
      </c>
      <c r="AG42" s="11">
        <f t="shared" si="36"/>
        <v>96.86924493554329</v>
      </c>
      <c r="AH42" s="38">
        <v>174.5</v>
      </c>
      <c r="AI42" s="38">
        <v>149.2</v>
      </c>
      <c r="AJ42" s="80">
        <f t="shared" si="17"/>
        <v>499.20000000000005</v>
      </c>
      <c r="AK42" s="80">
        <f t="shared" si="18"/>
        <v>465</v>
      </c>
      <c r="AL42" s="11">
        <f t="shared" si="37"/>
        <v>93.14903846153845</v>
      </c>
      <c r="AM42" s="38">
        <v>230.9</v>
      </c>
      <c r="AN42" s="38">
        <v>163.4</v>
      </c>
      <c r="AO42" s="38">
        <v>212.8</v>
      </c>
      <c r="AP42" s="38">
        <v>154.7</v>
      </c>
      <c r="AQ42" s="38">
        <v>221.3</v>
      </c>
      <c r="AR42" s="38">
        <v>166.6</v>
      </c>
      <c r="AS42" s="65">
        <f t="shared" si="19"/>
        <v>2240.9</v>
      </c>
      <c r="AT42" s="65">
        <f t="shared" si="20"/>
        <v>2071.3</v>
      </c>
      <c r="AU42" s="11">
        <f t="shared" si="10"/>
        <v>92.43161229863001</v>
      </c>
      <c r="AV42" s="65">
        <f t="shared" si="38"/>
        <v>169.5999999999999</v>
      </c>
      <c r="AW42" s="18">
        <f t="shared" si="39"/>
        <v>400.6999999999998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537843.4</v>
      </c>
      <c r="D43" s="18">
        <f>SUM(D44:D44)</f>
        <v>32043.2</v>
      </c>
      <c r="E43" s="18">
        <f>SUM(E44:E44)</f>
        <v>26527.5</v>
      </c>
      <c r="F43" s="11">
        <f t="shared" si="40"/>
        <v>82.78667548809108</v>
      </c>
      <c r="G43" s="18">
        <f>SUM(G44:G44)</f>
        <v>32592</v>
      </c>
      <c r="H43" s="18">
        <f>SUM(H44:H44)</f>
        <v>18088</v>
      </c>
      <c r="I43" s="11">
        <f t="shared" si="1"/>
        <v>55.49828178694158</v>
      </c>
      <c r="J43" s="18">
        <f>SUM(J44:J44)</f>
        <v>34706.2</v>
      </c>
      <c r="K43" s="18">
        <f>SUM(K44:K44)</f>
        <v>22654.2</v>
      </c>
      <c r="L43" s="18">
        <f>SUM(L44:L44)</f>
        <v>65.27421613429301</v>
      </c>
      <c r="M43" s="18">
        <f>SUM(M44:M44)</f>
        <v>99341.4</v>
      </c>
      <c r="N43" s="18">
        <f>SUM(N44:N44)</f>
        <v>67269.7</v>
      </c>
      <c r="O43" s="11">
        <f t="shared" si="11"/>
        <v>67.71567543843756</v>
      </c>
      <c r="P43" s="18">
        <f>SUM(P44:P44)</f>
        <v>31392</v>
      </c>
      <c r="Q43" s="18">
        <f>SUM(Q44:Q44)</f>
        <v>42701.8</v>
      </c>
      <c r="R43" s="11">
        <f t="shared" si="29"/>
        <v>136.0276503567788</v>
      </c>
      <c r="S43" s="18">
        <f>SUM(S44:S44)</f>
        <v>32147.7</v>
      </c>
      <c r="T43" s="18">
        <f>SUM(T44:T44)</f>
        <v>18769.4</v>
      </c>
      <c r="U43" s="11">
        <f t="shared" si="30"/>
        <v>58.38489223179264</v>
      </c>
      <c r="V43" s="18">
        <f>SUM(V44:V44)</f>
        <v>31902.7</v>
      </c>
      <c r="W43" s="18">
        <f>SUM(W44:W44)</f>
        <v>15623.900000000001</v>
      </c>
      <c r="X43" s="11">
        <f t="shared" si="31"/>
        <v>48.973597845950344</v>
      </c>
      <c r="Y43" s="18">
        <f>SUM(Y44:Y44)</f>
        <v>95442.4</v>
      </c>
      <c r="Z43" s="18">
        <f>SUM(Z44:Z44)</f>
        <v>77095.1</v>
      </c>
      <c r="AA43" s="11">
        <f t="shared" si="34"/>
        <v>80.77657309539576</v>
      </c>
      <c r="AB43" s="18">
        <f>SUM(AB44:AB44)</f>
        <v>29384.2</v>
      </c>
      <c r="AC43" s="18">
        <f>SUM(AC44:AC44)</f>
        <v>16383.9</v>
      </c>
      <c r="AD43" s="11">
        <f t="shared" si="35"/>
        <v>55.75751594394266</v>
      </c>
      <c r="AE43" s="18">
        <f>SUM(AE44:AE44)</f>
        <v>28013.3</v>
      </c>
      <c r="AF43" s="18">
        <f>SUM(AF44:AF44)</f>
        <v>16950.7</v>
      </c>
      <c r="AG43" s="11">
        <f t="shared" si="36"/>
        <v>60.50947228637826</v>
      </c>
      <c r="AH43" s="18">
        <f>SUM(AH44:AH44)</f>
        <v>36617.9</v>
      </c>
      <c r="AI43" s="18">
        <f>SUM(AI44:AI44)</f>
        <v>16745</v>
      </c>
      <c r="AJ43" s="18">
        <f>SUM(AJ44:AJ44)</f>
        <v>94015.4</v>
      </c>
      <c r="AK43" s="18">
        <f>SUM(AK44:AK44)</f>
        <v>50079.6</v>
      </c>
      <c r="AL43" s="11">
        <f t="shared" si="37"/>
        <v>53.26744341884415</v>
      </c>
      <c r="AM43" s="18">
        <f aca="true" t="shared" si="41" ref="AM43:AR43">SUM(AM44:AM44)</f>
        <v>47559.6</v>
      </c>
      <c r="AN43" s="18">
        <f t="shared" si="41"/>
        <v>17473.1</v>
      </c>
      <c r="AO43" s="18">
        <f t="shared" si="41"/>
        <v>54375</v>
      </c>
      <c r="AP43" s="18">
        <f t="shared" si="41"/>
        <v>23182.5</v>
      </c>
      <c r="AQ43" s="18">
        <f t="shared" si="41"/>
        <v>57583.9</v>
      </c>
      <c r="AR43" s="18">
        <f t="shared" si="41"/>
        <v>30878.5</v>
      </c>
      <c r="AS43" s="128">
        <f>AS44</f>
        <v>448317.69999999995</v>
      </c>
      <c r="AT43" s="128">
        <f>AT44</f>
        <v>265978.5</v>
      </c>
      <c r="AU43" s="11">
        <f t="shared" si="10"/>
        <v>59.32812824476928</v>
      </c>
      <c r="AV43" s="18">
        <f>SUM(AV44:AV44)</f>
        <v>182339.19999999995</v>
      </c>
      <c r="AW43" s="18">
        <f>SUM(AW44:AW44)</f>
        <v>720182.6</v>
      </c>
    </row>
    <row r="44" spans="1:49" s="12" customFormat="1" ht="21.75" customHeight="1">
      <c r="A44" s="13"/>
      <c r="B44" s="41" t="s">
        <v>120</v>
      </c>
      <c r="C44" s="98">
        <v>537843.4</v>
      </c>
      <c r="D44" s="38">
        <v>32043.2</v>
      </c>
      <c r="E44" s="38">
        <v>26527.5</v>
      </c>
      <c r="F44" s="11">
        <f t="shared" si="40"/>
        <v>82.78667548809108</v>
      </c>
      <c r="G44" s="38">
        <v>32592</v>
      </c>
      <c r="H44" s="38">
        <v>18088</v>
      </c>
      <c r="I44" s="11">
        <f t="shared" si="1"/>
        <v>55.49828178694158</v>
      </c>
      <c r="J44" s="38">
        <v>34706.2</v>
      </c>
      <c r="K44" s="38">
        <v>22654.2</v>
      </c>
      <c r="L44" s="11">
        <f t="shared" si="28"/>
        <v>65.27421613429301</v>
      </c>
      <c r="M44" s="80">
        <f t="shared" si="15"/>
        <v>99341.4</v>
      </c>
      <c r="N44" s="80">
        <f t="shared" si="16"/>
        <v>67269.7</v>
      </c>
      <c r="O44" s="11">
        <f t="shared" si="11"/>
        <v>67.71567543843756</v>
      </c>
      <c r="P44" s="38">
        <v>31392</v>
      </c>
      <c r="Q44" s="38">
        <v>42701.8</v>
      </c>
      <c r="R44" s="11">
        <f t="shared" si="29"/>
        <v>136.0276503567788</v>
      </c>
      <c r="S44" s="38">
        <v>32147.7</v>
      </c>
      <c r="T44" s="38">
        <v>18769.4</v>
      </c>
      <c r="U44" s="11">
        <f t="shared" si="30"/>
        <v>58.38489223179264</v>
      </c>
      <c r="V44" s="38">
        <v>31902.7</v>
      </c>
      <c r="W44" s="38">
        <f>14534.2+1089.7</f>
        <v>15623.900000000001</v>
      </c>
      <c r="X44" s="11">
        <f t="shared" si="31"/>
        <v>48.973597845950344</v>
      </c>
      <c r="Y44" s="80">
        <f>P44+S44+V44</f>
        <v>95442.4</v>
      </c>
      <c r="Z44" s="80">
        <f>Q44+T44+W44</f>
        <v>77095.1</v>
      </c>
      <c r="AA44" s="11">
        <f t="shared" si="34"/>
        <v>80.77657309539576</v>
      </c>
      <c r="AB44" s="38">
        <v>29384.2</v>
      </c>
      <c r="AC44" s="38">
        <v>16383.9</v>
      </c>
      <c r="AD44" s="11">
        <f t="shared" si="35"/>
        <v>55.75751594394266</v>
      </c>
      <c r="AE44" s="38">
        <v>28013.3</v>
      </c>
      <c r="AF44" s="38">
        <v>16950.7</v>
      </c>
      <c r="AG44" s="11">
        <f>AF44/AE44*100</f>
        <v>60.50947228637826</v>
      </c>
      <c r="AH44" s="38">
        <v>36617.9</v>
      </c>
      <c r="AI44" s="38">
        <v>16745</v>
      </c>
      <c r="AJ44" s="80">
        <f>AB44+AE44+AH44</f>
        <v>94015.4</v>
      </c>
      <c r="AK44" s="80">
        <f>AC44+AF44+AI44</f>
        <v>50079.6</v>
      </c>
      <c r="AL44" s="11">
        <f t="shared" si="37"/>
        <v>53.26744341884415</v>
      </c>
      <c r="AM44" s="38">
        <v>47559.6</v>
      </c>
      <c r="AN44" s="38">
        <v>17473.1</v>
      </c>
      <c r="AO44" s="38">
        <v>54375</v>
      </c>
      <c r="AP44" s="38">
        <v>23182.5</v>
      </c>
      <c r="AQ44" s="38">
        <v>57583.9</v>
      </c>
      <c r="AR44" s="38">
        <v>30878.5</v>
      </c>
      <c r="AS44" s="65">
        <f>M44+Y44+AJ44+AM44+AO44+AQ44</f>
        <v>448317.69999999995</v>
      </c>
      <c r="AT44" s="65">
        <f>N44+Z44+AK44+AN44+AP44+AR44</f>
        <v>265978.5</v>
      </c>
      <c r="AU44" s="11">
        <f t="shared" si="10"/>
        <v>59.32812824476928</v>
      </c>
      <c r="AV44" s="65">
        <f t="shared" si="38"/>
        <v>182339.19999999995</v>
      </c>
      <c r="AW44" s="18">
        <f>C44+AS44-AT44</f>
        <v>720182.6</v>
      </c>
    </row>
    <row r="45" spans="1:49" ht="30" customHeight="1">
      <c r="A45" s="13"/>
      <c r="B45" s="16" t="s">
        <v>121</v>
      </c>
      <c r="C45" s="76">
        <f>C43+C7</f>
        <v>543895.5</v>
      </c>
      <c r="D45" s="18">
        <f>D43+D7</f>
        <v>35303.13718</v>
      </c>
      <c r="E45" s="18">
        <f>E43+E7</f>
        <v>29644.67613</v>
      </c>
      <c r="F45" s="11">
        <f>E45/D45*100</f>
        <v>83.97178975582476</v>
      </c>
      <c r="G45" s="18">
        <f>G7+G43</f>
        <v>35748.1</v>
      </c>
      <c r="H45" s="18">
        <f>H7+H43</f>
        <v>21860</v>
      </c>
      <c r="I45" s="11">
        <f t="shared" si="1"/>
        <v>61.150103082401586</v>
      </c>
      <c r="J45" s="18">
        <f>J7+J43</f>
        <v>38026.208999999995</v>
      </c>
      <c r="K45" s="18">
        <f>K7+K43</f>
        <v>26126.924</v>
      </c>
      <c r="L45" s="18">
        <f>K45/J45*100</f>
        <v>68.70767475138003</v>
      </c>
      <c r="M45" s="18">
        <f>M7+M43</f>
        <v>109077.44618</v>
      </c>
      <c r="N45" s="18">
        <f>N7+N43</f>
        <v>77631.60012999999</v>
      </c>
      <c r="O45" s="11">
        <f t="shared" si="11"/>
        <v>71.1710833437483</v>
      </c>
      <c r="P45" s="18">
        <f>P7+P43</f>
        <v>35011.35</v>
      </c>
      <c r="Q45" s="18">
        <f>Q7+Q43</f>
        <v>45735.287000000004</v>
      </c>
      <c r="R45" s="11">
        <f t="shared" si="29"/>
        <v>130.62988716516216</v>
      </c>
      <c r="S45" s="18">
        <f>S7+S43</f>
        <v>35361.45817</v>
      </c>
      <c r="T45" s="18">
        <f>T7+T43</f>
        <v>22087.35827</v>
      </c>
      <c r="U45" s="11">
        <f t="shared" si="30"/>
        <v>62.46167271670517</v>
      </c>
      <c r="V45" s="18">
        <f>V7+V43</f>
        <v>35233.81817</v>
      </c>
      <c r="W45" s="18">
        <f>W7+W43</f>
        <v>18587.296580000002</v>
      </c>
      <c r="X45" s="11">
        <f t="shared" si="31"/>
        <v>52.75413663747134</v>
      </c>
      <c r="Y45" s="18">
        <f>Y7+Y43</f>
        <v>105606.62633999999</v>
      </c>
      <c r="Z45" s="18">
        <f>Z7+Z43</f>
        <v>86409.94185</v>
      </c>
      <c r="AA45" s="11">
        <f t="shared" si="34"/>
        <v>81.82246213585465</v>
      </c>
      <c r="AB45" s="18">
        <f>AB7+AB43</f>
        <v>32892.35966</v>
      </c>
      <c r="AC45" s="18">
        <f>AC7+AC43</f>
        <v>19390.12169</v>
      </c>
      <c r="AD45" s="11">
        <f t="shared" si="35"/>
        <v>58.95023005473241</v>
      </c>
      <c r="AE45" s="18">
        <f>AE43+AE7</f>
        <v>31418.97121</v>
      </c>
      <c r="AF45" s="18">
        <f>AF43+AF7</f>
        <v>20708.29953</v>
      </c>
      <c r="AG45" s="11">
        <f>AF45/AE45*100</f>
        <v>65.91017698061667</v>
      </c>
      <c r="AH45" s="18">
        <f>AH43+AH7</f>
        <v>39698.49962</v>
      </c>
      <c r="AI45" s="18">
        <f>AI43+AI7</f>
        <v>19584.15402</v>
      </c>
      <c r="AJ45" s="18">
        <f>AJ7+AJ43</f>
        <v>104009.83049</v>
      </c>
      <c r="AK45" s="18">
        <f>AK7+AK43</f>
        <v>59682.57524</v>
      </c>
      <c r="AL45" s="11">
        <f t="shared" si="37"/>
        <v>57.38166763548198</v>
      </c>
      <c r="AM45" s="18">
        <f aca="true" t="shared" si="42" ref="AM45:AR45">AM43+AM7</f>
        <v>51188.5</v>
      </c>
      <c r="AN45" s="18">
        <f t="shared" si="42"/>
        <v>20759.899999999998</v>
      </c>
      <c r="AO45" s="18">
        <f t="shared" si="42"/>
        <v>58079.5</v>
      </c>
      <c r="AP45" s="18">
        <f t="shared" si="42"/>
        <v>26803.1</v>
      </c>
      <c r="AQ45" s="18">
        <f t="shared" si="42"/>
        <v>61500</v>
      </c>
      <c r="AR45" s="18">
        <f t="shared" si="42"/>
        <v>34360</v>
      </c>
      <c r="AS45" s="76">
        <f>AS7+AS43</f>
        <v>489461.90300999995</v>
      </c>
      <c r="AT45" s="76">
        <f>AT7+AT43</f>
        <v>305647.11722</v>
      </c>
      <c r="AU45" s="11">
        <f>AT45/AS45*100</f>
        <v>62.44553770996054</v>
      </c>
      <c r="AV45" s="18">
        <f>AV7+AV43</f>
        <v>183814.78578999997</v>
      </c>
      <c r="AW45" s="18">
        <f>AW7+AW43</f>
        <v>727710.28579</v>
      </c>
    </row>
    <row r="46" spans="1:61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2" t="s">
        <v>136</v>
      </c>
      <c r="AW47" s="173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17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6.5" customHeight="1">
      <c r="A51" s="29"/>
      <c r="B51" s="169" t="s">
        <v>137</v>
      </c>
      <c r="C51" s="169"/>
      <c r="D51" s="169"/>
      <c r="E51" s="169"/>
      <c r="F51" s="169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165" t="s">
        <v>133</v>
      </c>
      <c r="B52" s="165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1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1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2:49" ht="18.75">
      <c r="B59" s="111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A52:B52"/>
    <mergeCell ref="B51:F51"/>
    <mergeCell ref="M5:O5"/>
    <mergeCell ref="S5:U5"/>
    <mergeCell ref="P5:R5"/>
    <mergeCell ref="AM5:AN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I1:AW1"/>
    <mergeCell ref="B2:AW2"/>
    <mergeCell ref="B3:AW3"/>
    <mergeCell ref="B4:F4"/>
    <mergeCell ref="D5:F5"/>
    <mergeCell ref="AH5:AI5"/>
    <mergeCell ref="AJ5:AL5"/>
    <mergeCell ref="G5:I5"/>
    <mergeCell ref="AE5:AG5"/>
    <mergeCell ref="J5:L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2019-01-16T15:01:21Z</cp:lastPrinted>
  <dcterms:created xsi:type="dcterms:W3CDTF">2001-09-14T09:33:50Z</dcterms:created>
  <dcterms:modified xsi:type="dcterms:W3CDTF">2019-01-16T15:01:22Z</dcterms:modified>
  <cp:category/>
  <cp:version/>
  <cp:contentType/>
  <cp:contentStatus/>
</cp:coreProperties>
</file>