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7755" tabRatio="928" activeTab="0"/>
  </bookViews>
  <sheets>
    <sheet name="Всього" sheetId="1" r:id="rId1"/>
    <sheet name="населення" sheetId="2" r:id="rId2"/>
    <sheet name="льготи" sheetId="3" r:id="rId3"/>
    <sheet name="субсидии" sheetId="4" r:id="rId4"/>
    <sheet name="держ.бюджет" sheetId="5" r:id="rId5"/>
    <sheet name="місц.-район.бюджет" sheetId="6" r:id="rId6"/>
    <sheet name="обласной" sheetId="7" r:id="rId7"/>
    <sheet name="госпрозрахунк." sheetId="8" r:id="rId8"/>
  </sheets>
  <definedNames>
    <definedName name="_xlnm._FilterDatabase" localSheetId="0" hidden="1">'Всього'!$F$1:$F$95</definedName>
    <definedName name="_xlnm.Print_Area" localSheetId="0">'Всього'!$A$1:$AW$48</definedName>
    <definedName name="_xlnm.Print_Area" localSheetId="7">'госпрозрахунк.'!$A$1:$AW$48</definedName>
    <definedName name="_xlnm.Print_Area" localSheetId="4">'держ.бюджет'!$A$1:$AW$48</definedName>
    <definedName name="_xlnm.Print_Area" localSheetId="2">'льготи'!$A$1:$AW$48</definedName>
    <definedName name="_xlnm.Print_Area" localSheetId="5">'місц.-район.бюджет'!$A$1:$AW$48</definedName>
    <definedName name="_xlnm.Print_Area" localSheetId="1">'населення'!$A$1:$AX$48</definedName>
    <definedName name="_xlnm.Print_Area" localSheetId="6">'обласной'!$A$1:$AW$48</definedName>
    <definedName name="_xlnm.Print_Area" localSheetId="3">'субсидии'!$A$1:$AW$48</definedName>
  </definedNames>
  <calcPr fullCalcOnLoad="1"/>
</workbook>
</file>

<file path=xl/sharedStrings.xml><?xml version="1.0" encoding="utf-8"?>
<sst xmlns="http://schemas.openxmlformats.org/spreadsheetml/2006/main" count="965" uniqueCount="129">
  <si>
    <t>%</t>
  </si>
  <si>
    <t>Сальдо</t>
  </si>
  <si>
    <t>м.Харків:</t>
  </si>
  <si>
    <t>По  районах і містах області, в т.ч.:</t>
  </si>
  <si>
    <t xml:space="preserve">Усього </t>
  </si>
  <si>
    <t>п.п.</t>
  </si>
  <si>
    <t xml:space="preserve"> </t>
  </si>
  <si>
    <t xml:space="preserve"> КП "ХТМ"</t>
  </si>
  <si>
    <t>№</t>
  </si>
  <si>
    <t xml:space="preserve">Заступник начальника Головного управління 
житлово-комунального господарства та розвитку інфраструктури </t>
  </si>
  <si>
    <t xml:space="preserve">Заступник  начальника Головного управління 
житлово-комунального господарства та розвитку інфраструктури </t>
  </si>
  <si>
    <t>Чкаловське</t>
  </si>
  <si>
    <t>КЛК</t>
  </si>
  <si>
    <t>Дрит без Чкал</t>
  </si>
  <si>
    <t>КЛК без Чугуев</t>
  </si>
  <si>
    <t>ТОВ "КЛК"</t>
  </si>
  <si>
    <t xml:space="preserve"> - найкращі показники</t>
  </si>
  <si>
    <t xml:space="preserve"> - незадовільні показники</t>
  </si>
  <si>
    <t>Название  районов, городов</t>
  </si>
  <si>
    <t>оплачено</t>
  </si>
  <si>
    <t>тыс.грн.</t>
  </si>
  <si>
    <t>По районам и городам области, в т.ч.:</t>
  </si>
  <si>
    <t xml:space="preserve"> Балаклейский  р-н (КП БРР "Балаклейские тепловые сети")</t>
  </si>
  <si>
    <t xml:space="preserve"> Валковский  р-н (ООО "КБК")</t>
  </si>
  <si>
    <t xml:space="preserve"> В. Бурлукский  р-н (ООО "КБК")</t>
  </si>
  <si>
    <t xml:space="preserve"> Волчанский  р-н (Волчанское КПТС)</t>
  </si>
  <si>
    <t xml:space="preserve"> Зачепиловский р-н (ООО "КБК")</t>
  </si>
  <si>
    <t xml:space="preserve"> Изюмский р-н (Изюмское КПТС)</t>
  </si>
  <si>
    <t xml:space="preserve"> Кегичевский р-н (ООО "Володарь Кегичевка") </t>
  </si>
  <si>
    <t xml:space="preserve"> Коломакский</t>
  </si>
  <si>
    <t xml:space="preserve"> Красноградский р-н (Красноградское ПТС)</t>
  </si>
  <si>
    <t xml:space="preserve"> Первомайский р-н</t>
  </si>
  <si>
    <t xml:space="preserve"> Печенежский  р-н</t>
  </si>
  <si>
    <t xml:space="preserve"> Сахновщинский р-н</t>
  </si>
  <si>
    <t xml:space="preserve"> Харьковский р-н</t>
  </si>
  <si>
    <t>ООО "КБК"</t>
  </si>
  <si>
    <t xml:space="preserve"> г. Изюм (Изюмское КПТС)</t>
  </si>
  <si>
    <t xml:space="preserve"> г.  Люботин (ХОКП "ДРИТ")</t>
  </si>
  <si>
    <t xml:space="preserve"> г.  Первомайский (Первомайское КП "Теплосети")</t>
  </si>
  <si>
    <t xml:space="preserve"> г. Чугуев (КП "Чугуевтепло") </t>
  </si>
  <si>
    <t>г.Харьков:</t>
  </si>
  <si>
    <t xml:space="preserve"> КП "ХТС"</t>
  </si>
  <si>
    <t xml:space="preserve">Всего </t>
  </si>
  <si>
    <t xml:space="preserve"> Боровской  р-н (Боровское КПТС) </t>
  </si>
  <si>
    <t xml:space="preserve"> Змиевской  р-н (ООО "КБК") </t>
  </si>
  <si>
    <t xml:space="preserve"> - лучшие показатели</t>
  </si>
  <si>
    <t xml:space="preserve"> - худшие показатели</t>
  </si>
  <si>
    <t xml:space="preserve">Состояние расчетов учреждений,которые финансируются из государственного бюджета, </t>
  </si>
  <si>
    <t xml:space="preserve">Состояние расчетов учреждений,которые финансируются из местных бюджетов, </t>
  </si>
  <si>
    <t xml:space="preserve">Состояние расчетов учреждений,которые финансируются из областного бюджета, </t>
  </si>
  <si>
    <t>Состояние расчетов хозрасчетных потребителей</t>
  </si>
  <si>
    <t>Состояние расчетов потребителей области</t>
  </si>
  <si>
    <t>Состояние расчетов населения</t>
  </si>
  <si>
    <t>Состояние возмещения предоставленных льгот</t>
  </si>
  <si>
    <t>Состояние возмещения предоставленных субсидий</t>
  </si>
  <si>
    <t xml:space="preserve"> Лозовской р-н ( КП "Тепловодосервис") </t>
  </si>
  <si>
    <t xml:space="preserve"> г. Лозовая (КП "Теплоэнерго")</t>
  </si>
  <si>
    <t>Р.С. Грива</t>
  </si>
  <si>
    <t>КП "ХТС"</t>
  </si>
  <si>
    <t>Директор Департамента жилищно-
коммунального хозяйства и развития 
инфраструктуры ХОГА</t>
  </si>
  <si>
    <t>С.В. Магдисюк</t>
  </si>
  <si>
    <t xml:space="preserve">Директор Департамента </t>
  </si>
  <si>
    <t>КП ТС Харьковского района, КП "Комэнерго"</t>
  </si>
  <si>
    <t xml:space="preserve"> Богодуховский  р-н </t>
  </si>
  <si>
    <t>январь</t>
  </si>
  <si>
    <t>начислено</t>
  </si>
  <si>
    <t>февраль</t>
  </si>
  <si>
    <t xml:space="preserve">с начала 2017 года </t>
  </si>
  <si>
    <t>март</t>
  </si>
  <si>
    <t>апрель</t>
  </si>
  <si>
    <t>май</t>
  </si>
  <si>
    <t>июнь</t>
  </si>
  <si>
    <t>2 квартал 2017</t>
  </si>
  <si>
    <t>июль</t>
  </si>
  <si>
    <t>август</t>
  </si>
  <si>
    <t>сентябрь</t>
  </si>
  <si>
    <t>октябрь</t>
  </si>
  <si>
    <t>3 квартал 2017</t>
  </si>
  <si>
    <t>ноябрь</t>
  </si>
  <si>
    <t>декабрь</t>
  </si>
  <si>
    <t>на 01.01.2018</t>
  </si>
  <si>
    <t>1 квартал 2018</t>
  </si>
  <si>
    <t xml:space="preserve">с начала 2018 года </t>
  </si>
  <si>
    <t xml:space="preserve"> Близнюковский р-н </t>
  </si>
  <si>
    <t>КП "Теплові мережі Роганської селищної ради"</t>
  </si>
  <si>
    <r>
      <t>Задолженность за 2018 год</t>
    </r>
    <r>
      <rPr>
        <b/>
        <sz val="14"/>
        <color indexed="9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по состоянию на 01.03.2018 </t>
    </r>
  </si>
  <si>
    <t xml:space="preserve"> Коломакский р-н</t>
  </si>
  <si>
    <t>КП Комбінат благоустрою</t>
  </si>
  <si>
    <t xml:space="preserve"> Двуречанский  р-н (ООО "Дивайс")</t>
  </si>
  <si>
    <t xml:space="preserve"> Краснокутский  р-н (ООО "Дивайс")</t>
  </si>
  <si>
    <t xml:space="preserve"> Шевченковский  р-н </t>
  </si>
  <si>
    <t xml:space="preserve"> г. Купянск (ХОКП "ОИТЦ")</t>
  </si>
  <si>
    <t xml:space="preserve"> Чугуевский р-н (ООО "КБК", ХОКП "ОИТЦ")</t>
  </si>
  <si>
    <t>Барвенковский р-н ( ХОКП "ОИТЦ")</t>
  </si>
  <si>
    <t xml:space="preserve"> Дергачевский р-н (ХОКП "ОИТЦ")</t>
  </si>
  <si>
    <t xml:space="preserve"> Золочевский р-н</t>
  </si>
  <si>
    <t xml:space="preserve"> Купянский р-н (ХОКП "ОИТЦ")</t>
  </si>
  <si>
    <t xml:space="preserve"> Н-Водолажский  р-н </t>
  </si>
  <si>
    <t xml:space="preserve"> Балаклейский  р-н </t>
  </si>
  <si>
    <t xml:space="preserve">Барвенковский р-н </t>
  </si>
  <si>
    <t xml:space="preserve"> Боровской  р-н</t>
  </si>
  <si>
    <t xml:space="preserve"> Валковский  р-н </t>
  </si>
  <si>
    <t xml:space="preserve"> В. Бурлукский  р-н </t>
  </si>
  <si>
    <t xml:space="preserve"> Волчанский  р-н </t>
  </si>
  <si>
    <t xml:space="preserve"> Двуречанский  р-н </t>
  </si>
  <si>
    <t xml:space="preserve"> Дергачевский р-н </t>
  </si>
  <si>
    <t xml:space="preserve"> Зачепиловский р-н </t>
  </si>
  <si>
    <t xml:space="preserve"> Змиевской  р-н</t>
  </si>
  <si>
    <t xml:space="preserve"> Золочевский р-н </t>
  </si>
  <si>
    <t xml:space="preserve"> Изюмский р-н </t>
  </si>
  <si>
    <t xml:space="preserve"> Кегичевский р-н </t>
  </si>
  <si>
    <t xml:space="preserve"> Красноградский р-н</t>
  </si>
  <si>
    <t xml:space="preserve"> Краснокутский  р-н </t>
  </si>
  <si>
    <t xml:space="preserve"> Купянский р-н </t>
  </si>
  <si>
    <t xml:space="preserve"> Лозовской р-н </t>
  </si>
  <si>
    <t xml:space="preserve"> КП "Комэнерго" Харьковского райсовета</t>
  </si>
  <si>
    <t>КП "Тепловые сети Роганского поссовета"</t>
  </si>
  <si>
    <t>КП Коминат благоустройства Харьковского р-на</t>
  </si>
  <si>
    <t xml:space="preserve"> Чугуевский р-н </t>
  </si>
  <si>
    <t xml:space="preserve"> г. Изюм</t>
  </si>
  <si>
    <t xml:space="preserve"> г. Купянск</t>
  </si>
  <si>
    <t xml:space="preserve"> г. Лозовая </t>
  </si>
  <si>
    <t xml:space="preserve"> г.  Люботин </t>
  </si>
  <si>
    <t xml:space="preserve"> г.  Первомайский </t>
  </si>
  <si>
    <t xml:space="preserve"> г. Чугуев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</si>
  <si>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</si>
  <si>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по оплате услуг теплоснабжения по состоянию на 01.08.2018</t>
  </si>
  <si>
    <r>
      <t>Задолженность за 2018 год</t>
    </r>
    <r>
      <rPr>
        <b/>
        <sz val="14"/>
        <color indexed="9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по состоянию на 01.08.2018 </t>
    </r>
  </si>
  <si>
    <t>Общая задолженность на 01.08.2018 (с учетом долгов прошлых лет)</t>
  </si>
</sst>
</file>

<file path=xl/styles.xml><?xml version="1.0" encoding="utf-8"?>
<styleSheet xmlns="http://schemas.openxmlformats.org/spreadsheetml/2006/main">
  <numFmts count="5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,"/>
    <numFmt numFmtId="191" formatCode="0.0000"/>
    <numFmt numFmtId="192" formatCode="#,##0.0"/>
    <numFmt numFmtId="193" formatCode="0.0,"/>
    <numFmt numFmtId="194" formatCode="0,"/>
    <numFmt numFmtId="195" formatCode="0.000000"/>
    <numFmt numFmtId="196" formatCode="0.00000"/>
    <numFmt numFmtId="197" formatCode="#,##0.00\ &quot;к.&quot;"/>
    <numFmt numFmtId="198" formatCode="#,##0.00\ _к_."/>
    <numFmt numFmtId="199" formatCode="#,##0.0\ _к_."/>
    <numFmt numFmtId="200" formatCode="#,##0.000"/>
    <numFmt numFmtId="201" formatCode="[$-FC19]d\ mmmm\ yyyy\ &quot;г.&quot;"/>
    <numFmt numFmtId="202" formatCode="#,##0.0000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[$€-2]\ ###,000_);[Red]\([$€-2]\ ###,000\)"/>
  </numFmts>
  <fonts count="7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9"/>
      <name val="Times New Roman"/>
      <family val="1"/>
    </font>
    <font>
      <sz val="12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 Cyr"/>
      <family val="1"/>
    </font>
    <font>
      <b/>
      <sz val="14"/>
      <color indexed="9"/>
      <name val="Times New Roman"/>
      <family val="1"/>
    </font>
    <font>
      <sz val="14"/>
      <color indexed="18"/>
      <name val="Times New Roman"/>
      <family val="1"/>
    </font>
    <font>
      <b/>
      <sz val="14"/>
      <color indexed="18"/>
      <name val="Times New Roman"/>
      <family val="1"/>
    </font>
    <font>
      <sz val="14"/>
      <color indexed="62"/>
      <name val="Times New Roman"/>
      <family val="1"/>
    </font>
    <font>
      <b/>
      <sz val="14"/>
      <color indexed="62"/>
      <name val="Times New Roman"/>
      <family val="1"/>
    </font>
    <font>
      <b/>
      <sz val="10"/>
      <name val="Arial Cyr"/>
      <family val="0"/>
    </font>
    <font>
      <sz val="12"/>
      <color indexed="10"/>
      <name val="Times New Roman"/>
      <family val="1"/>
    </font>
    <font>
      <sz val="13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56"/>
      <name val="Times New Roman"/>
      <family val="1"/>
    </font>
    <font>
      <b/>
      <sz val="14"/>
      <color indexed="56"/>
      <name val="Times New Roman"/>
      <family val="1"/>
    </font>
    <font>
      <b/>
      <sz val="14"/>
      <color indexed="9"/>
      <name val="Times New Roman Cyr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0"/>
      <name val="Times New Roman"/>
      <family val="1"/>
    </font>
    <font>
      <b/>
      <sz val="14"/>
      <color theme="1"/>
      <name val="Times New Roman"/>
      <family val="1"/>
    </font>
    <font>
      <sz val="14"/>
      <color theme="3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14"/>
      <color theme="3" tint="-0.24997000396251678"/>
      <name val="Times New Roman"/>
      <family val="1"/>
    </font>
    <font>
      <b/>
      <sz val="14"/>
      <color rgb="FF002060"/>
      <name val="Times New Roman"/>
      <family val="1"/>
    </font>
    <font>
      <b/>
      <sz val="14"/>
      <color theme="3"/>
      <name val="Times New Roman"/>
      <family val="1"/>
    </font>
    <font>
      <b/>
      <sz val="14"/>
      <color theme="0"/>
      <name val="Times New Roman Cyr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0" fontId="4" fillId="0" borderId="10" xfId="0" applyFont="1" applyFill="1" applyBorder="1" applyAlignment="1">
      <alignment wrapText="1"/>
    </xf>
    <xf numFmtId="192" fontId="13" fillId="0" borderId="10" xfId="0" applyNumberFormat="1" applyFont="1" applyFill="1" applyBorder="1" applyAlignment="1">
      <alignment/>
    </xf>
    <xf numFmtId="192" fontId="4" fillId="0" borderId="10" xfId="0" applyNumberFormat="1" applyFont="1" applyFill="1" applyBorder="1" applyAlignment="1">
      <alignment wrapText="1"/>
    </xf>
    <xf numFmtId="192" fontId="3" fillId="0" borderId="1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3" fillId="0" borderId="1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vertical="center" wrapText="1"/>
    </xf>
    <xf numFmtId="192" fontId="3" fillId="0" borderId="10" xfId="0" applyNumberFormat="1" applyFont="1" applyFill="1" applyBorder="1" applyAlignment="1">
      <alignment wrapText="1"/>
    </xf>
    <xf numFmtId="1" fontId="4" fillId="0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192" fontId="3" fillId="0" borderId="0" xfId="0" applyNumberFormat="1" applyFont="1" applyFill="1" applyBorder="1" applyAlignment="1">
      <alignment wrapText="1"/>
    </xf>
    <xf numFmtId="192" fontId="3" fillId="0" borderId="0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192" fontId="3" fillId="0" borderId="0" xfId="0" applyNumberFormat="1" applyFont="1" applyFill="1" applyAlignment="1">
      <alignment/>
    </xf>
    <xf numFmtId="192" fontId="5" fillId="0" borderId="10" xfId="0" applyNumberFormat="1" applyFont="1" applyFill="1" applyBorder="1" applyAlignment="1">
      <alignment wrapText="1"/>
    </xf>
    <xf numFmtId="0" fontId="4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15" fillId="0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1" fontId="4" fillId="0" borderId="0" xfId="0" applyNumberFormat="1" applyFont="1" applyFill="1" applyAlignment="1">
      <alignment/>
    </xf>
    <xf numFmtId="192" fontId="62" fillId="0" borderId="10" xfId="0" applyNumberFormat="1" applyFont="1" applyFill="1" applyBorder="1" applyAlignment="1">
      <alignment wrapText="1"/>
    </xf>
    <xf numFmtId="0" fontId="23" fillId="0" borderId="0" xfId="0" applyFont="1" applyFill="1" applyAlignment="1">
      <alignment horizontal="center"/>
    </xf>
    <xf numFmtId="0" fontId="23" fillId="0" borderId="0" xfId="0" applyFont="1" applyFill="1" applyAlignment="1">
      <alignment/>
    </xf>
    <xf numFmtId="188" fontId="4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left" wrapText="1"/>
    </xf>
    <xf numFmtId="192" fontId="63" fillId="0" borderId="10" xfId="0" applyNumberFormat="1" applyFont="1" applyFill="1" applyBorder="1" applyAlignment="1">
      <alignment wrapText="1"/>
    </xf>
    <xf numFmtId="0" fontId="4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192" fontId="12" fillId="0" borderId="10" xfId="0" applyNumberFormat="1" applyFont="1" applyFill="1" applyBorder="1" applyAlignment="1">
      <alignment wrapText="1"/>
    </xf>
    <xf numFmtId="192" fontId="64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4" fillId="0" borderId="13" xfId="0" applyFont="1" applyFill="1" applyBorder="1" applyAlignment="1">
      <alignment horizontal="center" vertical="center"/>
    </xf>
    <xf numFmtId="192" fontId="14" fillId="0" borderId="10" xfId="0" applyNumberFormat="1" applyFont="1" applyFill="1" applyBorder="1" applyAlignment="1">
      <alignment wrapText="1"/>
    </xf>
    <xf numFmtId="192" fontId="8" fillId="0" borderId="10" xfId="0" applyNumberFormat="1" applyFont="1" applyFill="1" applyBorder="1" applyAlignment="1">
      <alignment horizontal="right"/>
    </xf>
    <xf numFmtId="0" fontId="7" fillId="0" borderId="0" xfId="0" applyFont="1" applyFill="1" applyAlignment="1">
      <alignment/>
    </xf>
    <xf numFmtId="192" fontId="65" fillId="0" borderId="10" xfId="0" applyNumberFormat="1" applyFont="1" applyFill="1" applyBorder="1" applyAlignment="1">
      <alignment wrapText="1"/>
    </xf>
    <xf numFmtId="192" fontId="3" fillId="0" borderId="10" xfId="0" applyNumberFormat="1" applyFont="1" applyFill="1" applyBorder="1" applyAlignment="1">
      <alignment vertical="center"/>
    </xf>
    <xf numFmtId="192" fontId="3" fillId="0" borderId="10" xfId="0" applyNumberFormat="1" applyFont="1" applyFill="1" applyBorder="1" applyAlignment="1">
      <alignment vertical="center" wrapText="1"/>
    </xf>
    <xf numFmtId="0" fontId="17" fillId="0" borderId="10" xfId="0" applyFont="1" applyFill="1" applyBorder="1" applyAlignment="1">
      <alignment vertical="center"/>
    </xf>
    <xf numFmtId="192" fontId="14" fillId="0" borderId="10" xfId="0" applyNumberFormat="1" applyFont="1" applyFill="1" applyBorder="1" applyAlignment="1">
      <alignment/>
    </xf>
    <xf numFmtId="192" fontId="8" fillId="0" borderId="1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192" fontId="18" fillId="0" borderId="0" xfId="0" applyNumberFormat="1" applyFont="1" applyFill="1" applyAlignment="1">
      <alignment horizontal="left"/>
    </xf>
    <xf numFmtId="192" fontId="6" fillId="0" borderId="0" xfId="0" applyNumberFormat="1" applyFont="1" applyFill="1" applyAlignment="1">
      <alignment horizontal="left"/>
    </xf>
    <xf numFmtId="0" fontId="21" fillId="0" borderId="0" xfId="0" applyFont="1" applyFill="1" applyAlignment="1">
      <alignment horizontal="left"/>
    </xf>
    <xf numFmtId="188" fontId="3" fillId="0" borderId="0" xfId="0" applyNumberFormat="1" applyFont="1" applyFill="1" applyAlignment="1">
      <alignment/>
    </xf>
    <xf numFmtId="0" fontId="3" fillId="0" borderId="0" xfId="0" applyFont="1" applyFill="1" applyAlignment="1">
      <alignment wrapText="1"/>
    </xf>
    <xf numFmtId="188" fontId="3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left" vertical="justify"/>
    </xf>
    <xf numFmtId="0" fontId="66" fillId="0" borderId="0" xfId="0" applyFont="1" applyFill="1" applyAlignment="1">
      <alignment horizontal="center"/>
    </xf>
    <xf numFmtId="0" fontId="62" fillId="0" borderId="0" xfId="0" applyFont="1" applyFill="1" applyAlignment="1">
      <alignment wrapText="1"/>
    </xf>
    <xf numFmtId="188" fontId="62" fillId="0" borderId="0" xfId="0" applyNumberFormat="1" applyFont="1" applyFill="1" applyAlignment="1">
      <alignment/>
    </xf>
    <xf numFmtId="188" fontId="66" fillId="0" borderId="0" xfId="0" applyNumberFormat="1" applyFont="1" applyFill="1" applyAlignment="1">
      <alignment/>
    </xf>
    <xf numFmtId="0" fontId="62" fillId="0" borderId="0" xfId="0" applyFont="1" applyFill="1" applyAlignment="1">
      <alignment horizontal="left" vertical="center" wrapText="1"/>
    </xf>
    <xf numFmtId="0" fontId="66" fillId="0" borderId="0" xfId="0" applyFont="1" applyFill="1" applyAlignment="1">
      <alignment/>
    </xf>
    <xf numFmtId="1" fontId="3" fillId="0" borderId="0" xfId="0" applyNumberFormat="1" applyFont="1" applyFill="1" applyAlignment="1">
      <alignment/>
    </xf>
    <xf numFmtId="188" fontId="13" fillId="0" borderId="0" xfId="0" applyNumberFormat="1" applyFont="1" applyFill="1" applyAlignment="1">
      <alignment/>
    </xf>
    <xf numFmtId="0" fontId="4" fillId="0" borderId="14" xfId="0" applyFont="1" applyFill="1" applyBorder="1" applyAlignment="1">
      <alignment/>
    </xf>
    <xf numFmtId="192" fontId="14" fillId="0" borderId="11" xfId="0" applyNumberFormat="1" applyFont="1" applyFill="1" applyBorder="1" applyAlignment="1">
      <alignment wrapText="1"/>
    </xf>
    <xf numFmtId="192" fontId="12" fillId="0" borderId="10" xfId="0" applyNumberFormat="1" applyFont="1" applyFill="1" applyBorder="1" applyAlignment="1">
      <alignment/>
    </xf>
    <xf numFmtId="0" fontId="19" fillId="0" borderId="0" xfId="0" applyFont="1" applyFill="1" applyAlignment="1">
      <alignment horizontal="center" vertical="center" wrapText="1" shrinkToFit="1"/>
    </xf>
    <xf numFmtId="1" fontId="14" fillId="0" borderId="0" xfId="0" applyNumberFormat="1" applyFont="1" applyFill="1" applyAlignment="1">
      <alignment/>
    </xf>
    <xf numFmtId="1" fontId="7" fillId="0" borderId="0" xfId="0" applyNumberFormat="1" applyFont="1" applyFill="1" applyAlignment="1">
      <alignment/>
    </xf>
    <xf numFmtId="192" fontId="12" fillId="0" borderId="0" xfId="0" applyNumberFormat="1" applyFont="1" applyFill="1" applyBorder="1" applyAlignment="1">
      <alignment wrapText="1"/>
    </xf>
    <xf numFmtId="1" fontId="7" fillId="0" borderId="0" xfId="0" applyNumberFormat="1" applyFont="1" applyFill="1" applyBorder="1" applyAlignment="1">
      <alignment/>
    </xf>
    <xf numFmtId="192" fontId="8" fillId="0" borderId="0" xfId="0" applyNumberFormat="1" applyFont="1" applyFill="1" applyBorder="1" applyAlignment="1">
      <alignment wrapText="1"/>
    </xf>
    <xf numFmtId="1" fontId="5" fillId="0" borderId="0" xfId="0" applyNumberFormat="1" applyFont="1" applyFill="1" applyBorder="1" applyAlignment="1">
      <alignment/>
    </xf>
    <xf numFmtId="188" fontId="13" fillId="0" borderId="10" xfId="0" applyNumberFormat="1" applyFont="1" applyFill="1" applyBorder="1" applyAlignment="1">
      <alignment/>
    </xf>
    <xf numFmtId="192" fontId="5" fillId="0" borderId="1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192" fontId="14" fillId="0" borderId="0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4" fillId="0" borderId="12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192" fontId="16" fillId="0" borderId="10" xfId="0" applyNumberFormat="1" applyFont="1" applyFill="1" applyBorder="1" applyAlignment="1">
      <alignment wrapText="1"/>
    </xf>
    <xf numFmtId="192" fontId="13" fillId="0" borderId="10" xfId="0" applyNumberFormat="1" applyFont="1" applyFill="1" applyBorder="1" applyAlignment="1">
      <alignment/>
    </xf>
    <xf numFmtId="1" fontId="13" fillId="0" borderId="0" xfId="0" applyNumberFormat="1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192" fontId="3" fillId="0" borderId="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192" fontId="4" fillId="0" borderId="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/>
    </xf>
    <xf numFmtId="188" fontId="4" fillId="0" borderId="10" xfId="0" applyNumberFormat="1" applyFont="1" applyFill="1" applyBorder="1" applyAlignment="1">
      <alignment wrapText="1"/>
    </xf>
    <xf numFmtId="188" fontId="3" fillId="0" borderId="10" xfId="0" applyNumberFormat="1" applyFont="1" applyFill="1" applyBorder="1" applyAlignment="1">
      <alignment wrapText="1"/>
    </xf>
    <xf numFmtId="192" fontId="3" fillId="0" borderId="10" xfId="0" applyNumberFormat="1" applyFont="1" applyFill="1" applyBorder="1" applyAlignment="1">
      <alignment horizontal="right"/>
    </xf>
    <xf numFmtId="192" fontId="3" fillId="0" borderId="0" xfId="0" applyNumberFormat="1" applyFont="1" applyFill="1" applyBorder="1" applyAlignment="1">
      <alignment horizontal="right"/>
    </xf>
    <xf numFmtId="188" fontId="4" fillId="0" borderId="0" xfId="0" applyNumberFormat="1" applyFont="1" applyFill="1" applyAlignment="1">
      <alignment horizontal="right"/>
    </xf>
    <xf numFmtId="1" fontId="4" fillId="0" borderId="0" xfId="0" applyNumberFormat="1" applyFont="1" applyFill="1" applyAlignment="1">
      <alignment horizontal="right"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192" fontId="67" fillId="0" borderId="10" xfId="0" applyNumberFormat="1" applyFont="1" applyFill="1" applyBorder="1" applyAlignment="1">
      <alignment/>
    </xf>
    <xf numFmtId="192" fontId="66" fillId="0" borderId="10" xfId="0" applyNumberFormat="1" applyFont="1" applyFill="1" applyBorder="1" applyAlignment="1">
      <alignment/>
    </xf>
    <xf numFmtId="192" fontId="62" fillId="0" borderId="10" xfId="0" applyNumberFormat="1" applyFont="1" applyFill="1" applyBorder="1" applyAlignment="1">
      <alignment vertical="center" wrapText="1"/>
    </xf>
    <xf numFmtId="0" fontId="4" fillId="0" borderId="16" xfId="0" applyFont="1" applyFill="1" applyBorder="1" applyAlignment="1">
      <alignment/>
    </xf>
    <xf numFmtId="192" fontId="66" fillId="0" borderId="10" xfId="0" applyNumberFormat="1" applyFont="1" applyFill="1" applyBorder="1" applyAlignment="1">
      <alignment wrapText="1"/>
    </xf>
    <xf numFmtId="192" fontId="68" fillId="0" borderId="10" xfId="0" applyNumberFormat="1" applyFont="1" applyFill="1" applyBorder="1" applyAlignment="1">
      <alignment/>
    </xf>
    <xf numFmtId="192" fontId="69" fillId="0" borderId="10" xfId="0" applyNumberFormat="1" applyFont="1" applyFill="1" applyBorder="1" applyAlignment="1">
      <alignment wrapText="1"/>
    </xf>
    <xf numFmtId="49" fontId="4" fillId="0" borderId="16" xfId="0" applyNumberFormat="1" applyFont="1" applyFill="1" applyBorder="1" applyAlignment="1">
      <alignment horizontal="center" vertical="center"/>
    </xf>
    <xf numFmtId="0" fontId="15" fillId="33" borderId="13" xfId="0" applyFont="1" applyFill="1" applyBorder="1" applyAlignment="1">
      <alignment horizontal="center"/>
    </xf>
    <xf numFmtId="0" fontId="15" fillId="33" borderId="11" xfId="0" applyFont="1" applyFill="1" applyBorder="1" applyAlignment="1">
      <alignment horizontal="center"/>
    </xf>
    <xf numFmtId="192" fontId="68" fillId="0" borderId="10" xfId="0" applyNumberFormat="1" applyFont="1" applyFill="1" applyBorder="1" applyAlignment="1">
      <alignment wrapText="1"/>
    </xf>
    <xf numFmtId="0" fontId="3" fillId="0" borderId="0" xfId="0" applyFont="1" applyFill="1" applyAlignment="1">
      <alignment/>
    </xf>
    <xf numFmtId="192" fontId="4" fillId="0" borderId="0" xfId="0" applyNumberFormat="1" applyFont="1" applyFill="1" applyAlignment="1">
      <alignment/>
    </xf>
    <xf numFmtId="0" fontId="4" fillId="0" borderId="13" xfId="0" applyFont="1" applyFill="1" applyBorder="1" applyAlignment="1">
      <alignment/>
    </xf>
    <xf numFmtId="192" fontId="16" fillId="0" borderId="10" xfId="0" applyNumberFormat="1" applyFont="1" applyFill="1" applyBorder="1" applyAlignment="1">
      <alignment/>
    </xf>
    <xf numFmtId="192" fontId="4" fillId="0" borderId="10" xfId="0" applyNumberFormat="1" applyFont="1" applyFill="1" applyBorder="1" applyAlignment="1">
      <alignment/>
    </xf>
    <xf numFmtId="192" fontId="62" fillId="0" borderId="10" xfId="0" applyNumberFormat="1" applyFont="1" applyFill="1" applyBorder="1" applyAlignment="1">
      <alignment/>
    </xf>
    <xf numFmtId="192" fontId="6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65" fillId="0" borderId="10" xfId="0" applyFont="1" applyFill="1" applyBorder="1" applyAlignment="1">
      <alignment horizontal="center"/>
    </xf>
    <xf numFmtId="0" fontId="65" fillId="0" borderId="10" xfId="0" applyFont="1" applyFill="1" applyBorder="1" applyAlignment="1">
      <alignment wrapText="1"/>
    </xf>
    <xf numFmtId="192" fontId="65" fillId="0" borderId="10" xfId="0" applyNumberFormat="1" applyFont="1" applyFill="1" applyBorder="1" applyAlignment="1">
      <alignment/>
    </xf>
    <xf numFmtId="192" fontId="63" fillId="0" borderId="0" xfId="0" applyNumberFormat="1" applyFont="1" applyFill="1" applyAlignment="1">
      <alignment/>
    </xf>
    <xf numFmtId="0" fontId="65" fillId="0" borderId="0" xfId="0" applyFont="1" applyFill="1" applyAlignment="1">
      <alignment/>
    </xf>
    <xf numFmtId="0" fontId="10" fillId="0" borderId="10" xfId="0" applyFont="1" applyFill="1" applyBorder="1" applyAlignment="1">
      <alignment horizontal="center"/>
    </xf>
    <xf numFmtId="192" fontId="4" fillId="0" borderId="0" xfId="0" applyNumberFormat="1" applyFont="1" applyFill="1" applyBorder="1" applyAlignment="1">
      <alignment/>
    </xf>
    <xf numFmtId="192" fontId="3" fillId="0" borderId="15" xfId="0" applyNumberFormat="1" applyFont="1" applyFill="1" applyBorder="1" applyAlignment="1">
      <alignment/>
    </xf>
    <xf numFmtId="0" fontId="15" fillId="0" borderId="0" xfId="0" applyFont="1" applyFill="1" applyAlignment="1">
      <alignment/>
    </xf>
    <xf numFmtId="0" fontId="15" fillId="0" borderId="13" xfId="0" applyFont="1" applyFill="1" applyBorder="1" applyAlignment="1">
      <alignment horizontal="center"/>
    </xf>
    <xf numFmtId="192" fontId="69" fillId="0" borderId="10" xfId="0" applyNumberFormat="1" applyFont="1" applyFill="1" applyBorder="1" applyAlignment="1">
      <alignment/>
    </xf>
    <xf numFmtId="192" fontId="16" fillId="0" borderId="0" xfId="0" applyNumberFormat="1" applyFont="1" applyFill="1" applyBorder="1" applyAlignment="1">
      <alignment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70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justify" wrapText="1"/>
    </xf>
    <xf numFmtId="0" fontId="3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/>
    </xf>
    <xf numFmtId="0" fontId="0" fillId="0" borderId="18" xfId="0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11" fillId="0" borderId="0" xfId="0" applyFont="1" applyFill="1" applyAlignment="1">
      <alignment horizontal="left" vertical="justify" wrapText="1"/>
    </xf>
    <xf numFmtId="0" fontId="20" fillId="0" borderId="0" xfId="0" applyFont="1" applyFill="1" applyAlignment="1">
      <alignment horizontal="center" vertical="center" wrapText="1" shrinkToFit="1"/>
    </xf>
    <xf numFmtId="0" fontId="11" fillId="0" borderId="0" xfId="0" applyFont="1" applyFill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B95"/>
  <sheetViews>
    <sheetView tabSelected="1" view="pageBreakPreview" zoomScale="70" zoomScaleNormal="70" zoomScaleSheetLayoutView="70" zoomScalePageLayoutView="80" workbookViewId="0" topLeftCell="A1">
      <pane xSplit="6" ySplit="9" topLeftCell="AS46" activePane="bottomRight" state="frozen"/>
      <selection pane="topLeft" activeCell="A1" sqref="A1"/>
      <selection pane="topRight" activeCell="G1" sqref="G1"/>
      <selection pane="bottomLeft" activeCell="A10" sqref="A10"/>
      <selection pane="bottomRight" activeCell="AC6" sqref="AC6"/>
    </sheetView>
  </sheetViews>
  <sheetFormatPr defaultColWidth="7.875" defaultRowHeight="12.75"/>
  <cols>
    <col min="1" max="1" width="6.625" style="7" customWidth="1"/>
    <col min="2" max="2" width="65.125" style="5" customWidth="1"/>
    <col min="3" max="3" width="17.75390625" style="136" customWidth="1"/>
    <col min="4" max="4" width="18.125" style="5" hidden="1" customWidth="1"/>
    <col min="5" max="5" width="17.875" style="5" hidden="1" customWidth="1"/>
    <col min="6" max="6" width="13.75390625" style="8" hidden="1" customWidth="1"/>
    <col min="7" max="7" width="16.625" style="5" hidden="1" customWidth="1"/>
    <col min="8" max="8" width="16.125" style="5" hidden="1" customWidth="1"/>
    <col min="9" max="9" width="12.00390625" style="8" hidden="1" customWidth="1"/>
    <col min="10" max="10" width="16.625" style="5" hidden="1" customWidth="1"/>
    <col min="11" max="11" width="16.125" style="5" hidden="1" customWidth="1"/>
    <col min="12" max="12" width="12.00390625" style="8" hidden="1" customWidth="1"/>
    <col min="13" max="13" width="15.375" style="8" customWidth="1"/>
    <col min="14" max="14" width="15.00390625" style="8" customWidth="1"/>
    <col min="15" max="15" width="12.00390625" style="8" customWidth="1"/>
    <col min="16" max="16" width="16.625" style="5" hidden="1" customWidth="1"/>
    <col min="17" max="17" width="16.125" style="5" hidden="1" customWidth="1"/>
    <col min="18" max="18" width="13.25390625" style="8" hidden="1" customWidth="1"/>
    <col min="19" max="19" width="16.625" style="5" hidden="1" customWidth="1"/>
    <col min="20" max="20" width="16.125" style="5" hidden="1" customWidth="1"/>
    <col min="21" max="24" width="13.25390625" style="8" hidden="1" customWidth="1"/>
    <col min="25" max="25" width="15.375" style="8" customWidth="1"/>
    <col min="26" max="26" width="15.00390625" style="8" customWidth="1"/>
    <col min="27" max="27" width="12.00390625" style="8" hidden="1" customWidth="1"/>
    <col min="28" max="28" width="13.25390625" style="8" customWidth="1"/>
    <col min="29" max="29" width="15.25390625" style="8" customWidth="1"/>
    <col min="30" max="31" width="13.25390625" style="8" hidden="1" customWidth="1"/>
    <col min="32" max="32" width="15.25390625" style="8" hidden="1" customWidth="1"/>
    <col min="33" max="35" width="13.25390625" style="8" hidden="1" customWidth="1"/>
    <col min="36" max="36" width="15.375" style="8" hidden="1" customWidth="1"/>
    <col min="37" max="37" width="15.00390625" style="8" hidden="1" customWidth="1"/>
    <col min="38" max="38" width="12.00390625" style="8" hidden="1" customWidth="1"/>
    <col min="39" max="44" width="13.25390625" style="8" hidden="1" customWidth="1"/>
    <col min="45" max="45" width="15.125" style="8" customWidth="1"/>
    <col min="46" max="46" width="15.25390625" style="8" customWidth="1"/>
    <col min="47" max="47" width="13.25390625" style="8" customWidth="1"/>
    <col min="48" max="48" width="21.125" style="5" customWidth="1"/>
    <col min="49" max="49" width="24.75390625" style="5" customWidth="1"/>
    <col min="50" max="50" width="14.875" style="5" customWidth="1"/>
    <col min="51" max="51" width="15.75390625" style="5" customWidth="1"/>
    <col min="52" max="52" width="14.25390625" style="5" customWidth="1"/>
    <col min="53" max="53" width="15.75390625" style="5" customWidth="1"/>
    <col min="54" max="54" width="11.625" style="5" bestFit="1" customWidth="1"/>
    <col min="55" max="16384" width="7.875" style="5" customWidth="1"/>
  </cols>
  <sheetData>
    <row r="1" spans="1:49" ht="18.75">
      <c r="A1" s="7" t="s">
        <v>6</v>
      </c>
      <c r="D1" s="9"/>
      <c r="E1" s="9"/>
      <c r="F1" s="120"/>
      <c r="G1" s="9"/>
      <c r="H1" s="9"/>
      <c r="I1" s="120"/>
      <c r="J1" s="9"/>
      <c r="K1" s="9"/>
      <c r="L1" s="120"/>
      <c r="M1" s="120"/>
      <c r="N1" s="120"/>
      <c r="O1" s="120"/>
      <c r="P1" s="9"/>
      <c r="Q1" s="9"/>
      <c r="R1" s="120"/>
      <c r="S1" s="9"/>
      <c r="T1" s="9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  <c r="AQ1" s="120"/>
      <c r="AR1" s="120"/>
      <c r="AS1" s="120"/>
      <c r="AT1" s="120"/>
      <c r="AU1" s="120"/>
      <c r="AV1" s="9"/>
      <c r="AW1" s="120"/>
    </row>
    <row r="2" spans="1:49" s="30" customFormat="1" ht="42" customHeight="1">
      <c r="A2" s="29"/>
      <c r="B2" s="146" t="s">
        <v>51</v>
      </c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146"/>
      <c r="AP2" s="146"/>
      <c r="AQ2" s="146"/>
      <c r="AR2" s="146"/>
      <c r="AS2" s="146"/>
      <c r="AT2" s="146"/>
      <c r="AU2" s="146"/>
      <c r="AV2" s="146"/>
      <c r="AW2" s="146"/>
    </row>
    <row r="3" spans="1:49" s="30" customFormat="1" ht="42" customHeight="1">
      <c r="A3" s="29"/>
      <c r="B3" s="146" t="s">
        <v>126</v>
      </c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146"/>
      <c r="AK3" s="146"/>
      <c r="AL3" s="146"/>
      <c r="AM3" s="146"/>
      <c r="AN3" s="146"/>
      <c r="AO3" s="146"/>
      <c r="AP3" s="146"/>
      <c r="AQ3" s="146"/>
      <c r="AR3" s="146"/>
      <c r="AS3" s="146"/>
      <c r="AT3" s="146"/>
      <c r="AU3" s="146"/>
      <c r="AV3" s="146"/>
      <c r="AW3" s="146"/>
    </row>
    <row r="4" spans="2:49" ht="13.5" customHeight="1">
      <c r="B4" s="147"/>
      <c r="C4" s="147"/>
      <c r="AW4" s="11" t="s">
        <v>20</v>
      </c>
    </row>
    <row r="5" spans="1:51" ht="36.75" customHeight="1">
      <c r="A5" s="22" t="s">
        <v>8</v>
      </c>
      <c r="B5" s="23"/>
      <c r="C5" s="24" t="s">
        <v>1</v>
      </c>
      <c r="D5" s="143" t="s">
        <v>64</v>
      </c>
      <c r="E5" s="144"/>
      <c r="F5" s="145"/>
      <c r="G5" s="140" t="s">
        <v>66</v>
      </c>
      <c r="H5" s="141"/>
      <c r="I5" s="142"/>
      <c r="J5" s="140" t="s">
        <v>68</v>
      </c>
      <c r="K5" s="141"/>
      <c r="L5" s="142"/>
      <c r="M5" s="140" t="s">
        <v>81</v>
      </c>
      <c r="N5" s="141"/>
      <c r="O5" s="142"/>
      <c r="P5" s="140" t="s">
        <v>69</v>
      </c>
      <c r="Q5" s="141"/>
      <c r="R5" s="142"/>
      <c r="S5" s="140" t="s">
        <v>70</v>
      </c>
      <c r="T5" s="141"/>
      <c r="U5" s="142"/>
      <c r="V5" s="140" t="s">
        <v>71</v>
      </c>
      <c r="W5" s="141"/>
      <c r="X5" s="142"/>
      <c r="Y5" s="140" t="s">
        <v>72</v>
      </c>
      <c r="Z5" s="141"/>
      <c r="AA5" s="142"/>
      <c r="AB5" s="140" t="s">
        <v>73</v>
      </c>
      <c r="AC5" s="141"/>
      <c r="AD5" s="142"/>
      <c r="AE5" s="140" t="s">
        <v>74</v>
      </c>
      <c r="AF5" s="141"/>
      <c r="AG5" s="142"/>
      <c r="AH5" s="140" t="s">
        <v>75</v>
      </c>
      <c r="AI5" s="142"/>
      <c r="AJ5" s="140" t="s">
        <v>77</v>
      </c>
      <c r="AK5" s="141"/>
      <c r="AL5" s="142"/>
      <c r="AM5" s="140" t="s">
        <v>76</v>
      </c>
      <c r="AN5" s="142"/>
      <c r="AO5" s="140" t="s">
        <v>78</v>
      </c>
      <c r="AP5" s="142"/>
      <c r="AQ5" s="140" t="s">
        <v>79</v>
      </c>
      <c r="AR5" s="142"/>
      <c r="AS5" s="143" t="s">
        <v>82</v>
      </c>
      <c r="AT5" s="144"/>
      <c r="AU5" s="145"/>
      <c r="AV5" s="148" t="s">
        <v>127</v>
      </c>
      <c r="AW5" s="148" t="s">
        <v>128</v>
      </c>
      <c r="AY5" s="121">
        <f>AZ7-AV7</f>
        <v>-268839.55999999994</v>
      </c>
    </row>
    <row r="6" spans="1:53" ht="59.25" customHeight="1">
      <c r="A6" s="25" t="s">
        <v>5</v>
      </c>
      <c r="B6" s="122" t="s">
        <v>18</v>
      </c>
      <c r="C6" s="137" t="s">
        <v>80</v>
      </c>
      <c r="D6" s="26" t="s">
        <v>65</v>
      </c>
      <c r="E6" s="26" t="s">
        <v>19</v>
      </c>
      <c r="F6" s="12" t="s">
        <v>0</v>
      </c>
      <c r="G6" s="26" t="s">
        <v>65</v>
      </c>
      <c r="H6" s="26" t="s">
        <v>19</v>
      </c>
      <c r="I6" s="12" t="s">
        <v>0</v>
      </c>
      <c r="J6" s="26" t="s">
        <v>65</v>
      </c>
      <c r="K6" s="26" t="s">
        <v>19</v>
      </c>
      <c r="L6" s="12" t="s">
        <v>0</v>
      </c>
      <c r="M6" s="26" t="s">
        <v>65</v>
      </c>
      <c r="N6" s="26" t="s">
        <v>19</v>
      </c>
      <c r="O6" s="12" t="s">
        <v>0</v>
      </c>
      <c r="P6" s="26" t="s">
        <v>65</v>
      </c>
      <c r="Q6" s="26" t="s">
        <v>19</v>
      </c>
      <c r="R6" s="12" t="s">
        <v>0</v>
      </c>
      <c r="S6" s="26" t="s">
        <v>65</v>
      </c>
      <c r="T6" s="26" t="s">
        <v>19</v>
      </c>
      <c r="U6" s="12" t="s">
        <v>0</v>
      </c>
      <c r="V6" s="26" t="s">
        <v>65</v>
      </c>
      <c r="W6" s="26" t="s">
        <v>19</v>
      </c>
      <c r="X6" s="12" t="s">
        <v>0</v>
      </c>
      <c r="Y6" s="26" t="s">
        <v>65</v>
      </c>
      <c r="Z6" s="26" t="s">
        <v>19</v>
      </c>
      <c r="AA6" s="12" t="s">
        <v>0</v>
      </c>
      <c r="AB6" s="26" t="s">
        <v>65</v>
      </c>
      <c r="AC6" s="26" t="s">
        <v>19</v>
      </c>
      <c r="AD6" s="12" t="s">
        <v>0</v>
      </c>
      <c r="AE6" s="26" t="s">
        <v>65</v>
      </c>
      <c r="AF6" s="26" t="s">
        <v>19</v>
      </c>
      <c r="AG6" s="12" t="s">
        <v>0</v>
      </c>
      <c r="AH6" s="26" t="s">
        <v>65</v>
      </c>
      <c r="AI6" s="26" t="s">
        <v>19</v>
      </c>
      <c r="AJ6" s="26" t="s">
        <v>65</v>
      </c>
      <c r="AK6" s="26" t="s">
        <v>19</v>
      </c>
      <c r="AL6" s="12" t="s">
        <v>0</v>
      </c>
      <c r="AM6" s="26" t="s">
        <v>65</v>
      </c>
      <c r="AN6" s="26" t="s">
        <v>19</v>
      </c>
      <c r="AO6" s="26" t="s">
        <v>65</v>
      </c>
      <c r="AP6" s="26" t="s">
        <v>19</v>
      </c>
      <c r="AQ6" s="26" t="s">
        <v>65</v>
      </c>
      <c r="AR6" s="26" t="s">
        <v>19</v>
      </c>
      <c r="AS6" s="26" t="s">
        <v>65</v>
      </c>
      <c r="AT6" s="26" t="s">
        <v>19</v>
      </c>
      <c r="AU6" s="12" t="s">
        <v>0</v>
      </c>
      <c r="AV6" s="149"/>
      <c r="AW6" s="149"/>
      <c r="AX6" s="121">
        <f>SUM(AX8:AX45)</f>
        <v>4829730.07</v>
      </c>
      <c r="AY6" s="121">
        <f>SUM(AY8:AY45)</f>
        <v>5110380.21</v>
      </c>
      <c r="BA6" s="121"/>
    </row>
    <row r="7" spans="1:53" s="8" customFormat="1" ht="43.5" customHeight="1">
      <c r="A7" s="12"/>
      <c r="B7" s="13" t="s">
        <v>21</v>
      </c>
      <c r="C7" s="123">
        <f>населення!C7+льготи!C7+субсидии!C7+'держ.бюджет'!C7+'місц.-район.бюджет'!C7+обласной!C7+'госпрозрахунк.'!C7</f>
        <v>279513.50000000006</v>
      </c>
      <c r="D7" s="123">
        <f>населення!D7+льготи!D7+субсидии!D7+'держ.бюджет'!D7+'місц.-район.бюджет'!D7+обласной!D7+'госпрозрахунк.'!D7</f>
        <v>246070.20000000004</v>
      </c>
      <c r="E7" s="123">
        <f>населення!E7+льготи!E7+субсидии!E7+'держ.бюджет'!E7+'місц.-район.бюджет'!E7+обласной!E7+'госпрозрахунк.'!E7</f>
        <v>94899.9</v>
      </c>
      <c r="F7" s="14">
        <f>E7/D7*100</f>
        <v>38.56618964831986</v>
      </c>
      <c r="G7" s="123">
        <f>населення!G7+льготи!G7+субсидии!G7+'держ.бюджет'!G7+'місц.-район.бюджет'!G7+обласной!G7+'госпрозрахунк.'!G7</f>
        <v>233054.9</v>
      </c>
      <c r="H7" s="123">
        <f>населення!H7+льготи!H7+субсидии!H7+'держ.бюджет'!H7+'місц.-район.бюджет'!H7+обласной!H7+'госпрозрахунк.'!H7</f>
        <v>173420.10000000003</v>
      </c>
      <c r="I7" s="123">
        <f>населення!I7+льготи!I7+субсидии!I7+'держ.бюджет'!I7+'місц.-район.бюджет'!I7+обласной!I7+'госпрозрахунк.'!I7</f>
        <v>512.0010152529549</v>
      </c>
      <c r="J7" s="123">
        <f>населення!J7+льготи!J7+субсидии!J7+'держ.бюджет'!J7+'місц.-район.бюджет'!J7+обласной!J7+'госпрозрахунк.'!J7</f>
        <v>234664.30000000002</v>
      </c>
      <c r="K7" s="123">
        <f>населення!K7+льготи!K7+субсидии!K7+'держ.бюджет'!K7+'місц.-район.бюджет'!K7+обласной!K7+'госпрозрахунк.'!K7</f>
        <v>159294</v>
      </c>
      <c r="L7" s="14">
        <f aca="true" t="shared" si="0" ref="L7:L48">K7/J7*100</f>
        <v>67.88165051096395</v>
      </c>
      <c r="M7" s="123">
        <f>населення!M7+льготи!M7+субсидии!M7+'держ.бюджет'!M7+'місц.-район.бюджет'!M7+обласной!M7+'госпрозрахунк.'!M7</f>
        <v>713789.3999999999</v>
      </c>
      <c r="N7" s="123">
        <f>населення!N7+льготи!N7+субсидии!N7+'держ.бюджет'!N7+'місц.-район.бюджет'!N7+обласной!N7+'госпрозрахунк.'!N7</f>
        <v>427613.99999999994</v>
      </c>
      <c r="O7" s="123">
        <f>N7/M7*100</f>
        <v>59.907586187186304</v>
      </c>
      <c r="P7" s="123">
        <f>населення!P7+льготи!P7+субсидии!P7+'держ.бюджет'!P7+'місц.-район.бюджет'!P7+обласной!P7+'госпрозрахунк.'!P7</f>
        <v>34304.92</v>
      </c>
      <c r="Q7" s="123">
        <f>населення!Q7+льготи!Q7+субсидии!Q7+'держ.бюджет'!Q7+'місц.-район.бюджет'!Q7+обласной!Q7+'госпрозрахунк.'!Q7</f>
        <v>224477.99999999997</v>
      </c>
      <c r="R7" s="123">
        <f>Q7/P7*100</f>
        <v>654.3609488085091</v>
      </c>
      <c r="S7" s="123">
        <f>населення!S7+льготи!S7+субсидии!S7+'держ.бюджет'!S7+'місц.-район.бюджет'!S7+обласной!S7+'госпрозрахунк.'!S7</f>
        <v>-2332.2500000000014</v>
      </c>
      <c r="T7" s="123">
        <f>населення!T7+льготи!T7+субсидии!T7+'держ.бюджет'!T7+'місц.-район.бюджет'!T7+обласной!T7+'госпрозрахунк.'!T7</f>
        <v>51819.10999999999</v>
      </c>
      <c r="U7" s="123">
        <f>T7/S7*100</f>
        <v>-2221.850573480543</v>
      </c>
      <c r="V7" s="123">
        <f>населення!V7+льготи!V7+субсидии!V7+'держ.бюджет'!V7+'місц.-район.бюджет'!V7+обласной!V7+'госпрозрахунк.'!V7</f>
        <v>3333.6</v>
      </c>
      <c r="W7" s="123">
        <f>населення!W7+льготи!W7+субсидии!W7+'держ.бюджет'!W7+'місц.-район.бюджет'!W7+обласной!W7+'госпрозрахунк.'!W7</f>
        <v>35694.8</v>
      </c>
      <c r="X7" s="123">
        <f>W7/V7*100</f>
        <v>1070.7583393328537</v>
      </c>
      <c r="Y7" s="123">
        <f>населення!Y7+льготи!Y7+субсидии!Y7+'держ.бюджет'!Y7+'місц.-район.бюджет'!Y7+обласной!Y7+'госпрозрахунк.'!Y7</f>
        <v>35306.27</v>
      </c>
      <c r="Z7" s="123">
        <f>населення!Z7+льготи!Z7+субсидии!Z7+'держ.бюджет'!Z7+'місц.-район.бюджет'!Z7+обласной!Z7+'госпрозрахунк.'!Z7</f>
        <v>311991.91000000003</v>
      </c>
      <c r="AA7" s="123">
        <f aca="true" t="shared" si="1" ref="AA7:AA19">Z7/Y7*100</f>
        <v>883.6728150552296</v>
      </c>
      <c r="AB7" s="123">
        <f>населення!AB7+льготи!AB7+субсидии!AB7+'держ.бюджет'!AB7+'місц.-район.бюджет'!AB7+обласной!AB7+'госпрозрахунк.'!AB7</f>
        <v>3482.7000000000003</v>
      </c>
      <c r="AC7" s="123">
        <f>населення!AC7+льготи!AC7+субсидии!AC7+'держ.бюджет'!AC7+'місц.-район.бюджет'!AC7+обласной!AC7+'госпрозрахунк.'!AC7</f>
        <v>23646.399999999998</v>
      </c>
      <c r="AD7" s="123">
        <f>AC7/AB7*100</f>
        <v>678.9674677692593</v>
      </c>
      <c r="AE7" s="123">
        <f>населення!AE7+льготи!AE7+субсидии!AE7+'держ.бюджет'!AE7+'місц.-район.бюджет'!AE7+обласной!AE7+'госпрозрахунк.'!AE7</f>
        <v>0</v>
      </c>
      <c r="AF7" s="123">
        <f>населення!AF7+льготи!AF7+субсидии!AF7+'держ.бюджет'!AF7+'місц.-район.бюджет'!AF7+обласной!AF7+'госпрозрахунк.'!AF7</f>
        <v>0</v>
      </c>
      <c r="AG7" s="123" t="e">
        <f>AF7/AE7*100</f>
        <v>#DIV/0!</v>
      </c>
      <c r="AH7" s="123">
        <f>населення!AH7+льготи!AH7+субсидии!AH7+'держ.бюджет'!AH7+'місц.-район.бюджет'!AH7+обласной!AH7+'госпрозрахунк.'!AH7</f>
        <v>0</v>
      </c>
      <c r="AI7" s="123">
        <f>населення!AI7+льготи!AI7+субсидии!AI7+'держ.бюджет'!AI7+'місц.-район.бюджет'!AI7+обласной!AI7+'госпрозрахунк.'!AI7</f>
        <v>0</v>
      </c>
      <c r="AJ7" s="123">
        <f>населення!AJ7+льготи!AJ7+субсидии!AJ7+'держ.бюджет'!AJ7+'місц.-район.бюджет'!AJ7+обласной!AJ7+'госпрозрахунк.'!AJ7</f>
        <v>3482.7000000000003</v>
      </c>
      <c r="AK7" s="123">
        <f>населення!AK7+льготи!AK7+субсидии!AK7+'держ.бюджет'!AK7+'місц.-район.бюджет'!AK7+обласной!AK7+'госпрозрахунк.'!AK7</f>
        <v>23646.399999999998</v>
      </c>
      <c r="AL7" s="123">
        <f>AK7/AJ7*100</f>
        <v>678.9674677692593</v>
      </c>
      <c r="AM7" s="123">
        <f>населення!AM7+льготи!AM7+субсидии!AM7+'держ.бюджет'!AM7+'місц.-район.бюджет'!AM7+обласной!AM7+'госпрозрахунк.'!AM7</f>
        <v>0</v>
      </c>
      <c r="AN7" s="123">
        <f>населення!AN7+льготи!AN7+субсидии!AN7+'держ.бюджет'!AN7+'місц.-район.бюджет'!AN7+обласной!AN7+'госпрозрахунк.'!AN7</f>
        <v>0</v>
      </c>
      <c r="AO7" s="123">
        <f>населення!AO7+льготи!AO7+субсидии!AO7+'держ.бюджет'!AO7+'місц.-район.бюджет'!AO7+обласной!AO7+'госпрозрахунк.'!AO7</f>
        <v>0</v>
      </c>
      <c r="AP7" s="123">
        <f>населення!AP7+льготи!AP7+субсидии!AP7+'держ.бюджет'!AP7+'місц.-район.бюджет'!AP7+обласной!AP7+'госпрозрахунк.'!AP7</f>
        <v>0</v>
      </c>
      <c r="AQ7" s="123">
        <f>населення!AR7+льготи!AQ7+субсидии!AQ7+'держ.бюджет'!AQ7+'місц.-район.бюджет'!AQ7+обласной!AQ7+'госпрозрахунк.'!AQ7</f>
        <v>0</v>
      </c>
      <c r="AR7" s="123">
        <f>населення!AS7+льготи!AR7+субсидии!AR7+'держ.бюджет'!AR7+'місц.-район.бюджет'!AR7+обласной!AR7+'госпрозрахунк.'!AR7</f>
        <v>0</v>
      </c>
      <c r="AS7" s="123">
        <f>населення!AT7+льготи!AS7+субсидии!AS7+'держ.бюджет'!AS7+'місц.-район.бюджет'!AS7+обласной!AS7+'госпрозрахунк.'!AS7</f>
        <v>752578.3699999999</v>
      </c>
      <c r="AT7" s="123">
        <f>населення!AU7+льготи!AT7+субсидии!AT7+'держ.бюджет'!AT7+'місц.-район.бюджет'!AT7+обласной!AT7+'госпрозрахунк.'!AT7</f>
        <v>763252.3099999999</v>
      </c>
      <c r="AU7" s="123">
        <f>AT7/AS7*100</f>
        <v>101.41831607517501</v>
      </c>
      <c r="AV7" s="123">
        <f>населення!AW7+льготи!AV7+субсидии!AV7+'держ.бюджет'!AV7+'місц.-район.бюджет'!AV7+обласной!AV7+'госпрозрахунк.'!AV7</f>
        <v>-10673.940000000013</v>
      </c>
      <c r="AW7" s="123">
        <f>населення!AX7+льготи!AW7+субсидии!AW7+'держ.бюджет'!AW7+'місц.-район.бюджет'!AW7+обласной!AW7+'госпрозрахунк.'!AW7</f>
        <v>268839.56</v>
      </c>
      <c r="AX7" s="123">
        <f>населення!AY7+льготи!AX7+субсидии!AX7+'держ.бюджет'!AX7+'місц.-район.бюджет'!AX7+обласной!AX7+'госпрозрахунк.'!AX7</f>
        <v>-10673.940000000017</v>
      </c>
      <c r="AY7" s="123">
        <f>населення!AZ7+льготи!AY7+субсидии!AY7+'держ.бюджет'!AY7+'місц.-район.бюджет'!AY7+обласной!AY7+'госпрозрахунк.'!AY7</f>
        <v>268839.55999999994</v>
      </c>
      <c r="AZ7" s="20">
        <f>AX7-AY7</f>
        <v>-279513.49999999994</v>
      </c>
      <c r="BA7" s="20">
        <f aca="true" t="shared" si="2" ref="BA7:BA48">C7+AX7-AY7</f>
        <v>0</v>
      </c>
    </row>
    <row r="8" spans="1:54" ht="39.75" customHeight="1">
      <c r="A8" s="6">
        <v>1</v>
      </c>
      <c r="B8" s="1" t="s">
        <v>22</v>
      </c>
      <c r="C8" s="123">
        <f>населення!C8+льготи!C8+субсидии!C8+'держ.бюджет'!C8+'місц.-район.бюджет'!C8+обласной!C8+'госпрозрахунк.'!C8</f>
        <v>22810.1</v>
      </c>
      <c r="D8" s="124">
        <f>населення!D8+льготи!D8+субсидии!D8+'держ.бюджет'!D8+'місц.-район.бюджет'!D8+обласной!D8+'госпрозрахунк.'!D8</f>
        <v>23171.3</v>
      </c>
      <c r="E8" s="124">
        <f>населення!E8+льготи!E8+субсидии!E8+'держ.бюджет'!E8+'місц.-район.бюджет'!E8+обласной!E8+'госпрозрахунк.'!E8</f>
        <v>8765.7</v>
      </c>
      <c r="F8" s="14">
        <f aca="true" t="shared" si="3" ref="F8:F47">E8/D8*100</f>
        <v>37.829987959242686</v>
      </c>
      <c r="G8" s="124">
        <f>населення!G8+льготи!G8+субсидии!G8+'держ.бюджет'!G8+'місц.-район.бюджет'!G8+обласной!G8+'госпрозрахунк.'!G8</f>
        <v>23339</v>
      </c>
      <c r="H8" s="124">
        <f>населення!H8+льготи!H8+субсидии!H8+'держ.бюджет'!H8+'місц.-район.бюджет'!H8+обласной!H8+'госпрозрахунк.'!H8</f>
        <v>15170.899999999998</v>
      </c>
      <c r="I8" s="14">
        <f aca="true" t="shared" si="4" ref="I8:I22">H8/G8*100</f>
        <v>65.00235657054715</v>
      </c>
      <c r="J8" s="124">
        <f>населення!J8+льготи!J8+субсидии!J8+'держ.бюджет'!J8+'місц.-район.бюджет'!J8+обласной!J8+'госпрозрахунк.'!J8</f>
        <v>22698.6</v>
      </c>
      <c r="K8" s="124">
        <f>населення!K8+льготи!K8+субсидии!K8+'держ.бюджет'!K8+'місц.-район.бюджет'!K8+обласной!K8+'госпрозрахунк.'!K8</f>
        <v>16146.4</v>
      </c>
      <c r="L8" s="14">
        <f t="shared" si="0"/>
        <v>71.13390253143366</v>
      </c>
      <c r="M8" s="123">
        <f>населення!M8+льготи!M8+субсидии!M8+'держ.бюджет'!M8+'місц.-район.бюджет'!M8+обласной!M8+'госпрозрахунк.'!M8</f>
        <v>69208.90000000001</v>
      </c>
      <c r="N8" s="123">
        <f>населення!N8+льготи!N8+субсидии!N8+'держ.бюджет'!N8+'місц.-район.бюджет'!N8+обласной!N8+'госпрозрахунк.'!N8</f>
        <v>40083</v>
      </c>
      <c r="O8" s="123">
        <f aca="true" t="shared" si="5" ref="O8:O48">N8/M8*100</f>
        <v>57.915961675449246</v>
      </c>
      <c r="P8" s="123">
        <f>населення!P8+льготи!P8+субсидии!P8+'держ.бюджет'!P8+'місц.-район.бюджет'!P8+обласной!P8+'госпрозрахунк.'!P8</f>
        <v>1642.3999999999999</v>
      </c>
      <c r="Q8" s="123">
        <f>населення!Q8+льготи!Q8+субсидии!Q8+'держ.бюджет'!Q8+'місц.-район.бюджет'!Q8+обласной!Q8+'госпрозрахунк.'!Q8</f>
        <v>23204.3</v>
      </c>
      <c r="R8" s="123">
        <f aca="true" t="shared" si="6" ref="R8:R48">Q8/P8*100</f>
        <v>1412.8287871407697</v>
      </c>
      <c r="S8" s="123">
        <f>населення!S8+льготи!S8+субсидии!S8+'держ.бюджет'!S8+'місц.-район.бюджет'!S8+обласной!S8+'госпрозрахунк.'!S8</f>
        <v>0</v>
      </c>
      <c r="T8" s="123">
        <f>населення!T8+льготи!T8+субсидии!T8+'держ.бюджет'!T8+'місц.-район.бюджет'!T8+обласной!T8+'госпрозрахунк.'!T8</f>
        <v>3781.2000000000003</v>
      </c>
      <c r="U8" s="123"/>
      <c r="V8" s="123">
        <f>населення!V8+льготи!V8+субсидии!V8+'держ.бюджет'!V8+'місц.-район.бюджет'!V8+обласной!V8+'госпрозрахунк.'!V8</f>
        <v>0</v>
      </c>
      <c r="W8" s="123">
        <f>населення!W8+льготи!W8+субсидии!W8+'держ.бюджет'!W8+'місц.-район.бюджет'!W8+обласной!W8+'госпрозрахунк.'!W8</f>
        <v>2690.1</v>
      </c>
      <c r="X8" s="123"/>
      <c r="Y8" s="123">
        <f>населення!Y8+льготи!Y8+субсидии!Y8+'держ.бюджет'!Y8+'місц.-район.бюджет'!Y8+обласной!Y8+'госпрозрахунк.'!Y8</f>
        <v>1642.3999999999999</v>
      </c>
      <c r="Z8" s="123">
        <f>населення!Z8+льготи!Z8+субсидии!Z8+'держ.бюджет'!Z8+'місц.-район.бюджет'!Z8+обласной!Z8+'госпрозрахунк.'!Z8</f>
        <v>29675.599999999995</v>
      </c>
      <c r="AA8" s="123">
        <f t="shared" si="1"/>
        <v>1806.8436434486116</v>
      </c>
      <c r="AB8" s="123">
        <f>населення!AB8+льготи!AB8+субсидии!AB8+'держ.бюджет'!AB8+'місц.-район.бюджет'!AB8+обласной!AB8+'госпрозрахунк.'!AB8</f>
        <v>-4.440892098500626E-16</v>
      </c>
      <c r="AC8" s="123">
        <f>населення!AC8+льготи!AC8+субсидии!AC8+'держ.бюджет'!AC8+'місц.-район.бюджет'!AC8+обласной!AC8+'госпрозрахунк.'!AC8</f>
        <v>1281.2</v>
      </c>
      <c r="AD8" s="125">
        <f aca="true" t="shared" si="7" ref="AD8:AD44">AC8/AB8*100</f>
        <v>-2.8850059212935397E+20</v>
      </c>
      <c r="AE8" s="123">
        <f>населення!AE8+льготи!AE8+субсидии!AE8+'держ.бюджет'!AE8+'місц.-район.бюджет'!AE8+обласной!AE8+'госпрозрахунк.'!AE8</f>
        <v>0</v>
      </c>
      <c r="AF8" s="123">
        <f>населення!AF8+льготи!AF8+субсидии!AF8+'держ.бюджет'!AF8+'місц.-район.бюджет'!AF8+обласной!AF8+'госпрозрахунк.'!AF8</f>
        <v>0</v>
      </c>
      <c r="AG8" s="125" t="e">
        <f>AF8/AE8*100</f>
        <v>#DIV/0!</v>
      </c>
      <c r="AH8" s="123">
        <f>населення!AH8+льготи!AH8+субсидии!AH8+'держ.бюджет'!AH8+'місц.-район.бюджет'!AH8+обласной!AH8+'госпрозрахунк.'!AH8</f>
        <v>0</v>
      </c>
      <c r="AI8" s="123">
        <f>населення!AI8+льготи!AI8+субсидии!AI8+'держ.бюджет'!AI8+'місц.-район.бюджет'!AI8+обласной!AI8+'госпрозрахунк.'!AI8</f>
        <v>0</v>
      </c>
      <c r="AJ8" s="123">
        <f>населення!AJ8+льготи!AJ8+субсидии!AJ8+'держ.бюджет'!AJ8+'місц.-район.бюджет'!AJ8+обласной!AJ8+'госпрозрахунк.'!AJ8</f>
        <v>-4.440892098500626E-16</v>
      </c>
      <c r="AK8" s="123">
        <f>населення!AK8+льготи!AK8+субсидии!AK8+'держ.бюджет'!AK8+'місц.-район.бюджет'!AK8+обласной!AK8+'госпрозрахунк.'!AK8</f>
        <v>1281.2</v>
      </c>
      <c r="AL8" s="125">
        <f aca="true" t="shared" si="8" ref="AL8:AL48">AK8/AJ8*100</f>
        <v>-2.8850059212935397E+20</v>
      </c>
      <c r="AM8" s="123">
        <f>населення!AM8+льготи!AM8+субсидии!AM8+'держ.бюджет'!AM8+'місц.-район.бюджет'!AM8+обласной!AM8+'госпрозрахунк.'!AM8</f>
        <v>0</v>
      </c>
      <c r="AN8" s="123">
        <f>населення!AN8+льготи!AN8+субсидии!AN8+'держ.бюджет'!AN8+'місц.-район.бюджет'!AN8+обласной!AN8+'госпрозрахунк.'!AN8</f>
        <v>0</v>
      </c>
      <c r="AO8" s="123">
        <f>населення!AO8+льготи!AO8+субсидии!AO8+'держ.бюджет'!AO8+'місц.-район.бюджет'!AO8+обласной!AO8+'госпрозрахунк.'!AO8</f>
        <v>0</v>
      </c>
      <c r="AP8" s="123">
        <f>населення!AP8+льготи!AP8+субсидии!AP8+'держ.бюджет'!AP8+'місц.-район.бюджет'!AP8+обласной!AP8+'госпрозрахунк.'!AP8</f>
        <v>0</v>
      </c>
      <c r="AQ8" s="123">
        <f>населення!AR8+льготи!AQ8+субсидии!AQ8+'держ.бюджет'!AQ8+'місц.-район.бюджет'!AQ8+обласной!AQ8+'госпрозрахунк.'!AQ8</f>
        <v>0</v>
      </c>
      <c r="AR8" s="123">
        <f>населення!AS8+льготи!AR8+субсидии!AR8+'держ.бюджет'!AR8+'місц.-район.бюджет'!AR8+обласной!AR8+'госпрозрахунк.'!AR8</f>
        <v>0</v>
      </c>
      <c r="AS8" s="123">
        <f>населення!AT8+льготи!AS8+субсидии!AS8+'держ.бюджет'!AS8+'місц.-район.бюджет'!AS8+обласной!AS8+'госпрозрахунк.'!AS8</f>
        <v>70851.30000000002</v>
      </c>
      <c r="AT8" s="123">
        <f>населення!AU8+льготи!AT8+субсидии!AT8+'держ.бюджет'!AT8+'місц.-район.бюджет'!AT8+обласной!AT8+'госпрозрахунк.'!AT8</f>
        <v>71039.8</v>
      </c>
      <c r="AU8" s="123">
        <f aca="true" t="shared" si="9" ref="AU8:AU48">AT8/AS8*100</f>
        <v>100.26605016421715</v>
      </c>
      <c r="AV8" s="123">
        <f>населення!AW8+льготи!AV8+субсидии!AV8+'держ.бюджет'!AV8+'місц.-район.бюджет'!AV8+обласной!AV8+'госпрозрахунк.'!AV8</f>
        <v>-188.49999999999773</v>
      </c>
      <c r="AW8" s="123">
        <f>населення!AX8+льготи!AW8+субсидии!AW8+'держ.бюджет'!AW8+'місц.-район.бюджет'!AW8+обласной!AW8+'госпрозрахунк.'!AW8</f>
        <v>22621.600000000002</v>
      </c>
      <c r="AX8" s="20">
        <f>M8+Y8+AB8</f>
        <v>70851.3</v>
      </c>
      <c r="AY8" s="20">
        <f>N8+Z8+AC8</f>
        <v>71039.79999999999</v>
      </c>
      <c r="AZ8" s="20">
        <f aca="true" t="shared" si="10" ref="AZ8:AZ47">AX8-AY8</f>
        <v>-188.49999999998545</v>
      </c>
      <c r="BA8" s="20">
        <f>C8+AX8-AY8</f>
        <v>22621.600000000006</v>
      </c>
      <c r="BB8" s="121"/>
    </row>
    <row r="9" spans="1:53" ht="33" customHeight="1">
      <c r="A9" s="6">
        <v>2</v>
      </c>
      <c r="B9" s="32" t="s">
        <v>93</v>
      </c>
      <c r="C9" s="123">
        <f>населення!C9+льготи!C9+субсидии!C9+'держ.бюджет'!C9+'місц.-район.бюджет'!C9+обласной!C9+'госпрозрахунк.'!C9</f>
        <v>-1178.3999999999999</v>
      </c>
      <c r="D9" s="124">
        <f>населення!D9+льготи!D9+субсидии!D9+'держ.бюджет'!D9+'місц.-район.бюджет'!D9+обласной!D9+'госпрозрахунк.'!D9</f>
        <v>3679.6</v>
      </c>
      <c r="E9" s="124">
        <f>населення!E9+льготи!E9+субсидии!E9+'держ.бюджет'!E9+'місц.-район.бюджет'!E9+обласной!E9+'госпрозрахунк.'!E9</f>
        <v>483.59999999999997</v>
      </c>
      <c r="F9" s="14">
        <f t="shared" si="3"/>
        <v>13.142732905750623</v>
      </c>
      <c r="G9" s="124">
        <f>населення!G9+льготи!G9+субсидии!G9+'держ.бюджет'!G9+'місц.-район.бюджет'!G9+обласной!G9+'госпрозрахунк.'!G9</f>
        <v>3250.3</v>
      </c>
      <c r="H9" s="124">
        <f>населення!H9+льготи!H9+субсидии!H9+'держ.бюджет'!H9+'місц.-район.бюджет'!H9+обласной!H9+'госпрозрахунк.'!H9</f>
        <v>2343.9</v>
      </c>
      <c r="I9" s="14">
        <f t="shared" si="4"/>
        <v>72.11334338368765</v>
      </c>
      <c r="J9" s="124">
        <f>населення!J9+льготи!J9+субсидии!J9+'держ.бюджет'!J9+'місц.-район.бюджет'!J9+обласной!J9+'госпрозрахунк.'!J9</f>
        <v>2971.8999999999996</v>
      </c>
      <c r="K9" s="124">
        <f>населення!K9+льготи!K9+субсидии!K9+'держ.бюджет'!K9+'місц.-район.бюджет'!K9+обласной!K9+'госпрозрахунк.'!K9</f>
        <v>3570.8</v>
      </c>
      <c r="L9" s="14">
        <f t="shared" si="0"/>
        <v>120.15209125475288</v>
      </c>
      <c r="M9" s="123">
        <f>населення!M9+льготи!M9+субсидии!M9+'держ.бюджет'!M9+'місц.-район.бюджет'!M9+обласной!M9+'госпрозрахунк.'!M9</f>
        <v>9901.800000000003</v>
      </c>
      <c r="N9" s="123">
        <f>населення!N9+льготи!N9+субсидии!N9+'держ.бюджет'!N9+'місц.-район.бюджет'!N9+обласной!N9+'госпрозрахунк.'!N9</f>
        <v>6398.299999999999</v>
      </c>
      <c r="O9" s="123">
        <f t="shared" si="5"/>
        <v>64.61754428487747</v>
      </c>
      <c r="P9" s="123">
        <f>населення!P9+льготи!P9+субсидии!P9+'держ.бюджет'!P9+'місц.-район.бюджет'!P9+обласной!P9+'госпрозрахунк.'!P9</f>
        <v>137.3</v>
      </c>
      <c r="Q9" s="123">
        <f>населення!Q9+льготи!Q9+субсидии!Q9+'держ.бюджет'!Q9+'місц.-район.бюджет'!Q9+обласной!Q9+'госпрозрахунк.'!Q9</f>
        <v>1261.1</v>
      </c>
      <c r="R9" s="123">
        <f t="shared" si="6"/>
        <v>918.49963583394</v>
      </c>
      <c r="S9" s="123">
        <f>населення!S9+льготи!S9+субсидии!S9+'держ.бюджет'!S9+'місц.-район.бюджет'!S9+обласной!S9+'госпрозрахунк.'!S9</f>
        <v>0</v>
      </c>
      <c r="T9" s="123">
        <f>населення!T9+льготи!T9+субсидии!T9+'держ.бюджет'!T9+'місц.-район.бюджет'!T9+обласной!T9+'госпрозрахунк.'!T9</f>
        <v>392</v>
      </c>
      <c r="U9" s="123"/>
      <c r="V9" s="123">
        <f>населення!V9+льготи!V9+субсидии!V9+'держ.бюджет'!V9+'місц.-район.бюджет'!V9+обласной!V9+'госпрозрахунк.'!V9</f>
        <v>0</v>
      </c>
      <c r="W9" s="123">
        <f>населення!W9+льготи!W9+субсидии!W9+'держ.бюджет'!W9+'місц.-район.бюджет'!W9+обласной!W9+'госпрозрахунк.'!W9</f>
        <v>389.00000000000006</v>
      </c>
      <c r="X9" s="123"/>
      <c r="Y9" s="123">
        <f>населення!Y9+льготи!Y9+субсидии!Y9+'держ.бюджет'!Y9+'місц.-район.бюджет'!Y9+обласной!Y9+'госпрозрахунк.'!Y9</f>
        <v>137.3</v>
      </c>
      <c r="Z9" s="123">
        <f>населення!Z9+льготи!Z9+субсидии!Z9+'держ.бюджет'!Z9+'місц.-район.бюджет'!Z9+обласной!Z9+'госпрозрахунк.'!Z9</f>
        <v>2042.1</v>
      </c>
      <c r="AA9" s="123">
        <f t="shared" si="1"/>
        <v>1487.3270211216313</v>
      </c>
      <c r="AB9" s="123">
        <f>населення!AB9+льготи!AB9+субсидии!AB9+'держ.бюджет'!AB9+'місц.-район.бюджет'!AB9+обласной!AB9+'госпрозрахунк.'!AB9</f>
        <v>0</v>
      </c>
      <c r="AC9" s="123">
        <f>населення!AC9+льготи!AC9+субсидии!AC9+'держ.бюджет'!AC9+'місц.-район.бюджет'!AC9+обласной!AC9+'госпрозрахунк.'!AC9</f>
        <v>126.1</v>
      </c>
      <c r="AD9" s="125" t="e">
        <f t="shared" si="7"/>
        <v>#DIV/0!</v>
      </c>
      <c r="AE9" s="123">
        <f>населення!AE9+льготи!AE9+субсидии!AE9+'держ.бюджет'!AE9+'місц.-район.бюджет'!AE9+обласной!AE9+'госпрозрахунк.'!AE9</f>
        <v>0</v>
      </c>
      <c r="AF9" s="123">
        <f>населення!AF9+льготи!AF9+субсидии!AF9+'держ.бюджет'!AF9+'місц.-район.бюджет'!AF9+обласной!AF9+'госпрозрахунк.'!AF9</f>
        <v>0</v>
      </c>
      <c r="AG9" s="125" t="e">
        <f>AF9/AE9*100</f>
        <v>#DIV/0!</v>
      </c>
      <c r="AH9" s="123">
        <f>населення!AH9+льготи!AH9+субсидии!AH9+'держ.бюджет'!AH9+'місц.-район.бюджет'!AH9+обласной!AH9+'госпрозрахунк.'!AH9</f>
        <v>0</v>
      </c>
      <c r="AI9" s="123">
        <f>населення!AI9+льготи!AI9+субсидии!AI9+'держ.бюджет'!AI9+'місц.-район.бюджет'!AI9+обласной!AI9+'госпрозрахунк.'!AI9</f>
        <v>0</v>
      </c>
      <c r="AJ9" s="123">
        <f>населення!AJ9+льготи!AJ9+субсидии!AJ9+'держ.бюджет'!AJ9+'місц.-район.бюджет'!AJ9+обласной!AJ9+'госпрозрахунк.'!AJ9</f>
        <v>0</v>
      </c>
      <c r="AK9" s="123">
        <f>населення!AK9+льготи!AK9+субсидии!AK9+'держ.бюджет'!AK9+'місц.-район.бюджет'!AK9+обласной!AK9+'госпрозрахунк.'!AK9</f>
        <v>126.1</v>
      </c>
      <c r="AL9" s="125" t="e">
        <f t="shared" si="8"/>
        <v>#DIV/0!</v>
      </c>
      <c r="AM9" s="123">
        <f>населення!AM9+льготи!AM9+субсидии!AM9+'держ.бюджет'!AM9+'місц.-район.бюджет'!AM9+обласной!AM9+'госпрозрахунк.'!AM9</f>
        <v>0</v>
      </c>
      <c r="AN9" s="123">
        <f>населення!AN9+льготи!AN9+субсидии!AN9+'держ.бюджет'!AN9+'місц.-район.бюджет'!AN9+обласной!AN9+'госпрозрахунк.'!AN9</f>
        <v>0</v>
      </c>
      <c r="AO9" s="123">
        <f>населення!AO9+льготи!AO9+субсидии!AO9+'держ.бюджет'!AO9+'місц.-район.бюджет'!AO9+обласной!AO9+'госпрозрахунк.'!AO9</f>
        <v>0</v>
      </c>
      <c r="AP9" s="123">
        <f>населення!AP9+льготи!AP9+субсидии!AP9+'держ.бюджет'!AP9+'місц.-район.бюджет'!AP9+обласной!AP9+'госпрозрахунк.'!AP9</f>
        <v>0</v>
      </c>
      <c r="AQ9" s="123">
        <f>населення!AR9+льготи!AQ9+субсидии!AQ9+'держ.бюджет'!AQ9+'місц.-район.бюджет'!AQ9+обласной!AQ9+'госпрозрахунк.'!AQ9</f>
        <v>0</v>
      </c>
      <c r="AR9" s="123">
        <f>населення!AS9+льготи!AR9+субсидии!AR9+'держ.бюджет'!AR9+'місц.-район.бюджет'!AR9+обласной!AR9+'госпрозрахунк.'!AR9</f>
        <v>0</v>
      </c>
      <c r="AS9" s="123">
        <f>населення!AT9+льготи!AS9+субсидии!AS9+'держ.бюджет'!AS9+'місц.-район.бюджет'!AS9+обласной!AS9+'госпрозрахунк.'!AS9</f>
        <v>10039.1</v>
      </c>
      <c r="AT9" s="123">
        <f>населення!AU9+льготи!AT9+субсидии!AT9+'держ.бюджет'!AT9+'місц.-район.бюджет'!AT9+обласной!AT9+'госпрозрахунк.'!AT9</f>
        <v>8566.5</v>
      </c>
      <c r="AU9" s="123">
        <f t="shared" si="9"/>
        <v>85.33135440427927</v>
      </c>
      <c r="AV9" s="123">
        <f>населення!AW9+льготи!AV9+субсидии!AV9+'держ.бюджет'!AV9+'місц.-район.бюджет'!AV9+обласной!AV9+'госпрозрахунк.'!AV9</f>
        <v>1472.6</v>
      </c>
      <c r="AW9" s="123">
        <f>населення!AX9+льготи!AW9+субсидии!AW9+'держ.бюджет'!AW9+'місц.-район.бюджет'!AW9+обласной!AW9+'госпрозрахунк.'!AW9</f>
        <v>294.1999999999994</v>
      </c>
      <c r="AX9" s="20">
        <f aca="true" t="shared" si="11" ref="AX9:AX48">M9+Y9+AB9</f>
        <v>10039.100000000002</v>
      </c>
      <c r="AY9" s="20">
        <f aca="true" t="shared" si="12" ref="AY9:AY48">N9+Z9+AC9</f>
        <v>8566.5</v>
      </c>
      <c r="AZ9" s="20">
        <f t="shared" si="10"/>
        <v>1472.6000000000022</v>
      </c>
      <c r="BA9" s="20">
        <f t="shared" si="2"/>
        <v>294.20000000000255</v>
      </c>
    </row>
    <row r="10" spans="1:53" ht="28.5" customHeight="1">
      <c r="A10" s="6">
        <v>3</v>
      </c>
      <c r="B10" s="15" t="s">
        <v>83</v>
      </c>
      <c r="C10" s="123"/>
      <c r="D10" s="124"/>
      <c r="E10" s="124"/>
      <c r="F10" s="14"/>
      <c r="G10" s="124"/>
      <c r="H10" s="124"/>
      <c r="I10" s="14"/>
      <c r="J10" s="124"/>
      <c r="K10" s="124"/>
      <c r="L10" s="14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5"/>
      <c r="AB10" s="123"/>
      <c r="AC10" s="123"/>
      <c r="AD10" s="126"/>
      <c r="AE10" s="123"/>
      <c r="AF10" s="123"/>
      <c r="AG10" s="126"/>
      <c r="AH10" s="123"/>
      <c r="AI10" s="123"/>
      <c r="AJ10" s="123"/>
      <c r="AK10" s="123"/>
      <c r="AL10" s="125"/>
      <c r="AM10" s="123"/>
      <c r="AN10" s="123"/>
      <c r="AO10" s="123"/>
      <c r="AP10" s="123"/>
      <c r="AQ10" s="123"/>
      <c r="AR10" s="123"/>
      <c r="AS10" s="123"/>
      <c r="AT10" s="123"/>
      <c r="AU10" s="123"/>
      <c r="AV10" s="123"/>
      <c r="AW10" s="123"/>
      <c r="AX10" s="20">
        <f t="shared" si="11"/>
        <v>0</v>
      </c>
      <c r="AY10" s="20">
        <f t="shared" si="12"/>
        <v>0</v>
      </c>
      <c r="AZ10" s="20">
        <f t="shared" si="10"/>
        <v>0</v>
      </c>
      <c r="BA10" s="20">
        <f t="shared" si="2"/>
        <v>0</v>
      </c>
    </row>
    <row r="11" spans="1:53" ht="24" customHeight="1">
      <c r="A11" s="6">
        <v>4</v>
      </c>
      <c r="B11" s="1" t="s">
        <v>63</v>
      </c>
      <c r="C11" s="123">
        <f>населення!C11+льготи!C11+субсидии!C11+'держ.бюджет'!C11+'місц.-район.бюджет'!C11+обласной!C11+'госпрозрахунк.'!C11</f>
        <v>-38.5</v>
      </c>
      <c r="D11" s="124">
        <f>населення!D11+льготи!D11+субсидии!D11+'держ.бюджет'!D11+'місц.-район.бюджет'!D11+обласной!D11+'госпрозрахунк.'!D11</f>
        <v>413.90000000000003</v>
      </c>
      <c r="E11" s="124">
        <f>населення!E11+льготи!E11+субсидии!E11+'держ.бюджет'!E11+'місц.-район.бюджет'!E11+обласной!E11+'госпрозрахунк.'!E11</f>
        <v>38.900000000000006</v>
      </c>
      <c r="F11" s="14">
        <f t="shared" si="3"/>
        <v>9.39840541193525</v>
      </c>
      <c r="G11" s="124">
        <f>населення!G11+льготи!G11+субсидии!G11+'держ.бюджет'!G11+'місц.-район.бюджет'!G11+обласной!G11+'госпрозрахунк.'!G11</f>
        <v>411.09999999999997</v>
      </c>
      <c r="H11" s="124">
        <f>населення!H11+льготи!H11+субсидии!H11+'держ.бюджет'!H11+'місц.-район.бюджет'!H11+обласной!H11+'госпрозрахунк.'!H11</f>
        <v>451.2</v>
      </c>
      <c r="I11" s="14">
        <f t="shared" si="4"/>
        <v>109.75431768426174</v>
      </c>
      <c r="J11" s="124">
        <f>населення!J11+льготи!J11+субсидии!J11+'держ.бюджет'!J11+'місц.-район.бюджет'!J11+обласной!J11+'госпрозрахунк.'!J11</f>
        <v>382.4</v>
      </c>
      <c r="K11" s="124">
        <f>населення!K11+льготи!K11+субсидии!K11+'держ.бюджет'!K11+'місц.-район.бюджет'!K11+обласной!K11+'госпрозрахунк.'!K11</f>
        <v>447.7</v>
      </c>
      <c r="L11" s="14">
        <f t="shared" si="0"/>
        <v>117.07635983263597</v>
      </c>
      <c r="M11" s="123">
        <f>населення!M11+льготи!M11+субсидии!M11+'держ.бюджет'!M11+'місц.-район.бюджет'!M11+обласной!M11+'госпрозрахунк.'!M11</f>
        <v>1207.4</v>
      </c>
      <c r="N11" s="123">
        <f>населення!N11+льготи!N11+субсидии!N11+'держ.бюджет'!N11+'місц.-район.бюджет'!N11+обласной!N11+'госпрозрахунк.'!N11</f>
        <v>937.8000000000001</v>
      </c>
      <c r="O11" s="123">
        <f t="shared" si="5"/>
        <v>77.67102865661752</v>
      </c>
      <c r="P11" s="123">
        <f>населення!P11+льготи!P11+субсидии!P11+'держ.бюджет'!P11+'місц.-район.бюджет'!P11+обласной!P11+'госпрозрахунк.'!P11</f>
        <v>100.30000000000001</v>
      </c>
      <c r="Q11" s="123">
        <f>населення!Q11+льготи!Q11+субсидии!Q11+'держ.бюджет'!Q11+'місц.-район.бюджет'!Q11+обласной!Q11+'госпрозрахунк.'!Q11</f>
        <v>137.5</v>
      </c>
      <c r="R11" s="123">
        <f t="shared" si="6"/>
        <v>137.08873379860418</v>
      </c>
      <c r="S11" s="123">
        <f>населення!S11+льготи!S11+субсидии!S11+'держ.бюджет'!S11+'місц.-район.бюджет'!S11+обласной!S11+'госпрозрахунк.'!S11</f>
        <v>0</v>
      </c>
      <c r="T11" s="123">
        <f>населення!T11+льготи!T11+субсидии!T11+'держ.бюджет'!T11+'місц.-район.бюджет'!T11+обласной!T11+'госпрозрахунк.'!T11</f>
        <v>161.5</v>
      </c>
      <c r="U11" s="125" t="e">
        <f>T11/S11*100</f>
        <v>#DIV/0!</v>
      </c>
      <c r="V11" s="123">
        <f>населення!V11+льготи!V11+субсидии!V11+'держ.бюджет'!V11+'місц.-район.бюджет'!V11+обласной!V11+'госпрозрахунк.'!V11</f>
        <v>0</v>
      </c>
      <c r="W11" s="123">
        <f>населення!W11+льготи!W11+субсидии!W11+'держ.бюджет'!W11+'місц.-район.бюджет'!W11+обласной!W11+'госпрозрахунк.'!W11</f>
        <v>26.4</v>
      </c>
      <c r="X11" s="125" t="e">
        <f>W11/V11*100</f>
        <v>#DIV/0!</v>
      </c>
      <c r="Y11" s="123">
        <f>населення!Y11+льготи!Y11+субсидии!Y11+'держ.бюджет'!Y11+'місц.-район.бюджет'!Y11+обласной!Y11+'госпрозрахунк.'!Y11</f>
        <v>100.30000000000001</v>
      </c>
      <c r="Z11" s="123">
        <f>населення!Z11+льготи!Z11+субсидии!Z11+'держ.бюджет'!Z11+'місц.-район.бюджет'!Z11+обласной!Z11+'госпрозрахунк.'!Z11</f>
        <v>325.40000000000003</v>
      </c>
      <c r="AA11" s="123">
        <f t="shared" si="1"/>
        <v>324.4267198404786</v>
      </c>
      <c r="AB11" s="123">
        <f>населення!AB11+льготи!AB11+субсидии!AB11+'держ.бюджет'!AB11+'місц.-район.бюджет'!AB11+обласной!AB11+'госпрозрахунк.'!AB11</f>
        <v>0</v>
      </c>
      <c r="AC11" s="123">
        <f>населення!AC11+льготи!AC11+субсидии!AC11+'держ.бюджет'!AC11+'місц.-район.бюджет'!AC11+обласной!AC11+'госпрозрахунк.'!AC11</f>
        <v>15.8</v>
      </c>
      <c r="AD11" s="126">
        <v>0</v>
      </c>
      <c r="AE11" s="123">
        <f>населення!AE11+льготи!AE11+субсидии!AE11+'держ.бюджет'!AE11+'місц.-район.бюджет'!AE11+обласной!AE11+'госпрозрахунк.'!AE11</f>
        <v>0</v>
      </c>
      <c r="AF11" s="123">
        <f>населення!AF11+льготи!AF11+субсидии!AF11+'держ.бюджет'!AF11+'місц.-район.бюджет'!AF11+обласной!AF11+'госпрозрахунк.'!AF11</f>
        <v>0</v>
      </c>
      <c r="AG11" s="126">
        <v>0</v>
      </c>
      <c r="AH11" s="123">
        <f>населення!AH11+льготи!AH11+субсидии!AH11+'держ.бюджет'!AH11+'місц.-район.бюджет'!AH11+обласной!AH11+'госпрозрахунк.'!AH11</f>
        <v>0</v>
      </c>
      <c r="AI11" s="123">
        <f>населення!AI11+льготи!AI11+субсидии!AI11+'держ.бюджет'!AI11+'місц.-район.бюджет'!AI11+обласной!AI11+'госпрозрахунк.'!AI11</f>
        <v>0</v>
      </c>
      <c r="AJ11" s="123">
        <f>населення!AJ11+льготи!AJ11+субсидии!AJ11+'держ.бюджет'!AJ11+'місц.-район.бюджет'!AJ11+обласной!AJ11+'госпрозрахунк.'!AJ11</f>
        <v>0</v>
      </c>
      <c r="AK11" s="123">
        <f>населення!AK11+льготи!AK11+субсидии!AK11+'держ.бюджет'!AK11+'місц.-район.бюджет'!AK11+обласной!AK11+'госпрозрахунк.'!AK11</f>
        <v>15.8</v>
      </c>
      <c r="AL11" s="125" t="e">
        <f t="shared" si="8"/>
        <v>#DIV/0!</v>
      </c>
      <c r="AM11" s="123">
        <f>населення!AM11+льготи!AM11+субсидии!AM11+'держ.бюджет'!AM11+'місц.-район.бюджет'!AM11+обласной!AM11+'госпрозрахунк.'!AM11</f>
        <v>0</v>
      </c>
      <c r="AN11" s="123">
        <f>населення!AN11+льготи!AN11+субсидии!AN11+'держ.бюджет'!AN11+'місц.-район.бюджет'!AN11+обласной!AN11+'госпрозрахунк.'!AN11</f>
        <v>0</v>
      </c>
      <c r="AO11" s="123">
        <f>населення!AO11+льготи!AO11+субсидии!AO11+'держ.бюджет'!AO11+'місц.-район.бюджет'!AO11+обласной!AO11+'госпрозрахунк.'!AO11</f>
        <v>0</v>
      </c>
      <c r="AP11" s="123">
        <f>населення!AP11+льготи!AP11+субсидии!AP11+'держ.бюджет'!AP11+'місц.-район.бюджет'!AP11+обласной!AP11+'госпрозрахунк.'!AP11</f>
        <v>0</v>
      </c>
      <c r="AQ11" s="123">
        <f>населення!AR11+льготи!AQ11+субсидии!AQ11+'держ.бюджет'!AQ11+'місц.-район.бюджет'!AQ11+обласной!AQ11+'госпрозрахунк.'!AQ11</f>
        <v>0</v>
      </c>
      <c r="AR11" s="123">
        <f>населення!AS11+льготи!AR11+субсидии!AR11+'держ.бюджет'!AR11+'місц.-район.бюджет'!AR11+обласной!AR11+'госпрозрахунк.'!AR11</f>
        <v>0</v>
      </c>
      <c r="AS11" s="123">
        <f>населення!AT11+льготи!AS11+субсидии!AS11+'держ.бюджет'!AS11+'місц.-район.бюджет'!AS11+обласной!AS11+'госпрозрахунк.'!AS11</f>
        <v>1307.7</v>
      </c>
      <c r="AT11" s="123">
        <f>населення!AU11+льготи!AT11+субсидии!AT11+'держ.бюджет'!AT11+'місц.-район.бюджет'!AT11+обласной!AT11+'госпрозрахунк.'!AT11</f>
        <v>1279</v>
      </c>
      <c r="AU11" s="123">
        <f t="shared" si="9"/>
        <v>97.80530702760572</v>
      </c>
      <c r="AV11" s="123">
        <f>населення!AW11+льготи!AV11+субсидии!AV11+'держ.бюджет'!AV11+'місц.-район.бюджет'!AV11+обласной!AV11+'госпрозрахунк.'!AV11</f>
        <v>28.700000000000003</v>
      </c>
      <c r="AW11" s="123">
        <f>населення!AX11+льготи!AW11+субсидии!AW11+'держ.бюджет'!AW11+'місц.-район.бюджет'!AW11+обласной!AW11+'госпрозрахунк.'!AW11</f>
        <v>-9.799999999999955</v>
      </c>
      <c r="AX11" s="20">
        <f t="shared" si="11"/>
        <v>1307.7</v>
      </c>
      <c r="AY11" s="20">
        <f t="shared" si="12"/>
        <v>1279</v>
      </c>
      <c r="AZ11" s="20">
        <f t="shared" si="10"/>
        <v>28.700000000000045</v>
      </c>
      <c r="BA11" s="20">
        <f t="shared" si="2"/>
        <v>-9.799999999999955</v>
      </c>
    </row>
    <row r="12" spans="1:53" ht="24" customHeight="1">
      <c r="A12" s="19">
        <v>5</v>
      </c>
      <c r="B12" s="1" t="s">
        <v>43</v>
      </c>
      <c r="C12" s="123">
        <f>населення!C12+льготи!C12+субсидии!C12+'держ.бюджет'!C12+'місц.-район.бюджет'!C12+обласной!C12+'госпрозрахунк.'!C12</f>
        <v>1857.3999999999999</v>
      </c>
      <c r="D12" s="124">
        <f>населення!D12+льготи!D12+субсидии!D12+'держ.бюджет'!D12+'місц.-район.бюджет'!D12+обласной!D12+'госпрозрахунк.'!D12</f>
        <v>5045.2</v>
      </c>
      <c r="E12" s="124">
        <f>населення!E12+льготи!E12+субсидии!E12+'держ.бюджет'!E12+'місц.-район.бюджет'!E12+обласной!E12+'госпрозрахунк.'!E12</f>
        <v>997.1</v>
      </c>
      <c r="F12" s="14">
        <f t="shared" si="3"/>
        <v>19.76333941171807</v>
      </c>
      <c r="G12" s="124">
        <f>населення!G12+льготи!G12+субсидии!G12+'держ.бюджет'!G12+'місц.-район.бюджет'!G12+обласной!G12+'госпрозрахунк.'!G12</f>
        <v>5097.7</v>
      </c>
      <c r="H12" s="124">
        <f>населення!H12+льготи!H12+субсидии!H12+'держ.бюджет'!H12+'місц.-район.бюджет'!H12+обласной!H12+'госпрозрахунк.'!H12</f>
        <v>3347.7000000000003</v>
      </c>
      <c r="I12" s="14">
        <f t="shared" si="4"/>
        <v>65.67079271043805</v>
      </c>
      <c r="J12" s="124">
        <f>населення!J12+льготи!J12+субсидии!J12+'держ.бюджет'!J12+'місц.-район.бюджет'!J12+обласной!J12+'госпрозрахунк.'!J12</f>
        <v>5182.700000000001</v>
      </c>
      <c r="K12" s="124">
        <f>населення!K12+льготи!K12+субсидии!K12+'держ.бюджет'!K12+'місц.-район.бюджет'!K12+обласной!K12+'госпрозрахунк.'!K12</f>
        <v>4380.9</v>
      </c>
      <c r="L12" s="14">
        <f t="shared" si="0"/>
        <v>84.52929939992666</v>
      </c>
      <c r="M12" s="123">
        <f>населення!M12+льготи!M12+субсидии!M12+'держ.бюджет'!M12+'місц.-район.бюджет'!M12+обласной!M12+'госпрозрахунк.'!M12</f>
        <v>15325.6</v>
      </c>
      <c r="N12" s="123">
        <f>населення!N12+льготи!N12+субсидии!N12+'держ.бюджет'!N12+'місц.-район.бюджет'!N12+обласной!N12+'госпрозрахунк.'!N12</f>
        <v>8725.7</v>
      </c>
      <c r="O12" s="123">
        <f t="shared" si="5"/>
        <v>56.935454403090255</v>
      </c>
      <c r="P12" s="123">
        <f>населення!P12+льготи!P12+субсидии!P12+'держ.бюджет'!P12+'місц.-район.бюджет'!P12+обласной!P12+'госпрозрахунк.'!P12</f>
        <v>468.19999999999993</v>
      </c>
      <c r="Q12" s="123">
        <f>населення!Q12+льготи!Q12+субсидии!Q12+'держ.бюджет'!Q12+'місц.-район.бюджет'!Q12+обласной!Q12+'госпрозрахунк.'!Q12</f>
        <v>5651.099999999999</v>
      </c>
      <c r="R12" s="123">
        <f t="shared" si="6"/>
        <v>1206.984194788552</v>
      </c>
      <c r="S12" s="123">
        <f>населення!S12+льготи!S12+субсидии!S12+'держ.бюджет'!S12+'місц.-район.бюджет'!S12+обласной!S12+'госпрозрахунк.'!S12</f>
        <v>0</v>
      </c>
      <c r="T12" s="123">
        <f>населення!T12+льготи!T12+субсидии!T12+'держ.бюджет'!T12+'місц.-район.бюджет'!T12+обласной!T12+'госпрозрахунк.'!T12</f>
        <v>1221.5</v>
      </c>
      <c r="U12" s="123"/>
      <c r="V12" s="123">
        <f>населення!V12+льготи!V12+субсидии!V12+'держ.бюджет'!V12+'місц.-район.бюджет'!V12+обласной!V12+'госпрозрахунк.'!V12</f>
        <v>0</v>
      </c>
      <c r="W12" s="123">
        <f>населення!W12+льготи!W12+субсидии!W12+'держ.бюджет'!W12+'місц.-район.бюджет'!W12+обласной!W12+'госпрозрахунк.'!W12</f>
        <v>461.6</v>
      </c>
      <c r="X12" s="123"/>
      <c r="Y12" s="123">
        <f>населення!Y12+льготи!Y12+субсидии!Y12+'держ.бюджет'!Y12+'місц.-район.бюджет'!Y12+обласной!Y12+'госпрозрахунк.'!Y12</f>
        <v>468.19999999999993</v>
      </c>
      <c r="Z12" s="123">
        <f>населення!Z12+льготи!Z12+субсидии!Z12+'держ.бюджет'!Z12+'місц.-район.бюджет'!Z12+обласной!Z12+'госпрозрахунк.'!Z12</f>
        <v>7334.2</v>
      </c>
      <c r="AA12" s="123">
        <f t="shared" si="1"/>
        <v>1566.4673216574115</v>
      </c>
      <c r="AB12" s="123">
        <f>населення!AB12+льготи!AB12+субсидии!AB12+'держ.бюджет'!AB12+'місц.-район.бюджет'!AB12+обласной!AB12+'госпрозрахунк.'!AB12</f>
        <v>0</v>
      </c>
      <c r="AC12" s="123">
        <f>населення!AC12+льготи!AC12+субсидии!AC12+'держ.бюджет'!AC12+'місц.-район.бюджет'!AC12+обласной!AC12+'госпрозрахунк.'!AC12</f>
        <v>556.2</v>
      </c>
      <c r="AD12" s="125" t="e">
        <f t="shared" si="7"/>
        <v>#DIV/0!</v>
      </c>
      <c r="AE12" s="123">
        <f>населення!AE12+льготи!AE12+субсидии!AE12+'держ.бюджет'!AE12+'місц.-район.бюджет'!AE12+обласной!AE12+'госпрозрахунк.'!AE12</f>
        <v>0</v>
      </c>
      <c r="AF12" s="123">
        <f>населення!AF12+льготи!AF12+субсидии!AF12+'держ.бюджет'!AF12+'місц.-район.бюджет'!AF12+обласной!AF12+'госпрозрахунк.'!AF12</f>
        <v>0</v>
      </c>
      <c r="AG12" s="125" t="e">
        <f>AF12/AE12*100</f>
        <v>#DIV/0!</v>
      </c>
      <c r="AH12" s="123">
        <f>населення!AH12+льготи!AH12+субсидии!AH12+'держ.бюджет'!AH12+'місц.-район.бюджет'!AH12+обласной!AH12+'госпрозрахунк.'!AH12</f>
        <v>0</v>
      </c>
      <c r="AI12" s="123">
        <f>населення!AI12+льготи!AI12+субсидии!AI12+'держ.бюджет'!AI12+'місц.-район.бюджет'!AI12+обласной!AI12+'госпрозрахунк.'!AI12</f>
        <v>0</v>
      </c>
      <c r="AJ12" s="123">
        <f>населення!AJ12+льготи!AJ12+субсидии!AJ12+'держ.бюджет'!AJ12+'місц.-район.бюджет'!AJ12+обласной!AJ12+'госпрозрахунк.'!AJ12</f>
        <v>0</v>
      </c>
      <c r="AK12" s="123">
        <f>населення!AK12+льготи!AK12+субсидии!AK12+'держ.бюджет'!AK12+'місц.-район.бюджет'!AK12+обласной!AK12+'госпрозрахунк.'!AK12</f>
        <v>556.2</v>
      </c>
      <c r="AL12" s="125" t="e">
        <f t="shared" si="8"/>
        <v>#DIV/0!</v>
      </c>
      <c r="AM12" s="123">
        <f>населення!AM12+льготи!AM12+субсидии!AM12+'держ.бюджет'!AM12+'місц.-район.бюджет'!AM12+обласной!AM12+'госпрозрахунк.'!AM12</f>
        <v>0</v>
      </c>
      <c r="AN12" s="123">
        <f>населення!AN12+льготи!AN12+субсидии!AN12+'держ.бюджет'!AN12+'місц.-район.бюджет'!AN12+обласной!AN12+'госпрозрахунк.'!AN12</f>
        <v>0</v>
      </c>
      <c r="AO12" s="123">
        <f>населення!AO12+льготи!AO12+субсидии!AO12+'держ.бюджет'!AO12+'місц.-район.бюджет'!AO12+обласной!AO12+'госпрозрахунк.'!AO12</f>
        <v>0</v>
      </c>
      <c r="AP12" s="123">
        <f>населення!AP12+льготи!AP12+субсидии!AP12+'держ.бюджет'!AP12+'місц.-район.бюджет'!AP12+обласной!AP12+'госпрозрахунк.'!AP12</f>
        <v>0</v>
      </c>
      <c r="AQ12" s="123">
        <f>населення!AR12+льготи!AQ12+субсидии!AQ12+'держ.бюджет'!AQ12+'місц.-район.бюджет'!AQ12+обласной!AQ12+'госпрозрахунк.'!AQ12</f>
        <v>0</v>
      </c>
      <c r="AR12" s="123">
        <f>населення!AS12+льготи!AR12+субсидии!AR12+'держ.бюджет'!AR12+'місц.-район.бюджет'!AR12+обласной!AR12+'госпрозрахунк.'!AR12</f>
        <v>0</v>
      </c>
      <c r="AS12" s="123">
        <f>населення!AT12+льготи!AS12+субсидии!AS12+'держ.бюджет'!AS12+'місц.-район.бюджет'!AS12+обласной!AS12+'госпрозрахунк.'!AS12</f>
        <v>15793.799999999997</v>
      </c>
      <c r="AT12" s="123">
        <f>населення!AU12+льготи!AT12+субсидии!AT12+'держ.бюджет'!AT12+'місц.-район.бюджет'!AT12+обласной!AT12+'госпрозрахунк.'!AT12</f>
        <v>16616.100000000002</v>
      </c>
      <c r="AU12" s="123">
        <f t="shared" si="9"/>
        <v>105.20647342628122</v>
      </c>
      <c r="AV12" s="123">
        <f>населення!AW12+льготи!AV12+субсидии!AV12+'держ.бюджет'!AV12+'місц.-район.бюджет'!AV12+обласной!AV12+'госпрозрахунк.'!AV12</f>
        <v>-822.3000000000004</v>
      </c>
      <c r="AW12" s="123">
        <f>населення!AX12+льготи!AW12+субсидии!AW12+'держ.бюджет'!AW12+'місц.-район.бюджет'!AW12+обласной!AW12+'госпрозрахунк.'!AW12</f>
        <v>1035.0999999999995</v>
      </c>
      <c r="AX12" s="20">
        <f t="shared" si="11"/>
        <v>15793.800000000001</v>
      </c>
      <c r="AY12" s="20">
        <f t="shared" si="12"/>
        <v>16616.100000000002</v>
      </c>
      <c r="AZ12" s="20">
        <f t="shared" si="10"/>
        <v>-822.3000000000011</v>
      </c>
      <c r="BA12" s="20">
        <f t="shared" si="2"/>
        <v>1035.0999999999985</v>
      </c>
    </row>
    <row r="13" spans="1:53" ht="24" customHeight="1">
      <c r="A13" s="6">
        <v>6</v>
      </c>
      <c r="B13" s="1" t="s">
        <v>23</v>
      </c>
      <c r="C13" s="123">
        <f>населення!C13+льготи!C13+субсидии!C13+'держ.бюджет'!C13+'місц.-район.бюджет'!C13+обласной!C13+'госпрозрахунк.'!C13</f>
        <v>-208.8</v>
      </c>
      <c r="D13" s="124">
        <f>населення!D13+льготи!D13+субсидии!D13+'держ.бюджет'!D13+'місц.-район.бюджет'!D13+обласной!D13+'госпрозрахунк.'!D13</f>
        <v>1504.8999999999999</v>
      </c>
      <c r="E13" s="124">
        <f>населення!E13+льготи!E13+субсидии!E13+'держ.бюджет'!E13+'місц.-район.бюджет'!E13+обласной!E13+'госпрозрахунк.'!E13</f>
        <v>40.2</v>
      </c>
      <c r="F13" s="14">
        <f t="shared" si="3"/>
        <v>2.671273838793276</v>
      </c>
      <c r="G13" s="124">
        <f>населення!G13+льготи!G13+субсидии!G13+'держ.бюджет'!G13+'місц.-район.бюджет'!G13+обласной!G13+'госпрозрахунк.'!G13</f>
        <v>1446.9</v>
      </c>
      <c r="H13" s="124">
        <f>населення!H13+льготи!H13+субсидии!H13+'держ.бюджет'!H13+'місц.-район.бюджет'!H13+обласной!H13+'госпрозрахунк.'!H13</f>
        <v>230.5</v>
      </c>
      <c r="I13" s="14">
        <f t="shared" si="4"/>
        <v>15.930610270232911</v>
      </c>
      <c r="J13" s="124">
        <f>населення!J13+льготи!J13+субсидии!J13+'держ.бюджет'!J13+'місц.-район.бюджет'!J13+обласной!J13+'госпрозрахунк.'!J13</f>
        <v>1276.5</v>
      </c>
      <c r="K13" s="124">
        <f>населення!K13+льготи!K13+субсидии!K13+'держ.бюджет'!K13+'місц.-район.бюджет'!K13+обласной!K13+'госпрозрахунк.'!K13</f>
        <v>632.2</v>
      </c>
      <c r="L13" s="14">
        <f t="shared" si="0"/>
        <v>49.52604778691735</v>
      </c>
      <c r="M13" s="123">
        <f>населення!M13+льготи!M13+субсидии!M13+'держ.бюджет'!M13+'місц.-район.бюджет'!M13+обласной!M13+'госпрозрахунк.'!M13</f>
        <v>4228.3</v>
      </c>
      <c r="N13" s="123">
        <f>населення!N13+льготи!N13+субсидии!N13+'держ.бюджет'!N13+'місц.-район.бюджет'!N13+обласной!N13+'госпрозрахунк.'!N13</f>
        <v>902.9</v>
      </c>
      <c r="O13" s="123">
        <f t="shared" si="5"/>
        <v>21.353735543835583</v>
      </c>
      <c r="P13" s="123">
        <f>населення!P13+льготи!P13+субсидии!P13+'держ.бюджет'!P13+'місц.-район.бюджет'!P13+обласной!P13+'госпрозрахунк.'!P13</f>
        <v>196.8</v>
      </c>
      <c r="Q13" s="123">
        <f>населення!Q13+льготи!Q13+субсидии!Q13+'держ.бюджет'!Q13+'місц.-район.бюджет'!Q13+обласной!Q13+'госпрозрахунк.'!Q13</f>
        <v>1073.9</v>
      </c>
      <c r="R13" s="123">
        <f t="shared" si="6"/>
        <v>545.6808943089432</v>
      </c>
      <c r="S13" s="123">
        <f>населення!S13+льготи!S13+субсидии!S13+'держ.бюджет'!S13+'місц.-район.бюджет'!S13+обласной!S13+'госпрозрахунк.'!S13</f>
        <v>-6.5</v>
      </c>
      <c r="T13" s="123">
        <f>населення!T13+льготи!T13+субсидии!T13+'держ.бюджет'!T13+'місц.-район.бюджет'!T13+обласной!T13+'госпрозрахунк.'!T13</f>
        <v>38.5</v>
      </c>
      <c r="U13" s="123"/>
      <c r="V13" s="123">
        <f>населення!V13+льготи!V13+субсидии!V13+'держ.бюджет'!V13+'місц.-район.бюджет'!V13+обласной!V13+'госпрозрахунк.'!V13</f>
        <v>0</v>
      </c>
      <c r="W13" s="123">
        <f>населення!W13+льготи!W13+субсидии!W13+'держ.бюджет'!W13+'місц.-район.бюджет'!W13+обласной!W13+'госпрозрахунк.'!W13</f>
        <v>261.1</v>
      </c>
      <c r="X13" s="123"/>
      <c r="Y13" s="123">
        <f>населення!Y13+льготи!Y13+субсидии!Y13+'держ.бюджет'!Y13+'місц.-район.бюджет'!Y13+обласной!Y13+'госпрозрахунк.'!Y13</f>
        <v>190.3</v>
      </c>
      <c r="Z13" s="123">
        <f>населення!Z13+льготи!Z13+субсидии!Z13+'держ.бюджет'!Z13+'місц.-район.бюджет'!Z13+обласной!Z13+'госпрозрахунк.'!Z13</f>
        <v>1373.5</v>
      </c>
      <c r="AA13" s="123">
        <f t="shared" si="1"/>
        <v>721.7551234892275</v>
      </c>
      <c r="AB13" s="123">
        <f>населення!AB13+льготи!AB13+субсидии!AB13+'держ.бюджет'!AB13+'місц.-район.бюджет'!AB13+обласной!AB13+'госпрозрахунк.'!AB13</f>
        <v>0</v>
      </c>
      <c r="AC13" s="123">
        <f>населення!AC13+льготи!AC13+субсидии!AC13+'держ.бюджет'!AC13+'місц.-район.бюджет'!AC13+обласной!AC13+'госпрозрахунк.'!AC13</f>
        <v>712.6999999999999</v>
      </c>
      <c r="AD13" s="125" t="e">
        <f t="shared" si="7"/>
        <v>#DIV/0!</v>
      </c>
      <c r="AE13" s="123">
        <f>населення!AE13+льготи!AE13+субсидии!AE13+'держ.бюджет'!AE13+'місц.-район.бюджет'!AE13+обласной!AE13+'госпрозрахунк.'!AE13</f>
        <v>0</v>
      </c>
      <c r="AF13" s="123">
        <f>населення!AF13+льготи!AF13+субсидии!AF13+'держ.бюджет'!AF13+'місц.-район.бюджет'!AF13+обласной!AF13+'госпрозрахунк.'!AF13</f>
        <v>0</v>
      </c>
      <c r="AG13" s="125" t="e">
        <f>AF13/AE13*100</f>
        <v>#DIV/0!</v>
      </c>
      <c r="AH13" s="123">
        <f>населення!AH13+льготи!AH13+субсидии!AH13+'держ.бюджет'!AH13+'місц.-район.бюджет'!AH13+обласной!AH13+'госпрозрахунк.'!AH13</f>
        <v>0</v>
      </c>
      <c r="AI13" s="123">
        <f>населення!AI13+льготи!AI13+субсидии!AI13+'держ.бюджет'!AI13+'місц.-район.бюджет'!AI13+обласной!AI13+'госпрозрахунк.'!AI13</f>
        <v>0</v>
      </c>
      <c r="AJ13" s="123">
        <f>населення!AJ13+льготи!AJ13+субсидии!AJ13+'держ.бюджет'!AJ13+'місц.-район.бюджет'!AJ13+обласной!AJ13+'госпрозрахунк.'!AJ13</f>
        <v>0</v>
      </c>
      <c r="AK13" s="123">
        <f>населення!AK13+льготи!AK13+субсидии!AK13+'держ.бюджет'!AK13+'місц.-район.бюджет'!AK13+обласной!AK13+'госпрозрахунк.'!AK13</f>
        <v>712.6999999999999</v>
      </c>
      <c r="AL13" s="125" t="e">
        <f t="shared" si="8"/>
        <v>#DIV/0!</v>
      </c>
      <c r="AM13" s="123">
        <f>населення!AM13+льготи!AM13+субсидии!AM13+'держ.бюджет'!AM13+'місц.-район.бюджет'!AM13+обласной!AM13+'госпрозрахунк.'!AM13</f>
        <v>0</v>
      </c>
      <c r="AN13" s="123">
        <f>населення!AN13+льготи!AN13+субсидии!AN13+'держ.бюджет'!AN13+'місц.-район.бюджет'!AN13+обласной!AN13+'госпрозрахунк.'!AN13</f>
        <v>0</v>
      </c>
      <c r="AO13" s="123">
        <f>населення!AO13+льготи!AO13+субсидии!AO13+'держ.бюджет'!AO13+'місц.-район.бюджет'!AO13+обласной!AO13+'госпрозрахунк.'!AO13</f>
        <v>0</v>
      </c>
      <c r="AP13" s="123">
        <f>населення!AP13+льготи!AP13+субсидии!AP13+'держ.бюджет'!AP13+'місц.-район.бюджет'!AP13+обласной!AP13+'госпрозрахунк.'!AP13</f>
        <v>0</v>
      </c>
      <c r="AQ13" s="123">
        <f>населення!AR13+льготи!AQ13+субсидии!AQ13+'держ.бюджет'!AQ13+'місц.-район.бюджет'!AQ13+обласной!AQ13+'госпрозрахунк.'!AQ13</f>
        <v>0</v>
      </c>
      <c r="AR13" s="123">
        <f>населення!AS13+льготи!AR13+субсидии!AR13+'держ.бюджет'!AR13+'місц.-район.бюджет'!AR13+обласной!AR13+'госпрозрахунк.'!AR13</f>
        <v>0</v>
      </c>
      <c r="AS13" s="123">
        <f>населення!AT13+льготи!AS13+субсидии!AS13+'держ.бюджет'!AS13+'місц.-район.бюджет'!AS13+обласной!AS13+'госпрозрахунк.'!AS13</f>
        <v>4418.6</v>
      </c>
      <c r="AT13" s="123">
        <f>населення!AU13+льготи!AT13+субсидии!AT13+'держ.бюджет'!AT13+'місц.-район.бюджет'!AT13+обласной!AT13+'госпрозрахунк.'!AT13</f>
        <v>2989.0999999999995</v>
      </c>
      <c r="AU13" s="123">
        <f t="shared" si="9"/>
        <v>67.64812384013034</v>
      </c>
      <c r="AV13" s="123">
        <f>населення!AW13+льготи!AV13+субсидии!AV13+'держ.бюджет'!AV13+'місц.-район.бюджет'!AV13+обласной!AV13+'госпрозрахунк.'!AV13</f>
        <v>1429.5000000000002</v>
      </c>
      <c r="AW13" s="123">
        <f>населення!AX13+льготи!AW13+субсидии!AW13+'держ.бюджет'!AW13+'місц.-район.бюджет'!AW13+обласной!AW13+'госпрозрахунк.'!AW13</f>
        <v>1220.7</v>
      </c>
      <c r="AX13" s="20">
        <f t="shared" si="11"/>
        <v>4418.6</v>
      </c>
      <c r="AY13" s="20">
        <f t="shared" si="12"/>
        <v>2989.1</v>
      </c>
      <c r="AZ13" s="20">
        <f t="shared" si="10"/>
        <v>1429.5000000000005</v>
      </c>
      <c r="BA13" s="20">
        <f t="shared" si="2"/>
        <v>1220.7000000000003</v>
      </c>
    </row>
    <row r="14" spans="1:53" ht="24" customHeight="1">
      <c r="A14" s="6">
        <v>7</v>
      </c>
      <c r="B14" s="1" t="s">
        <v>24</v>
      </c>
      <c r="C14" s="123">
        <f>населення!C14+льготи!C14+субсидии!C14+'держ.бюджет'!C14+'місц.-район.бюджет'!C14+обласной!C14+'госпрозрахунк.'!C14</f>
        <v>-57.2</v>
      </c>
      <c r="D14" s="124">
        <f>населення!D14+льготи!D14+субсидии!D14+'держ.бюджет'!D14+'місц.-район.бюджет'!D14+обласной!D14+'госпрозрахунк.'!D14</f>
        <v>848.1999999999999</v>
      </c>
      <c r="E14" s="124">
        <f>населення!E14+льготи!E14+субсидии!E14+'держ.бюджет'!E14+'місц.-район.бюджет'!E14+обласной!E14+'госпрозрахунк.'!E14</f>
        <v>465.3</v>
      </c>
      <c r="F14" s="14">
        <f t="shared" si="3"/>
        <v>54.85734496580995</v>
      </c>
      <c r="G14" s="124">
        <f>населення!G14+льготи!G14+субсидии!G14+'держ.бюджет'!G14+'місц.-район.бюджет'!G14+обласной!G14+'госпрозрахунк.'!G14</f>
        <v>1352.6</v>
      </c>
      <c r="H14" s="124">
        <f>населення!H14+льготи!H14+субсидии!H14+'держ.бюджет'!H14+'місц.-район.бюджет'!H14+обласной!H14+'госпрозрахунк.'!H14</f>
        <v>1120.5</v>
      </c>
      <c r="I14" s="14">
        <f t="shared" si="4"/>
        <v>82.84045541919266</v>
      </c>
      <c r="J14" s="124">
        <f>населення!J14+льготи!J14+субсидии!J14+'держ.бюджет'!J14+'місц.-район.бюджет'!J14+обласной!J14+'госпрозрахунк.'!J14</f>
        <v>1240.4</v>
      </c>
      <c r="K14" s="124">
        <f>населення!K14+льготи!K14+субсидии!K14+'держ.бюджет'!K14+'місц.-район.бюджет'!K14+обласной!K14+'госпрозрахунк.'!K14</f>
        <v>1297.6</v>
      </c>
      <c r="L14" s="14">
        <f t="shared" si="0"/>
        <v>104.61141567236373</v>
      </c>
      <c r="M14" s="123">
        <f>населення!M14+льготи!M14+субсидии!M14+'держ.бюджет'!M14+'місц.-район.бюджет'!M14+обласной!M14+'госпрозрахунк.'!M14</f>
        <v>3441.2</v>
      </c>
      <c r="N14" s="123">
        <f>населення!N14+льготи!N14+субсидии!N14+'держ.бюджет'!N14+'місц.-район.бюджет'!N14+обласной!N14+'госпрозрахунк.'!N14</f>
        <v>2883.4</v>
      </c>
      <c r="O14" s="123">
        <f t="shared" si="5"/>
        <v>83.7905381843543</v>
      </c>
      <c r="P14" s="123">
        <f>населення!P14+льготи!P14+субсидии!P14+'держ.бюджет'!P14+'місц.-район.бюджет'!P14+обласной!P14+'госпрозрахунк.'!P14</f>
        <v>412.7</v>
      </c>
      <c r="Q14" s="123">
        <f>населення!Q14+льготи!Q14+субсидии!Q14+'держ.бюджет'!Q14+'місц.-район.бюджет'!Q14+обласной!Q14+'госпрозрахунк.'!Q14</f>
        <v>111.2</v>
      </c>
      <c r="R14" s="123">
        <f t="shared" si="6"/>
        <v>26.94451175187788</v>
      </c>
      <c r="S14" s="123">
        <f>населення!S14+льготи!S14+субсидии!S14+'держ.бюджет'!S14+'місц.-район.бюджет'!S14+обласной!S14+'госпрозрахунк.'!S14</f>
        <v>0</v>
      </c>
      <c r="T14" s="123">
        <f>населення!T14+льготи!T14+субсидии!T14+'держ.бюджет'!T14+'місц.-район.бюджет'!T14+обласной!T14+'госпрозрахунк.'!T14</f>
        <v>706</v>
      </c>
      <c r="U14" s="123"/>
      <c r="V14" s="123">
        <f>населення!V14+льготи!V14+субсидии!V14+'держ.бюджет'!V14+'місц.-район.бюджет'!V14+обласной!V14+'госпрозрахунк.'!V14</f>
        <v>0</v>
      </c>
      <c r="W14" s="123">
        <f>населення!W14+льготи!W14+субсидии!W14+'держ.бюджет'!W14+'місц.-район.бюджет'!W14+обласной!W14+'госпрозрахунк.'!W14</f>
        <v>74.6</v>
      </c>
      <c r="X14" s="123"/>
      <c r="Y14" s="123">
        <f>населення!Y14+льготи!Y14+субсидии!Y14+'держ.бюджет'!Y14+'місц.-район.бюджет'!Y14+обласной!Y14+'госпрозрахунк.'!Y14</f>
        <v>412.7</v>
      </c>
      <c r="Z14" s="123">
        <f>населення!Z14+льготи!Z14+субсидии!Z14+'держ.бюджет'!Z14+'місц.-район.бюджет'!Z14+обласной!Z14+'госпрозрахунк.'!Z14</f>
        <v>891.8000000000001</v>
      </c>
      <c r="AA14" s="123">
        <f t="shared" si="1"/>
        <v>216.08916888781198</v>
      </c>
      <c r="AB14" s="123">
        <f>населення!AB14+льготи!AB14+субсидии!AB14+'держ.бюджет'!AB14+'місц.-район.бюджет'!AB14+обласной!AB14+'госпрозрахунк.'!AB14</f>
        <v>0</v>
      </c>
      <c r="AC14" s="123">
        <f>населення!AC14+льготи!AC14+субсидии!AC14+'держ.бюджет'!AC14+'місц.-район.бюджет'!AC14+обласной!AC14+'госпрозрахунк.'!AC14</f>
        <v>0</v>
      </c>
      <c r="AD14" s="126">
        <v>0</v>
      </c>
      <c r="AE14" s="123">
        <f>населення!AE14+льготи!AE14+субсидии!AE14+'держ.бюджет'!AE14+'місц.-район.бюджет'!AE14+обласной!AE14+'госпрозрахунк.'!AE14</f>
        <v>0</v>
      </c>
      <c r="AF14" s="123">
        <f>населення!AF14+льготи!AF14+субсидии!AF14+'держ.бюджет'!AF14+'місц.-район.бюджет'!AF14+обласной!AF14+'госпрозрахунк.'!AF14</f>
        <v>0</v>
      </c>
      <c r="AG14" s="126">
        <v>0</v>
      </c>
      <c r="AH14" s="123">
        <f>населення!AH14+льготи!AH14+субсидии!AH14+'держ.бюджет'!AH14+'місц.-район.бюджет'!AH14+обласной!AH14+'госпрозрахунк.'!AH14</f>
        <v>0</v>
      </c>
      <c r="AI14" s="123">
        <f>населення!AI14+льготи!AI14+субсидии!AI14+'держ.бюджет'!AI14+'місц.-район.бюджет'!AI14+обласной!AI14+'госпрозрахунк.'!AI14</f>
        <v>0</v>
      </c>
      <c r="AJ14" s="123">
        <f>населення!AJ14+льготи!AJ14+субсидии!AJ14+'держ.бюджет'!AJ14+'місц.-район.бюджет'!AJ14+обласной!AJ14+'госпрозрахунк.'!AJ14</f>
        <v>0</v>
      </c>
      <c r="AK14" s="123">
        <f>населення!AK14+льготи!AK14+субсидии!AK14+'держ.бюджет'!AK14+'місц.-район.бюджет'!AK14+обласной!AK14+'госпрозрахунк.'!AK14</f>
        <v>0</v>
      </c>
      <c r="AL14" s="125" t="e">
        <f t="shared" si="8"/>
        <v>#DIV/0!</v>
      </c>
      <c r="AM14" s="123">
        <f>населення!AM14+льготи!AM14+субсидии!AM14+'держ.бюджет'!AM14+'місц.-район.бюджет'!AM14+обласной!AM14+'госпрозрахунк.'!AM14</f>
        <v>0</v>
      </c>
      <c r="AN14" s="123">
        <f>населення!AN14+льготи!AN14+субсидии!AN14+'держ.бюджет'!AN14+'місц.-район.бюджет'!AN14+обласной!AN14+'госпрозрахунк.'!AN14</f>
        <v>0</v>
      </c>
      <c r="AO14" s="123">
        <f>населення!AO14+льготи!AO14+субсидии!AO14+'держ.бюджет'!AO14+'місц.-район.бюджет'!AO14+обласной!AO14+'госпрозрахунк.'!AO14</f>
        <v>0</v>
      </c>
      <c r="AP14" s="123">
        <f>населення!AP14+льготи!AP14+субсидии!AP14+'держ.бюджет'!AP14+'місц.-район.бюджет'!AP14+обласной!AP14+'госпрозрахунк.'!AP14</f>
        <v>0</v>
      </c>
      <c r="AQ14" s="123">
        <f>населення!AR14+льготи!AQ14+субсидии!AQ14+'держ.бюджет'!AQ14+'місц.-район.бюджет'!AQ14+обласной!AQ14+'госпрозрахунк.'!AQ14</f>
        <v>0</v>
      </c>
      <c r="AR14" s="123">
        <f>населення!AS14+льготи!AR14+субсидии!AR14+'держ.бюджет'!AR14+'місц.-район.бюджет'!AR14+обласной!AR14+'госпрозрахунк.'!AR14</f>
        <v>0</v>
      </c>
      <c r="AS14" s="123">
        <f>населення!AT14+льготи!AS14+субсидии!AS14+'держ.бюджет'!AS14+'місц.-район.бюджет'!AS14+обласной!AS14+'госпрозрахунк.'!AS14</f>
        <v>3853.8999999999996</v>
      </c>
      <c r="AT14" s="123">
        <f>населення!AU14+льготи!AT14+субсидии!AT14+'держ.бюджет'!AT14+'місц.-район.бюджет'!AT14+обласной!AT14+'госпрозрахунк.'!AT14</f>
        <v>3775.2000000000003</v>
      </c>
      <c r="AU14" s="123">
        <f t="shared" si="9"/>
        <v>97.95791276369393</v>
      </c>
      <c r="AV14" s="123">
        <f>населення!AW14+льготи!AV14+субсидии!AV14+'держ.бюджет'!AV14+'місц.-район.бюджет'!AV14+обласной!AV14+'госпрозрахунк.'!AV14</f>
        <v>78.69999999999948</v>
      </c>
      <c r="AW14" s="123">
        <f>населення!AX14+льготи!AW14+субсидии!AW14+'держ.бюджет'!AW14+'місц.-район.бюджет'!AW14+обласной!AW14+'госпрозрахунк.'!AW14</f>
        <v>21.499999999999478</v>
      </c>
      <c r="AX14" s="20">
        <f t="shared" si="11"/>
        <v>3853.8999999999996</v>
      </c>
      <c r="AY14" s="20">
        <f t="shared" si="12"/>
        <v>3775.2000000000003</v>
      </c>
      <c r="AZ14" s="20">
        <f t="shared" si="10"/>
        <v>78.69999999999936</v>
      </c>
      <c r="BA14" s="20">
        <f t="shared" si="2"/>
        <v>21.499999999999545</v>
      </c>
    </row>
    <row r="15" spans="1:53" ht="24" customHeight="1">
      <c r="A15" s="6">
        <v>8</v>
      </c>
      <c r="B15" s="1" t="s">
        <v>25</v>
      </c>
      <c r="C15" s="123">
        <f>населення!C15+льготи!C15+субсидии!C15+'держ.бюджет'!C15+'місц.-район.бюджет'!C15+обласной!C15+'госпрозрахунк.'!C15</f>
        <v>3165.7999999999993</v>
      </c>
      <c r="D15" s="124">
        <f>населення!D15+льготи!D15+субсидии!D15+'держ.бюджет'!D15+'місц.-район.бюджет'!D15+обласной!D15+'госпрозрахунк.'!D15</f>
        <v>8505.1</v>
      </c>
      <c r="E15" s="124">
        <f>населення!E15+льготи!E15+субсидии!E15+'держ.бюджет'!E15+'місц.-район.бюджет'!E15+обласной!E15+'госпрозрахунк.'!E15</f>
        <v>2493.8999999999996</v>
      </c>
      <c r="F15" s="14">
        <f t="shared" si="3"/>
        <v>29.322406556066355</v>
      </c>
      <c r="G15" s="124">
        <f>населення!G15+льготи!G15+субсидии!G15+'держ.бюджет'!G15+'місц.-район.бюджет'!G15+обласной!G15+'госпрозрахунк.'!G15</f>
        <v>8238</v>
      </c>
      <c r="H15" s="124">
        <f>населення!H15+льготи!H15+субсидии!H15+'держ.бюджет'!H15+'місц.-район.бюджет'!H15+обласной!H15+'госпрозрахунк.'!H15</f>
        <v>5365.900000000001</v>
      </c>
      <c r="I15" s="14">
        <f t="shared" si="4"/>
        <v>65.13595532896335</v>
      </c>
      <c r="J15" s="124">
        <f>населення!J15+льготи!J15+субсидии!J15+'держ.бюджет'!J15+'місц.-район.бюджет'!J15+обласной!J15+'госпрозрахунк.'!J15</f>
        <v>7880.9</v>
      </c>
      <c r="K15" s="124">
        <f>населення!K15+льготи!K15+субсидии!K15+'держ.бюджет'!K15+'місц.-район.бюджет'!K15+обласной!K15+'госпрозрахунк.'!K15</f>
        <v>5575.9</v>
      </c>
      <c r="L15" s="14">
        <f t="shared" si="0"/>
        <v>70.7520714639191</v>
      </c>
      <c r="M15" s="123">
        <f>населення!M15+льготи!M15+субсидии!M15+'держ.бюджет'!M15+'місц.-район.бюджет'!M15+обласной!M15+'госпрозрахунк.'!M15</f>
        <v>24624</v>
      </c>
      <c r="N15" s="123">
        <f>населення!N15+льготи!N15+субсидии!N15+'держ.бюджет'!N15+'місц.-район.бюджет'!N15+обласной!N15+'госпрозрахунк.'!N15</f>
        <v>13435.699999999999</v>
      </c>
      <c r="O15" s="123">
        <f t="shared" si="5"/>
        <v>54.56343404808317</v>
      </c>
      <c r="P15" s="123">
        <f>населення!P15+льготи!P15+субсидии!P15+'держ.бюджет'!P15+'місц.-район.бюджет'!P15+обласной!P15+'госпрозрахунк.'!P15</f>
        <v>1104.6000000000001</v>
      </c>
      <c r="Q15" s="123">
        <f>населення!Q15+льготи!Q15+субсидии!Q15+'держ.бюджет'!Q15+'місц.-район.бюджет'!Q15+обласной!Q15+'госпрозрахунк.'!Q15</f>
        <v>7864.8</v>
      </c>
      <c r="R15" s="123">
        <f t="shared" si="6"/>
        <v>712.0043454644215</v>
      </c>
      <c r="S15" s="123">
        <f>населення!S15+льготи!S15+субсидии!S15+'держ.бюджет'!S15+'місц.-район.бюджет'!S15+обласной!S15+'госпрозрахунк.'!S15</f>
        <v>0</v>
      </c>
      <c r="T15" s="123">
        <f>населення!T15+льготи!T15+субсидии!T15+'держ.бюджет'!T15+'місц.-район.бюджет'!T15+обласной!T15+'госпрозрахунк.'!T15</f>
        <v>2038</v>
      </c>
      <c r="U15" s="123"/>
      <c r="V15" s="123">
        <f>населення!V15+льготи!V15+субсидии!V15+'держ.бюджет'!V15+'місц.-район.бюджет'!V15+обласной!V15+'госпрозрахунк.'!V15</f>
        <v>0</v>
      </c>
      <c r="W15" s="123">
        <f>населення!W15+льготи!W15+субсидии!W15+'держ.бюджет'!W15+'місц.-район.бюджет'!W15+обласной!W15+'госпрозрахунк.'!W15</f>
        <v>895.9</v>
      </c>
      <c r="X15" s="123"/>
      <c r="Y15" s="123">
        <f>населення!Y15+льготи!Y15+субсидии!Y15+'держ.бюджет'!Y15+'місц.-район.бюджет'!Y15+обласной!Y15+'госпрозрахунк.'!Y15</f>
        <v>1104.6000000000001</v>
      </c>
      <c r="Z15" s="123">
        <f>населення!Z15+льготи!Z15+субсидии!Z15+'держ.бюджет'!Z15+'місц.-район.бюджет'!Z15+обласной!Z15+'госпрозрахунк.'!Z15</f>
        <v>10798.699999999999</v>
      </c>
      <c r="AA15" s="123">
        <f t="shared" si="1"/>
        <v>977.6118051783449</v>
      </c>
      <c r="AB15" s="123">
        <f>населення!AB15+льготи!AB15+субсидии!AB15+'держ.бюджет'!AB15+'місц.-район.бюджет'!AB15+обласной!AB15+'госпрозрахунк.'!AB15</f>
        <v>0</v>
      </c>
      <c r="AC15" s="123">
        <f>населення!AC15+льготи!AC15+субсидии!AC15+'держ.бюджет'!AC15+'місц.-район.бюджет'!AC15+обласной!AC15+'госпрозрахунк.'!AC15</f>
        <v>841.3</v>
      </c>
      <c r="AD15" s="125" t="e">
        <f t="shared" si="7"/>
        <v>#DIV/0!</v>
      </c>
      <c r="AE15" s="123">
        <f>населення!AE15+льготи!AE15+субсидии!AE15+'держ.бюджет'!AE15+'місц.-район.бюджет'!AE15+обласной!AE15+'госпрозрахунк.'!AE15</f>
        <v>0</v>
      </c>
      <c r="AF15" s="123">
        <f>населення!AF15+льготи!AF15+субсидии!AF15+'держ.бюджет'!AF15+'місц.-район.бюджет'!AF15+обласной!AF15+'госпрозрахунк.'!AF15</f>
        <v>0</v>
      </c>
      <c r="AG15" s="125" t="e">
        <f>AF15/AE15*100</f>
        <v>#DIV/0!</v>
      </c>
      <c r="AH15" s="123">
        <f>населення!AH15+льготи!AH15+субсидии!AH15+'держ.бюджет'!AH15+'місц.-район.бюджет'!AH15+обласной!AH15+'госпрозрахунк.'!AH15</f>
        <v>0</v>
      </c>
      <c r="AI15" s="123">
        <f>населення!AI15+льготи!AI15+субсидии!AI15+'держ.бюджет'!AI15+'місц.-район.бюджет'!AI15+обласной!AI15+'госпрозрахунк.'!AI15</f>
        <v>0</v>
      </c>
      <c r="AJ15" s="123">
        <f>населення!AJ15+льготи!AJ15+субсидии!AJ15+'держ.бюджет'!AJ15+'місц.-район.бюджет'!AJ15+обласной!AJ15+'госпрозрахунк.'!AJ15</f>
        <v>0</v>
      </c>
      <c r="AK15" s="123">
        <f>населення!AK15+льготи!AK15+субсидии!AK15+'держ.бюджет'!AK15+'місц.-район.бюджет'!AK15+обласной!AK15+'госпрозрахунк.'!AK15</f>
        <v>841.3</v>
      </c>
      <c r="AL15" s="125" t="e">
        <f t="shared" si="8"/>
        <v>#DIV/0!</v>
      </c>
      <c r="AM15" s="123">
        <f>населення!AM15+льготи!AM15+субсидии!AM15+'держ.бюджет'!AM15+'місц.-район.бюджет'!AM15+обласной!AM15+'госпрозрахунк.'!AM15</f>
        <v>0</v>
      </c>
      <c r="AN15" s="123">
        <f>населення!AN15+льготи!AN15+субсидии!AN15+'держ.бюджет'!AN15+'місц.-район.бюджет'!AN15+обласной!AN15+'госпрозрахунк.'!AN15</f>
        <v>0</v>
      </c>
      <c r="AO15" s="123">
        <f>населення!AO15+льготи!AO15+субсидии!AO15+'держ.бюджет'!AO15+'місц.-район.бюджет'!AO15+обласной!AO15+'госпрозрахунк.'!AO15</f>
        <v>0</v>
      </c>
      <c r="AP15" s="123">
        <f>населення!AP15+льготи!AP15+субсидии!AP15+'держ.бюджет'!AP15+'місц.-район.бюджет'!AP15+обласной!AP15+'госпрозрахунк.'!AP15</f>
        <v>0</v>
      </c>
      <c r="AQ15" s="123">
        <f>населення!AR15+льготи!AQ15+субсидии!AQ15+'держ.бюджет'!AQ15+'місц.-район.бюджет'!AQ15+обласной!AQ15+'госпрозрахунк.'!AQ15</f>
        <v>0</v>
      </c>
      <c r="AR15" s="123">
        <f>населення!AS15+льготи!AR15+субсидии!AR15+'держ.бюджет'!AR15+'місц.-район.бюджет'!AR15+обласной!AR15+'госпрозрахунк.'!AR15</f>
        <v>0</v>
      </c>
      <c r="AS15" s="123">
        <f>населення!AT15+льготи!AS15+субсидии!AS15+'держ.бюджет'!AS15+'місц.-район.бюджет'!AS15+обласной!AS15+'госпрозрахунк.'!AS15</f>
        <v>25728.6</v>
      </c>
      <c r="AT15" s="123">
        <f>населення!AU15+льготи!AT15+субсидии!AT15+'держ.бюджет'!AT15+'місц.-район.бюджет'!AT15+обласной!AT15+'госпрозрахунк.'!AT15</f>
        <v>25075.699999999997</v>
      </c>
      <c r="AU15" s="123">
        <f t="shared" si="9"/>
        <v>97.46235706567788</v>
      </c>
      <c r="AV15" s="123">
        <f>населення!AW15+льготи!AV15+субсидии!AV15+'держ.бюджет'!AV15+'місц.-район.бюджет'!AV15+обласной!AV15+'госпрозрахунк.'!AV15</f>
        <v>652.9000000000019</v>
      </c>
      <c r="AW15" s="123">
        <f>населення!AX15+льготи!AW15+субсидии!AW15+'держ.бюджет'!AW15+'місц.-район.бюджет'!AW15+обласной!AW15+'госпрозрахунк.'!AW15</f>
        <v>3818.700000000003</v>
      </c>
      <c r="AX15" s="20">
        <f t="shared" si="11"/>
        <v>25728.6</v>
      </c>
      <c r="AY15" s="20">
        <f t="shared" si="12"/>
        <v>25075.699999999997</v>
      </c>
      <c r="AZ15" s="20">
        <f t="shared" si="10"/>
        <v>652.9000000000015</v>
      </c>
      <c r="BA15" s="20">
        <f t="shared" si="2"/>
        <v>3818.7000000000007</v>
      </c>
    </row>
    <row r="16" spans="1:53" ht="24" customHeight="1">
      <c r="A16" s="19">
        <v>9</v>
      </c>
      <c r="B16" s="1" t="s">
        <v>88</v>
      </c>
      <c r="C16" s="123">
        <f>населення!C16+льготи!C16+субсидии!C16+'держ.бюджет'!C16+'місц.-район.бюджет'!C16+обласной!C16+'госпрозрахунк.'!C16</f>
        <v>-484.9</v>
      </c>
      <c r="D16" s="124">
        <f>населення!D16+льготи!D16+субсидии!D16+'держ.бюджет'!D16+'місц.-район.бюджет'!D16+обласной!D16+'госпрозрахунк.'!D16</f>
        <v>1634.1</v>
      </c>
      <c r="E16" s="124">
        <f>населення!E16+льготи!E16+субсидии!E16+'держ.бюджет'!E16+'місц.-район.бюджет'!E16+обласной!E16+'госпрозрахунк.'!E16</f>
        <v>0</v>
      </c>
      <c r="F16" s="14">
        <f t="shared" si="3"/>
        <v>0</v>
      </c>
      <c r="G16" s="124">
        <f>населення!G16+льготи!G16+субсидии!G16+'держ.бюджет'!G16+'місц.-район.бюджет'!G16+обласной!G16+'госпрозрахунк.'!G16</f>
        <v>1927.3</v>
      </c>
      <c r="H16" s="124">
        <f>населення!H16+льготи!H16+субсидии!H16+'держ.бюджет'!H16+'місц.-район.бюджет'!H16+обласной!H16+'госпрозрахунк.'!H16</f>
        <v>1157.2</v>
      </c>
      <c r="I16" s="14">
        <f t="shared" si="4"/>
        <v>60.042546567737254</v>
      </c>
      <c r="J16" s="124">
        <f>населення!J16+льготи!J16+субсидии!J16+'держ.бюджет'!J16+'місц.-район.бюджет'!J16+обласной!J16+'госпрозрахунк.'!J16</f>
        <v>1834.7</v>
      </c>
      <c r="K16" s="124">
        <f>населення!K16+льготи!K16+субсидии!K16+'держ.бюджет'!K16+'місц.-район.бюджет'!K16+обласной!K16+'госпрозрахунк.'!K16</f>
        <v>525</v>
      </c>
      <c r="L16" s="14">
        <f t="shared" si="0"/>
        <v>28.615032430370086</v>
      </c>
      <c r="M16" s="123">
        <f>населення!M16+льготи!M16+субсидии!M16+'держ.бюджет'!M16+'місц.-район.бюджет'!M16+обласной!M16+'госпрозрахунк.'!M16</f>
        <v>5396.099999999999</v>
      </c>
      <c r="N16" s="123">
        <f>населення!N16+льготи!N16+субсидии!N16+'держ.бюджет'!N16+'місц.-район.бюджет'!N16+обласной!N16+'госпрозрахунк.'!N16</f>
        <v>1682.2</v>
      </c>
      <c r="O16" s="123">
        <f t="shared" si="5"/>
        <v>31.17436667222624</v>
      </c>
      <c r="P16" s="123">
        <f>населення!P16+льготи!P16+субсидии!P16+'держ.бюджет'!P16+'місц.-район.бюджет'!P16+обласной!P16+'госпрозрахунк.'!P16</f>
        <v>98.1</v>
      </c>
      <c r="Q16" s="123">
        <f>населення!Q16+льготи!Q16+субсидии!Q16+'держ.бюджет'!Q16+'місц.-район.бюджет'!Q16+обласной!Q16+'госпрозрахунк.'!Q16</f>
        <v>472.1</v>
      </c>
      <c r="R16" s="123">
        <f t="shared" si="6"/>
        <v>481.24362895005106</v>
      </c>
      <c r="S16" s="123">
        <f>населення!S16+льготи!S16+субсидии!S16+'держ.бюджет'!S16+'місц.-район.бюджет'!S16+обласной!S16+'госпрозрахунк.'!S16</f>
        <v>0</v>
      </c>
      <c r="T16" s="123">
        <f>населення!T16+льготи!T16+субсидии!T16+'держ.бюджет'!T16+'місц.-район.бюджет'!T16+обласной!T16+'госпрозрахунк.'!T16</f>
        <v>537</v>
      </c>
      <c r="U16" s="123"/>
      <c r="V16" s="123">
        <f>населення!V16+льготи!V16+субсидии!V16+'держ.бюджет'!V16+'місц.-район.бюджет'!V16+обласной!V16+'госпрозрахунк.'!V16</f>
        <v>0</v>
      </c>
      <c r="W16" s="123">
        <f>населення!W16+льготи!W16+субсидии!W16+'держ.бюджет'!W16+'місц.-район.бюджет'!W16+обласной!W16+'госпрозрахунк.'!W16</f>
        <v>250.1</v>
      </c>
      <c r="X16" s="123"/>
      <c r="Y16" s="123">
        <f>населення!Y16+льготи!Y16+субсидии!Y16+'держ.бюджет'!Y16+'місц.-район.бюджет'!Y16+обласной!Y16+'госпрозрахунк.'!Y16</f>
        <v>98.1</v>
      </c>
      <c r="Z16" s="123">
        <f>населення!Z16+льготи!Z16+субсидии!Z16+'держ.бюджет'!Z16+'місц.-район.бюджет'!Z16+обласной!Z16+'госпрозрахунк.'!Z16</f>
        <v>1259.1999999999998</v>
      </c>
      <c r="AA16" s="123">
        <f t="shared" si="1"/>
        <v>1283.5881753312945</v>
      </c>
      <c r="AB16" s="123">
        <f>населення!AB16+льготи!AB16+субсидии!AB16+'держ.бюджет'!AB16+'місц.-район.бюджет'!AB16+обласной!AB16+'госпрозрахунк.'!AB16</f>
        <v>0</v>
      </c>
      <c r="AC16" s="123">
        <f>населення!AC16+льготи!AC16+субсидии!AC16+'держ.бюджет'!AC16+'місц.-район.бюджет'!AC16+обласной!AC16+'госпрозрахунк.'!AC16</f>
        <v>300.5</v>
      </c>
      <c r="AD16" s="125" t="e">
        <f t="shared" si="7"/>
        <v>#DIV/0!</v>
      </c>
      <c r="AE16" s="123">
        <f>населення!AE16+льготи!AE16+субсидии!AE16+'держ.бюджет'!AE16+'місц.-район.бюджет'!AE16+обласной!AE16+'госпрозрахунк.'!AE16</f>
        <v>0</v>
      </c>
      <c r="AF16" s="123">
        <f>населення!AF16+льготи!AF16+субсидии!AF16+'держ.бюджет'!AF16+'місц.-район.бюджет'!AF16+обласной!AF16+'госпрозрахунк.'!AF16</f>
        <v>0</v>
      </c>
      <c r="AG16" s="125" t="e">
        <f>AF16/AE16*100</f>
        <v>#DIV/0!</v>
      </c>
      <c r="AH16" s="123">
        <f>населення!AH16+льготи!AH16+субсидии!AH16+'держ.бюджет'!AH16+'місц.-район.бюджет'!AH16+обласной!AH16+'госпрозрахунк.'!AH16</f>
        <v>0</v>
      </c>
      <c r="AI16" s="123">
        <f>населення!AI16+льготи!AI16+субсидии!AI16+'держ.бюджет'!AI16+'місц.-район.бюджет'!AI16+обласной!AI16+'госпрозрахунк.'!AI16</f>
        <v>0</v>
      </c>
      <c r="AJ16" s="123">
        <f>населення!AJ16+льготи!AJ16+субсидии!AJ16+'держ.бюджет'!AJ16+'місц.-район.бюджет'!AJ16+обласной!AJ16+'госпрозрахунк.'!AJ16</f>
        <v>0</v>
      </c>
      <c r="AK16" s="123">
        <f>населення!AK16+льготи!AK16+субсидии!AK16+'держ.бюджет'!AK16+'місц.-район.бюджет'!AK16+обласной!AK16+'госпрозрахунк.'!AK16</f>
        <v>300.5</v>
      </c>
      <c r="AL16" s="125" t="e">
        <f t="shared" si="8"/>
        <v>#DIV/0!</v>
      </c>
      <c r="AM16" s="123">
        <f>населення!AM16+льготи!AM16+субсидии!AM16+'держ.бюджет'!AM16+'місц.-район.бюджет'!AM16+обласной!AM16+'госпрозрахунк.'!AM16</f>
        <v>0</v>
      </c>
      <c r="AN16" s="123">
        <f>населення!AN16+льготи!AN16+субсидии!AN16+'держ.бюджет'!AN16+'місц.-район.бюджет'!AN16+обласной!AN16+'госпрозрахунк.'!AN16</f>
        <v>0</v>
      </c>
      <c r="AO16" s="123">
        <f>населення!AO16+льготи!AO16+субсидии!AO16+'держ.бюджет'!AO16+'місц.-район.бюджет'!AO16+обласной!AO16+'госпрозрахунк.'!AO16</f>
        <v>0</v>
      </c>
      <c r="AP16" s="123">
        <f>населення!AP16+льготи!AP16+субсидии!AP16+'держ.бюджет'!AP16+'місц.-район.бюджет'!AP16+обласной!AP16+'госпрозрахунк.'!AP16</f>
        <v>0</v>
      </c>
      <c r="AQ16" s="123">
        <f>населення!AR16+льготи!AQ16+субсидии!AQ16+'держ.бюджет'!AQ16+'місц.-район.бюджет'!AQ16+обласной!AQ16+'госпрозрахунк.'!AQ16</f>
        <v>0</v>
      </c>
      <c r="AR16" s="123">
        <f>населення!AS16+льготи!AR16+субсидии!AR16+'держ.бюджет'!AR16+'місц.-район.бюджет'!AR16+обласной!AR16+'госпрозрахунк.'!AR16</f>
        <v>0</v>
      </c>
      <c r="AS16" s="123">
        <f>населення!AT16+льготи!AS16+субсидии!AS16+'держ.бюджет'!AS16+'місц.-район.бюджет'!AS16+обласной!AS16+'госпрозрахунк.'!AS16</f>
        <v>5494.2</v>
      </c>
      <c r="AT16" s="123">
        <f>населення!AU16+льготи!AT16+субсидии!AT16+'держ.бюджет'!AT16+'місц.-район.бюджет'!AT16+обласной!AT16+'госпрозрахунк.'!AT16</f>
        <v>3241.9</v>
      </c>
      <c r="AU16" s="123">
        <f t="shared" si="9"/>
        <v>59.005860725856365</v>
      </c>
      <c r="AV16" s="123">
        <f>населення!AW16+льготи!AV16+субсидии!AV16+'держ.бюджет'!AV16+'місц.-район.бюджет'!AV16+обласной!AV16+'госпрозрахунк.'!AV16</f>
        <v>2252.2999999999997</v>
      </c>
      <c r="AW16" s="123">
        <f>населення!AX16+льготи!AW16+субсидии!AW16+'держ.бюджет'!AW16+'місц.-район.бюджет'!AW16+обласной!AW16+'госпрозрахунк.'!AW16</f>
        <v>1767.3999999999996</v>
      </c>
      <c r="AX16" s="20">
        <f t="shared" si="11"/>
        <v>5494.2</v>
      </c>
      <c r="AY16" s="20">
        <f t="shared" si="12"/>
        <v>3241.8999999999996</v>
      </c>
      <c r="AZ16" s="20">
        <f t="shared" si="10"/>
        <v>2252.3</v>
      </c>
      <c r="BA16" s="20">
        <f t="shared" si="2"/>
        <v>1767.4000000000005</v>
      </c>
    </row>
    <row r="17" spans="1:53" ht="24" customHeight="1">
      <c r="A17" s="19">
        <v>10</v>
      </c>
      <c r="B17" s="15" t="s">
        <v>94</v>
      </c>
      <c r="C17" s="123">
        <f>населення!C17+льготи!C17+субсидии!C17+'держ.бюджет'!C17+'місц.-район.бюджет'!C17+обласной!C17+'госпрозрахунк.'!C17</f>
        <v>6229.9</v>
      </c>
      <c r="D17" s="124">
        <f>населення!D17+льготи!D17+субсидии!D17+'держ.бюджет'!D17+'місц.-район.бюджет'!D17+обласной!D17+'госпрозрахунк.'!D17</f>
        <v>3404.8</v>
      </c>
      <c r="E17" s="124">
        <f>населення!E17+льготи!E17+субсидии!E17+'держ.бюджет'!E17+'місц.-район.бюджет'!E17+обласной!E17+'госпрозрахунк.'!E17</f>
        <v>473.2</v>
      </c>
      <c r="F17" s="14">
        <f t="shared" si="3"/>
        <v>13.898026315789473</v>
      </c>
      <c r="G17" s="124">
        <f>населення!G17+льготи!G17+субсидии!G17+'держ.бюджет'!G17+'місц.-район.бюджет'!G17+обласной!G17+'госпрозрахунк.'!G17</f>
        <v>4153.3</v>
      </c>
      <c r="H17" s="124">
        <f>населення!H17+льготи!H17+субсидии!H17+'держ.бюджет'!H17+'місц.-район.бюджет'!H17+обласной!H17+'госпрозрахунк.'!H17</f>
        <v>2061.3</v>
      </c>
      <c r="I17" s="14">
        <f t="shared" si="4"/>
        <v>49.6304143692967</v>
      </c>
      <c r="J17" s="124">
        <f>населення!J17+льготи!J17+субсидии!J17+'держ.бюджет'!J17+'місц.-район.бюджет'!J17+обласной!J17+'госпрозрахунк.'!J17</f>
        <v>4624.5</v>
      </c>
      <c r="K17" s="124">
        <f>населення!K17+льготи!K17+субсидии!K17+'держ.бюджет'!K17+'місц.-район.бюджет'!K17+обласной!K17+'госпрозрахунк.'!K17</f>
        <v>2825.5</v>
      </c>
      <c r="L17" s="14">
        <f t="shared" si="0"/>
        <v>61.098497134825394</v>
      </c>
      <c r="M17" s="123">
        <f>населення!M17+льготи!M17+субсидии!M17+'держ.бюджет'!M17+'місц.-район.бюджет'!M17+обласной!M17+'госпрозрахунк.'!M17</f>
        <v>12182.6</v>
      </c>
      <c r="N17" s="123">
        <f>населення!N17+льготи!N17+субсидии!N17+'держ.бюджет'!N17+'місц.-район.бюджет'!N17+обласной!N17+'госпрозрахунк.'!N17</f>
        <v>5360</v>
      </c>
      <c r="O17" s="123">
        <f t="shared" si="5"/>
        <v>43.997176300625476</v>
      </c>
      <c r="P17" s="123">
        <f>населення!P17+льготи!P17+субсидии!P17+'держ.бюджет'!P17+'місц.-район.бюджет'!P17+обласной!P17+'госпрозрахунк.'!P17</f>
        <v>476.1</v>
      </c>
      <c r="Q17" s="123">
        <f>населення!Q17+льготи!Q17+субсидии!Q17+'держ.бюджет'!Q17+'місц.-район.бюджет'!Q17+обласной!Q17+'госпрозрахунк.'!Q17</f>
        <v>3961.2999999999997</v>
      </c>
      <c r="R17" s="123">
        <f t="shared" si="6"/>
        <v>832.0310859063221</v>
      </c>
      <c r="S17" s="123">
        <f>населення!S17+льготи!S17+субсидии!S17+'держ.бюджет'!S17+'місц.-район.бюджет'!S17+обласной!S17+'госпрозрахунк.'!S17</f>
        <v>-8</v>
      </c>
      <c r="T17" s="123">
        <f>населення!T17+льготи!T17+субсидии!T17+'держ.бюджет'!T17+'місц.-район.бюджет'!T17+обласной!T17+'госпрозрахунк.'!T17</f>
        <v>700.6999999999999</v>
      </c>
      <c r="U17" s="123">
        <f>T17/S17*100</f>
        <v>-8758.75</v>
      </c>
      <c r="V17" s="123">
        <f>населення!V17+льготи!V17+субсидии!V17+'держ.бюджет'!V17+'місц.-район.бюджет'!V17+обласной!V17+'госпрозрахунк.'!V17</f>
        <v>0</v>
      </c>
      <c r="W17" s="123">
        <f>населення!W17+льготи!W17+субсидии!W17+'держ.бюджет'!W17+'місц.-район.бюджет'!W17+обласной!W17+'госпрозрахунк.'!W17</f>
        <v>272</v>
      </c>
      <c r="X17" s="123" t="e">
        <f>W17/V17*100</f>
        <v>#DIV/0!</v>
      </c>
      <c r="Y17" s="123">
        <f>населення!Y17+льготи!Y17+субсидии!Y17+'держ.бюджет'!Y17+'місц.-район.бюджет'!Y17+обласной!Y17+'госпрозрахунк.'!Y17</f>
        <v>468.1</v>
      </c>
      <c r="Z17" s="123">
        <f>населення!Z17+льготи!Z17+субсидии!Z17+'держ.бюджет'!Z17+'місц.-район.бюджет'!Z17+обласной!Z17+'госпрозрахунк.'!Z17</f>
        <v>4934</v>
      </c>
      <c r="AA17" s="123">
        <f t="shared" si="1"/>
        <v>1054.0482802819909</v>
      </c>
      <c r="AB17" s="123">
        <f>населення!AB17+льготи!AB17+субсидии!AB17+'держ.бюджет'!AB17+'місц.-район.бюджет'!AB17+обласной!AB17+'госпрозрахунк.'!AB17</f>
        <v>0</v>
      </c>
      <c r="AC17" s="123">
        <f>населення!AC17+льготи!AC17+субсидии!AC17+'держ.бюджет'!AC17+'місц.-район.бюджет'!AC17+обласной!AC17+'госпрозрахунк.'!AC17</f>
        <v>370.3</v>
      </c>
      <c r="AD17" s="123" t="e">
        <f t="shared" si="7"/>
        <v>#DIV/0!</v>
      </c>
      <c r="AE17" s="123">
        <f>населення!AE17+льготи!AE17+субсидии!AE17+'держ.бюджет'!AE17+'місц.-район.бюджет'!AE17+обласной!AE17+'госпрозрахунк.'!AE17</f>
        <v>0</v>
      </c>
      <c r="AF17" s="123">
        <f>населення!AF17+льготи!AF17+субсидии!AF17+'держ.бюджет'!AF17+'місц.-район.бюджет'!AF17+обласной!AF17+'госпрозрахунк.'!AF17</f>
        <v>0</v>
      </c>
      <c r="AG17" s="123" t="e">
        <f>AF17/AE17*100</f>
        <v>#DIV/0!</v>
      </c>
      <c r="AH17" s="123">
        <f>населення!AH17+льготи!AH17+субсидии!AH17+'держ.бюджет'!AH17+'місц.-район.бюджет'!AH17+обласной!AH17+'госпрозрахунк.'!AH17</f>
        <v>0</v>
      </c>
      <c r="AI17" s="123">
        <f>населення!AI17+льготи!AI17+субсидии!AI17+'держ.бюджет'!AI17+'місц.-район.бюджет'!AI17+обласной!AI17+'госпрозрахунк.'!AI17</f>
        <v>0</v>
      </c>
      <c r="AJ17" s="123">
        <f>населення!AJ17+льготи!AJ17+субсидии!AJ17+'держ.бюджет'!AJ17+'місц.-район.бюджет'!AJ17+обласной!AJ17+'госпрозрахунк.'!AJ17</f>
        <v>0</v>
      </c>
      <c r="AK17" s="123">
        <f>населення!AK17+льготи!AK17+субсидии!AK17+'держ.бюджет'!AK17+'місц.-район.бюджет'!AK17+обласной!AK17+'госпрозрахунк.'!AK17</f>
        <v>370.3</v>
      </c>
      <c r="AL17" s="125" t="e">
        <f t="shared" si="8"/>
        <v>#DIV/0!</v>
      </c>
      <c r="AM17" s="123">
        <f>населення!AM17+льготи!AM17+субсидии!AM17+'держ.бюджет'!AM17+'місц.-район.бюджет'!AM17+обласной!AM17+'госпрозрахунк.'!AM17</f>
        <v>0</v>
      </c>
      <c r="AN17" s="123">
        <f>населення!AN17+льготи!AN17+субсидии!AN17+'держ.бюджет'!AN17+'місц.-район.бюджет'!AN17+обласной!AN17+'госпрозрахунк.'!AN17</f>
        <v>0</v>
      </c>
      <c r="AO17" s="123">
        <f>населення!AO17+льготи!AO17+субсидии!AO17+'держ.бюджет'!AO17+'місц.-район.бюджет'!AO17+обласной!AO17+'госпрозрахунк.'!AO17</f>
        <v>0</v>
      </c>
      <c r="AP17" s="123">
        <f>населення!AP17+льготи!AP17+субсидии!AP17+'держ.бюджет'!AP17+'місц.-район.бюджет'!AP17+обласной!AP17+'госпрозрахунк.'!AP17</f>
        <v>0</v>
      </c>
      <c r="AQ17" s="123">
        <f>населення!AR17+льготи!AQ17+субсидии!AQ17+'держ.бюджет'!AQ17+'місц.-район.бюджет'!AQ17+обласной!AQ17+'госпрозрахунк.'!AQ17</f>
        <v>0</v>
      </c>
      <c r="AR17" s="123">
        <f>населення!AS17+льготи!AR17+субсидии!AR17+'держ.бюджет'!AR17+'місц.-район.бюджет'!AR17+обласной!AR17+'госпрозрахунк.'!AR17</f>
        <v>0</v>
      </c>
      <c r="AS17" s="123">
        <f>населення!AT17+льготи!AS17+субсидии!AS17+'держ.бюджет'!AS17+'місц.-район.бюджет'!AS17+обласной!AS17+'госпрозрахунк.'!AS17</f>
        <v>12650.7</v>
      </c>
      <c r="AT17" s="123">
        <f>населення!AU17+льготи!AT17+субсидии!AT17+'держ.бюджет'!AT17+'місц.-район.бюджет'!AT17+обласной!AT17+'госпрозрахунк.'!AT17</f>
        <v>10664.3</v>
      </c>
      <c r="AU17" s="123">
        <f t="shared" si="9"/>
        <v>84.29810208130775</v>
      </c>
      <c r="AV17" s="123">
        <f>населення!AW17+льготи!AV17+субсидии!AV17+'держ.бюджет'!AV17+'місц.-район.бюджет'!AV17+обласной!AV17+'госпрозрахунк.'!AV17</f>
        <v>1986.4000000000003</v>
      </c>
      <c r="AW17" s="123">
        <f>населення!AX17+льготи!AW17+субсидии!AW17+'держ.бюджет'!AW17+'місц.-район.бюджет'!AW17+обласной!AW17+'госпрозрахунк.'!AW17</f>
        <v>8216.3</v>
      </c>
      <c r="AX17" s="20">
        <f t="shared" si="11"/>
        <v>12650.7</v>
      </c>
      <c r="AY17" s="20">
        <f t="shared" si="12"/>
        <v>10664.3</v>
      </c>
      <c r="AZ17" s="20">
        <f t="shared" si="10"/>
        <v>1986.4000000000015</v>
      </c>
      <c r="BA17" s="20">
        <f t="shared" si="2"/>
        <v>8216.3</v>
      </c>
    </row>
    <row r="18" spans="1:53" ht="24" customHeight="1">
      <c r="A18" s="19">
        <v>11</v>
      </c>
      <c r="B18" s="15" t="s">
        <v>26</v>
      </c>
      <c r="C18" s="123">
        <f>населення!C18+льготи!C18+субсидии!C18+'держ.бюджет'!C18+'місц.-район.бюджет'!C18+обласной!C18+'госпрозрахунк.'!C18</f>
        <v>150.2</v>
      </c>
      <c r="D18" s="124">
        <f>населення!D18+льготи!D18+субсидии!D18+'держ.бюджет'!D18+'місц.-район.бюджет'!D18+обласной!D18+'госпрозрахунк.'!D18</f>
        <v>707.1</v>
      </c>
      <c r="E18" s="124">
        <f>населення!E18+льготи!E18+субсидии!E18+'держ.бюджет'!E18+'місц.-район.бюджет'!E18+обласной!E18+'госпрозрахунк.'!E18</f>
        <v>470.1</v>
      </c>
      <c r="F18" s="14">
        <f t="shared" si="3"/>
        <v>66.48281714043276</v>
      </c>
      <c r="G18" s="124">
        <f>населення!G18+льготи!G18+субсидии!G18+'держ.бюджет'!G18+'місц.-район.бюджет'!G18+обласной!G18+'госпрозрахунк.'!G18</f>
        <v>777.6</v>
      </c>
      <c r="H18" s="124">
        <f>населення!H18+льготи!H18+субсидии!H18+'держ.бюджет'!H18+'місц.-район.бюджет'!H18+обласной!H18+'госпрозрахунк.'!H18</f>
        <v>646.6</v>
      </c>
      <c r="I18" s="14">
        <f t="shared" si="4"/>
        <v>83.15329218106996</v>
      </c>
      <c r="J18" s="124">
        <f>населення!J18+льготи!J18+субсидии!J18+'держ.бюджет'!J18+'місц.-район.бюджет'!J18+обласной!J18+'госпрозрахунк.'!J18</f>
        <v>606</v>
      </c>
      <c r="K18" s="124">
        <f>населення!K18+льготи!K18+субсидии!K18+'держ.бюджет'!K18+'місц.-район.бюджет'!K18+обласной!K18+'госпрозрахунк.'!K18</f>
        <v>501.29999999999995</v>
      </c>
      <c r="L18" s="14">
        <f t="shared" si="0"/>
        <v>82.72277227722772</v>
      </c>
      <c r="M18" s="123">
        <f>населення!M18+льготи!M18+субсидии!M18+'держ.бюджет'!M18+'місц.-район.бюджет'!M18+обласной!M18+'госпрозрахунк.'!M18</f>
        <v>2090.7</v>
      </c>
      <c r="N18" s="123">
        <f>населення!N18+льготи!N18+субсидии!N18+'держ.бюджет'!N18+'місц.-район.бюджет'!N18+обласной!N18+'госпрозрахунк.'!N18</f>
        <v>1618.0000000000002</v>
      </c>
      <c r="O18" s="123">
        <f t="shared" si="5"/>
        <v>77.39034773042523</v>
      </c>
      <c r="P18" s="123">
        <f>населення!P18+льготи!P18+субсидии!P18+'держ.бюджет'!P18+'місц.-район.бюджет'!P18+обласной!P18+'госпрозрахунк.'!P18</f>
        <v>280.9</v>
      </c>
      <c r="Q18" s="123">
        <f>населення!Q18+льготи!Q18+субсидии!Q18+'держ.бюджет'!Q18+'місц.-район.бюджет'!Q18+обласной!Q18+'госпрозрахунк.'!Q18</f>
        <v>495.7</v>
      </c>
      <c r="R18" s="123">
        <f t="shared" si="6"/>
        <v>176.4684941260235</v>
      </c>
      <c r="S18" s="123">
        <f>населення!S18+льготи!S18+субсидии!S18+'держ.бюджет'!S18+'місц.-район.бюджет'!S18+обласной!S18+'госпрозрахунк.'!S18</f>
        <v>0</v>
      </c>
      <c r="T18" s="123">
        <f>населення!T18+льготи!T18+субсидии!T18+'держ.бюджет'!T18+'місц.-район.бюджет'!T18+обласной!T18+'госпрозрахунк.'!T18</f>
        <v>212.3</v>
      </c>
      <c r="U18" s="123"/>
      <c r="V18" s="123">
        <f>населення!V18+льготи!V18+субсидии!V18+'держ.бюджет'!V18+'місц.-район.бюджет'!V18+обласной!V18+'госпрозрахунк.'!V18</f>
        <v>0</v>
      </c>
      <c r="W18" s="123">
        <f>населення!W18+льготи!W18+субсидии!W18+'держ.бюджет'!W18+'місц.-район.бюджет'!W18+обласной!W18+'госпрозрахунк.'!W18</f>
        <v>39.7</v>
      </c>
      <c r="X18" s="123"/>
      <c r="Y18" s="123">
        <f>населення!Y18+льготи!Y18+субсидии!Y18+'держ.бюджет'!Y18+'місц.-район.бюджет'!Y18+обласной!Y18+'госпрозрахунк.'!Y18</f>
        <v>280.9</v>
      </c>
      <c r="Z18" s="123">
        <f>населення!Z18+льготи!Z18+субсидии!Z18+'держ.бюджет'!Z18+'місц.-район.бюджет'!Z18+обласной!Z18+'госпрозрахунк.'!Z18</f>
        <v>747.7</v>
      </c>
      <c r="AA18" s="123">
        <f t="shared" si="1"/>
        <v>266.1801352794589</v>
      </c>
      <c r="AB18" s="123">
        <f>населення!AB18+льготи!AB18+субсидии!AB18+'держ.бюджет'!AB18+'місц.-район.бюджет'!AB18+обласной!AB18+'госпрозрахунк.'!AB18</f>
        <v>0</v>
      </c>
      <c r="AC18" s="123">
        <f>населення!AC18+льготи!AC18+субсидии!AC18+'держ.бюджет'!AC18+'місц.-район.бюджет'!AC18+обласной!AC18+'госпрозрахунк.'!AC18</f>
        <v>29.5</v>
      </c>
      <c r="AD18" s="125" t="e">
        <f t="shared" si="7"/>
        <v>#DIV/0!</v>
      </c>
      <c r="AE18" s="123">
        <f>населення!AE18+льготи!AE18+субсидии!AE18+'держ.бюджет'!AE18+'місц.-район.бюджет'!AE18+обласной!AE18+'госпрозрахунк.'!AE18</f>
        <v>0</v>
      </c>
      <c r="AF18" s="123">
        <f>населення!AF18+льготи!AF18+субсидии!AF18+'держ.бюджет'!AF18+'місц.-район.бюджет'!AF18+обласной!AF18+'госпрозрахунк.'!AF18</f>
        <v>0</v>
      </c>
      <c r="AG18" s="125" t="e">
        <f>AF18/AE18*100</f>
        <v>#DIV/0!</v>
      </c>
      <c r="AH18" s="123">
        <f>населення!AH18+льготи!AH18+субсидии!AH18+'держ.бюджет'!AH18+'місц.-район.бюджет'!AH18+обласной!AH18+'госпрозрахунк.'!AH18</f>
        <v>0</v>
      </c>
      <c r="AI18" s="123">
        <f>населення!AI18+льготи!AI18+субсидии!AI18+'держ.бюджет'!AI18+'місц.-район.бюджет'!AI18+обласной!AI18+'госпрозрахунк.'!AI18</f>
        <v>0</v>
      </c>
      <c r="AJ18" s="123">
        <f>населення!AJ18+льготи!AJ18+субсидии!AJ18+'держ.бюджет'!AJ18+'місц.-район.бюджет'!AJ18+обласной!AJ18+'госпрозрахунк.'!AJ18</f>
        <v>0</v>
      </c>
      <c r="AK18" s="123">
        <f>населення!AK18+льготи!AK18+субсидии!AK18+'держ.бюджет'!AK18+'місц.-район.бюджет'!AK18+обласной!AK18+'госпрозрахунк.'!AK18</f>
        <v>29.5</v>
      </c>
      <c r="AL18" s="125" t="e">
        <f t="shared" si="8"/>
        <v>#DIV/0!</v>
      </c>
      <c r="AM18" s="123">
        <f>населення!AM18+льготи!AM18+субсидии!AM18+'держ.бюджет'!AM18+'місц.-район.бюджет'!AM18+обласной!AM18+'госпрозрахунк.'!AM18</f>
        <v>0</v>
      </c>
      <c r="AN18" s="123">
        <f>населення!AN18+льготи!AN18+субсидии!AN18+'держ.бюджет'!AN18+'місц.-район.бюджет'!AN18+обласной!AN18+'госпрозрахунк.'!AN18</f>
        <v>0</v>
      </c>
      <c r="AO18" s="123">
        <f>населення!AO18+льготи!AO18+субсидии!AO18+'держ.бюджет'!AO18+'місц.-район.бюджет'!AO18+обласной!AO18+'госпрозрахунк.'!AO18</f>
        <v>0</v>
      </c>
      <c r="AP18" s="123">
        <f>населення!AP18+льготи!AP18+субсидии!AP18+'держ.бюджет'!AP18+'місц.-район.бюджет'!AP18+обласной!AP18+'госпрозрахунк.'!AP18</f>
        <v>0</v>
      </c>
      <c r="AQ18" s="123">
        <f>населення!AR18+льготи!AQ18+субсидии!AQ18+'держ.бюджет'!AQ18+'місц.-район.бюджет'!AQ18+обласной!AQ18+'госпрозрахунк.'!AQ18</f>
        <v>0</v>
      </c>
      <c r="AR18" s="123">
        <f>населення!AS18+льготи!AR18+субсидии!AR18+'держ.бюджет'!AR18+'місц.-район.бюджет'!AR18+обласной!AR18+'госпрозрахунк.'!AR18</f>
        <v>0</v>
      </c>
      <c r="AS18" s="123">
        <f>населення!AT18+льготи!AS18+субсидии!AS18+'держ.бюджет'!AS18+'місц.-район.бюджет'!AS18+обласной!AS18+'госпрозрахунк.'!AS18</f>
        <v>2371.6</v>
      </c>
      <c r="AT18" s="123">
        <f>населення!AU18+льготи!AT18+субсидии!AT18+'держ.бюджет'!AT18+'місц.-район.бюджет'!AT18+обласной!AT18+'госпрозрахунк.'!AT18</f>
        <v>2395.2000000000003</v>
      </c>
      <c r="AU18" s="123">
        <f t="shared" si="9"/>
        <v>100.9951087873166</v>
      </c>
      <c r="AV18" s="123">
        <f>населення!AW18+льготи!AV18+субсидии!AV18+'держ.бюджет'!AV18+'місц.-район.бюджет'!AV18+обласной!AV18+'госпрозрахунк.'!AV18</f>
        <v>-23.600000000000342</v>
      </c>
      <c r="AW18" s="123">
        <f>населення!AX18+льготи!AW18+субсидии!AW18+'держ.бюджет'!AW18+'місц.-район.бюджет'!AW18+обласной!AW18+'госпрозрахунк.'!AW18</f>
        <v>126.5999999999997</v>
      </c>
      <c r="AX18" s="20">
        <f t="shared" si="11"/>
        <v>2371.6</v>
      </c>
      <c r="AY18" s="20">
        <f t="shared" si="12"/>
        <v>2395.2000000000003</v>
      </c>
      <c r="AZ18" s="20">
        <f t="shared" si="10"/>
        <v>-23.600000000000364</v>
      </c>
      <c r="BA18" s="20">
        <f t="shared" si="2"/>
        <v>126.59999999999945</v>
      </c>
    </row>
    <row r="19" spans="1:54" ht="24" customHeight="1">
      <c r="A19" s="19">
        <v>12</v>
      </c>
      <c r="B19" s="1" t="s">
        <v>44</v>
      </c>
      <c r="C19" s="123">
        <f>населення!C19+льготи!C19+субсидии!C19+'держ.бюджет'!C19+'місц.-район.бюджет'!C19+обласной!C19+'госпрозрахунк.'!C19</f>
        <v>3258.4999999999995</v>
      </c>
      <c r="D19" s="124">
        <f>населення!D19+льготи!D19+субсидии!D19+'держ.бюджет'!D19+'місц.-район.бюджет'!D19+обласной!D19+'госпрозрахунк.'!D19</f>
        <v>3643.2999999999993</v>
      </c>
      <c r="E19" s="124">
        <f>населення!E19+льготи!E19+субсидии!E19+'держ.бюджет'!E19+'місц.-район.бюджет'!E19+обласной!E19+'госпрозрахунк.'!E19</f>
        <v>1913.5</v>
      </c>
      <c r="F19" s="14">
        <f t="shared" si="3"/>
        <v>52.521066066478205</v>
      </c>
      <c r="G19" s="124">
        <f>населення!G19+льготи!G19+субсидии!G19+'держ.бюджет'!G19+'місц.-район.бюджет'!G19+обласной!G19+'госпрозрахунк.'!G19</f>
        <v>4568.4</v>
      </c>
      <c r="H19" s="124">
        <f>населення!H19+льготи!H19+субсидии!H19+'держ.бюджет'!H19+'місц.-район.бюджет'!H19+обласной!H19+'госпрозрахунк.'!H19</f>
        <v>3381.5</v>
      </c>
      <c r="I19" s="14">
        <f t="shared" si="4"/>
        <v>74.01935031958674</v>
      </c>
      <c r="J19" s="124">
        <f>населення!J19+льготи!J19+субсидии!J19+'держ.бюджет'!J19+'місц.-район.бюджет'!J19+обласной!J19+'госпрозрахунк.'!J19</f>
        <v>4230.099999999999</v>
      </c>
      <c r="K19" s="124">
        <f>населення!K19+льготи!K19+субсидии!K19+'держ.бюджет'!K19+'місц.-район.бюджет'!K19+обласной!K19+'госпрозрахунк.'!K19</f>
        <v>3534.2</v>
      </c>
      <c r="L19" s="14">
        <f t="shared" si="0"/>
        <v>83.54885227299592</v>
      </c>
      <c r="M19" s="123">
        <f>населення!M19+льготи!M19+субсидии!M19+'держ.бюджет'!M19+'місц.-район.бюджет'!M19+обласной!M19+'госпрозрахунк.'!M19</f>
        <v>12441.8</v>
      </c>
      <c r="N19" s="123">
        <f>населення!N19+льготи!N19+субсидии!N19+'держ.бюджет'!N19+'місц.-район.бюджет'!N19+обласной!N19+'госпрозрахунк.'!N19</f>
        <v>8829.2</v>
      </c>
      <c r="O19" s="123">
        <f t="shared" si="5"/>
        <v>70.96400842321852</v>
      </c>
      <c r="P19" s="123">
        <f>населення!P19+льготи!P19+субсидии!P19+'держ.бюджет'!P19+'місц.-район.бюджет'!P19+обласной!P19+'госпрозрахунк.'!P19</f>
        <v>1017.3199999999999</v>
      </c>
      <c r="Q19" s="123">
        <f>населення!Q19+льготи!Q19+субсидии!Q19+'держ.бюджет'!Q19+'місц.-район.бюджет'!Q19+обласной!Q19+'госпрозрахунк.'!Q19</f>
        <v>4111.900000000001</v>
      </c>
      <c r="R19" s="123">
        <f t="shared" si="6"/>
        <v>404.18943891794135</v>
      </c>
      <c r="S19" s="123">
        <f>населення!S19+льготи!S19+субсидии!S19+'держ.бюджет'!S19+'місц.-район.бюджет'!S19+обласной!S19+'госпрозрахунк.'!S19</f>
        <v>82.1</v>
      </c>
      <c r="T19" s="123">
        <f>населення!T19+льготи!T19+субсидии!T19+'держ.бюджет'!T19+'місц.-район.бюджет'!T19+обласной!T19+'госпрозрахунк.'!T19</f>
        <v>590.4</v>
      </c>
      <c r="U19" s="123"/>
      <c r="V19" s="123">
        <f>населення!V19+льготи!V19+субсидии!V19+'держ.бюджет'!V19+'місц.-район.бюджет'!V19+обласной!V19+'госпрозрахунк.'!V19</f>
        <v>86.6</v>
      </c>
      <c r="W19" s="123">
        <f>населення!W19+льготи!W19+субсидии!W19+'держ.бюджет'!W19+'місц.-район.бюджет'!W19+обласной!W19+'госпрозрахунк.'!W19</f>
        <v>537.8</v>
      </c>
      <c r="X19" s="123"/>
      <c r="Y19" s="123">
        <f>населення!Y19+льготи!Y19+субсидии!Y19+'держ.бюджет'!Y19+'місц.-район.бюджет'!Y19+обласной!Y19+'госпрозрахунк.'!Y19</f>
        <v>1186.02</v>
      </c>
      <c r="Z19" s="123">
        <f>населення!Z19+льготи!Z19+субсидии!Z19+'держ.бюджет'!Z19+'місц.-район.бюджет'!Z19+обласной!Z19+'госпрозрахунк.'!Z19</f>
        <v>5240.099999999999</v>
      </c>
      <c r="AA19" s="123">
        <f t="shared" si="1"/>
        <v>441.822228967471</v>
      </c>
      <c r="AB19" s="123">
        <f>населення!AB19+льготи!AB19+субсидии!AB19+'держ.бюджет'!AB19+'місц.-район.бюджет'!AB19+обласной!AB19+'госпрозрахунк.'!AB19</f>
        <v>114.7</v>
      </c>
      <c r="AC19" s="123">
        <f>населення!AC19+льготи!AC19+субсидии!AC19+'держ.бюджет'!AC19+'місц.-район.бюджет'!AC19+обласной!AC19+'госпрозрахунк.'!AC19</f>
        <v>332.8</v>
      </c>
      <c r="AD19" s="125">
        <f t="shared" si="7"/>
        <v>290.1482127288579</v>
      </c>
      <c r="AE19" s="123">
        <f>населення!AE19+льготи!AE19+субсидии!AE19+'держ.бюджет'!AE19+'місц.-район.бюджет'!AE19+обласной!AE19+'госпрозрахунк.'!AE19</f>
        <v>0</v>
      </c>
      <c r="AF19" s="123">
        <f>населення!AF19+льготи!AF19+субсидии!AF19+'держ.бюджет'!AF19+'місц.-район.бюджет'!AF19+обласной!AF19+'госпрозрахунк.'!AF19</f>
        <v>0</v>
      </c>
      <c r="AG19" s="125" t="e">
        <f>AF19/AE19*100</f>
        <v>#DIV/0!</v>
      </c>
      <c r="AH19" s="123">
        <f>населення!AH19+льготи!AH19+субсидии!AH19+'держ.бюджет'!AH19+'місц.-район.бюджет'!AH19+обласной!AH19+'госпрозрахунк.'!AH19</f>
        <v>0</v>
      </c>
      <c r="AI19" s="123">
        <f>населення!AI19+льготи!AI19+субсидии!AI19+'держ.бюджет'!AI19+'місц.-район.бюджет'!AI19+обласной!AI19+'госпрозрахунк.'!AI19</f>
        <v>0</v>
      </c>
      <c r="AJ19" s="123">
        <f>населення!AJ19+льготи!AJ19+субсидии!AJ19+'держ.бюджет'!AJ19+'місц.-район.бюджет'!AJ19+обласной!AJ19+'госпрозрахунк.'!AJ19</f>
        <v>114.7</v>
      </c>
      <c r="AK19" s="123">
        <f>населення!AK19+льготи!AK19+субсидии!AK19+'держ.бюджет'!AK19+'місц.-район.бюджет'!AK19+обласной!AK19+'госпрозрахунк.'!AK19</f>
        <v>332.8</v>
      </c>
      <c r="AL19" s="125">
        <f t="shared" si="8"/>
        <v>290.1482127288579</v>
      </c>
      <c r="AM19" s="123">
        <f>населення!AM19+льготи!AM19+субсидии!AM19+'держ.бюджет'!AM19+'місц.-район.бюджет'!AM19+обласной!AM19+'госпрозрахунк.'!AM19</f>
        <v>0</v>
      </c>
      <c r="AN19" s="123">
        <f>населення!AN19+льготи!AN19+субсидии!AN19+'держ.бюджет'!AN19+'місц.-район.бюджет'!AN19+обласной!AN19+'госпрозрахунк.'!AN19</f>
        <v>0</v>
      </c>
      <c r="AO19" s="123">
        <f>населення!AO19+льготи!AO19+субсидии!AO19+'держ.бюджет'!AO19+'місц.-район.бюджет'!AO19+обласной!AO19+'госпрозрахунк.'!AO19</f>
        <v>0</v>
      </c>
      <c r="AP19" s="123">
        <f>населення!AP19+льготи!AP19+субсидии!AP19+'держ.бюджет'!AP19+'місц.-район.бюджет'!AP19+обласной!AP19+'госпрозрахунк.'!AP19</f>
        <v>0</v>
      </c>
      <c r="AQ19" s="123">
        <f>населення!AR19+льготи!AQ19+субсидии!AQ19+'держ.бюджет'!AQ19+'місц.-район.бюджет'!AQ19+обласной!AQ19+'госпрозрахунк.'!AQ19</f>
        <v>0</v>
      </c>
      <c r="AR19" s="123">
        <f>населення!AS19+льготи!AR19+субсидии!AR19+'держ.бюджет'!AR19+'місц.-район.бюджет'!AR19+обласной!AR19+'госпрозрахунк.'!AR19</f>
        <v>0</v>
      </c>
      <c r="AS19" s="123">
        <f>населення!AT19+льготи!AS19+субсидии!AS19+'держ.бюджет'!AS19+'місц.-район.бюджет'!AS19+обласной!AS19+'госпрозрахунк.'!AS19</f>
        <v>13742.519999999997</v>
      </c>
      <c r="AT19" s="123">
        <f>населення!AU19+льготи!AT19+субсидии!AT19+'держ.бюджет'!AT19+'місц.-район.бюджет'!AT19+обласной!AT19+'госпрозрахунк.'!AT19</f>
        <v>14402.1</v>
      </c>
      <c r="AU19" s="123">
        <f t="shared" si="9"/>
        <v>104.79955641323428</v>
      </c>
      <c r="AV19" s="123">
        <f>населення!AW19+льготи!AV19+субсидии!AV19+'держ.бюджет'!AV19+'місц.-район.бюджет'!AV19+обласной!AV19+'госпрозрахунк.'!AV19</f>
        <v>-659.5800000000028</v>
      </c>
      <c r="AW19" s="123">
        <f>населення!AX19+льготи!AW19+субсидии!AW19+'держ.бюджет'!AW19+'місц.-район.бюджет'!AW19+обласной!AW19+'госпрозрахунк.'!AW19</f>
        <v>2598.919999999997</v>
      </c>
      <c r="AX19" s="20">
        <f t="shared" si="11"/>
        <v>13742.52</v>
      </c>
      <c r="AY19" s="20">
        <f t="shared" si="12"/>
        <v>14402.099999999999</v>
      </c>
      <c r="AZ19" s="20">
        <f>AX19-AY19</f>
        <v>-659.5799999999981</v>
      </c>
      <c r="BA19" s="20">
        <f t="shared" si="2"/>
        <v>2598.920000000002</v>
      </c>
      <c r="BB19" s="121">
        <f>BA19-AW19</f>
        <v>5.002220859751105E-12</v>
      </c>
    </row>
    <row r="20" spans="1:53" ht="27" customHeight="1">
      <c r="A20" s="6">
        <v>13</v>
      </c>
      <c r="B20" s="15" t="s">
        <v>95</v>
      </c>
      <c r="C20" s="123"/>
      <c r="D20" s="124"/>
      <c r="E20" s="124"/>
      <c r="F20" s="14"/>
      <c r="G20" s="124"/>
      <c r="H20" s="124"/>
      <c r="I20" s="28"/>
      <c r="J20" s="124"/>
      <c r="K20" s="124"/>
      <c r="L20" s="14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  <c r="AF20" s="123"/>
      <c r="AG20" s="123"/>
      <c r="AH20" s="123"/>
      <c r="AI20" s="123"/>
      <c r="AJ20" s="123"/>
      <c r="AK20" s="123"/>
      <c r="AL20" s="125"/>
      <c r="AM20" s="123"/>
      <c r="AN20" s="123"/>
      <c r="AO20" s="123"/>
      <c r="AP20" s="123"/>
      <c r="AQ20" s="123"/>
      <c r="AR20" s="123"/>
      <c r="AS20" s="123"/>
      <c r="AT20" s="123"/>
      <c r="AU20" s="123"/>
      <c r="AV20" s="123"/>
      <c r="AW20" s="123"/>
      <c r="AX20" s="20">
        <f t="shared" si="11"/>
        <v>0</v>
      </c>
      <c r="AY20" s="20">
        <f t="shared" si="12"/>
        <v>0</v>
      </c>
      <c r="AZ20" s="20">
        <f t="shared" si="10"/>
        <v>0</v>
      </c>
      <c r="BA20" s="20">
        <f t="shared" si="2"/>
        <v>0</v>
      </c>
    </row>
    <row r="21" spans="1:53" ht="27" customHeight="1">
      <c r="A21" s="19">
        <v>14</v>
      </c>
      <c r="B21" s="15" t="s">
        <v>27</v>
      </c>
      <c r="C21" s="123">
        <f>населення!C21+льготи!C21+субсидии!C21+'держ.бюджет'!C21+'місц.-район.бюджет'!C21+обласной!C21+'госпрозрахунк.'!C21</f>
        <v>-255.9</v>
      </c>
      <c r="D21" s="124">
        <f>населення!D21+льготи!D21+субсидии!D21+'держ.бюджет'!D21+'місц.-район.бюджет'!D21+обласной!D21+'госпрозрахунк.'!D21</f>
        <v>763.6</v>
      </c>
      <c r="E21" s="124">
        <f>населення!E21+льготи!E21+субсидии!E21+'держ.бюджет'!E21+'місц.-район.бюджет'!E21+обласной!E21+'госпрозрахунк.'!E21</f>
        <v>89.3</v>
      </c>
      <c r="F21" s="14">
        <f t="shared" si="3"/>
        <v>11.694604504976427</v>
      </c>
      <c r="G21" s="124">
        <f>населення!G21+льготи!G21+субсидии!G21+'держ.бюджет'!G21+'місц.-район.бюджет'!G21+обласной!G21+'госпрозрахунк.'!G21</f>
        <v>703.5</v>
      </c>
      <c r="H21" s="124">
        <f>населення!H21+льготи!H21+субсидии!H21+'держ.бюджет'!H21+'місц.-район.бюджет'!H21+обласной!H21+'госпрозрахунк.'!H21</f>
        <v>579.8</v>
      </c>
      <c r="I21" s="14">
        <f t="shared" si="4"/>
        <v>82.41648898365315</v>
      </c>
      <c r="J21" s="124">
        <f>населення!J21+льготи!J21+субсидии!J21+'держ.бюджет'!J21+'місц.-район.бюджет'!J21+обласной!J21+'госпрозрахунк.'!J21</f>
        <v>671.1999999999999</v>
      </c>
      <c r="K21" s="124">
        <f>населення!K21+льготи!K21+субсидии!K21+'держ.бюджет'!K21+'місц.-район.бюджет'!K21+обласной!K21+'госпрозрахунк.'!K21</f>
        <v>954.7</v>
      </c>
      <c r="L21" s="14">
        <f t="shared" si="0"/>
        <v>142.2377830750894</v>
      </c>
      <c r="M21" s="123">
        <f>населення!M21+льготи!M21+субсидии!M21+'держ.бюджет'!M21+'місц.-район.бюджет'!M21+обласной!M21+'госпрозрахунк.'!M21</f>
        <v>2138.3</v>
      </c>
      <c r="N21" s="123">
        <f>населення!N21+льготи!N21+субсидии!N21+'держ.бюджет'!N21+'місц.-район.бюджет'!N21+обласной!N21+'госпрозрахунк.'!N21</f>
        <v>1623.8</v>
      </c>
      <c r="O21" s="123">
        <f t="shared" si="5"/>
        <v>75.93882991161202</v>
      </c>
      <c r="P21" s="123">
        <f>населення!P21+льготи!P21+субсидии!P21+'держ.бюджет'!P21+'місц.-район.бюджет'!P21+обласной!P21+'госпрозрахунк.'!P21</f>
        <v>173.9</v>
      </c>
      <c r="Q21" s="123">
        <f>населення!Q21+льготи!Q21+субсидии!Q21+'держ.бюджет'!Q21+'місц.-район.бюджет'!Q21+обласной!Q21+'госпрозрахунк.'!Q21</f>
        <v>417.1</v>
      </c>
      <c r="R21" s="123">
        <f t="shared" si="6"/>
        <v>239.850488786659</v>
      </c>
      <c r="S21" s="123">
        <f>населення!S21+льготи!S21+субсидии!S21+'держ.бюджет'!S21+'місц.-район.бюджет'!S21+обласной!S21+'госпрозрахунк.'!S21</f>
        <v>162.5</v>
      </c>
      <c r="T21" s="123">
        <f>населення!T21+льготи!T21+субсидии!T21+'держ.бюджет'!T21+'місц.-район.бюджет'!T21+обласной!T21+'госпрозрахунк.'!T21</f>
        <v>127.1</v>
      </c>
      <c r="U21" s="123">
        <f>T21/S21*100</f>
        <v>78.21538461538461</v>
      </c>
      <c r="V21" s="123">
        <f>населення!V21+льготи!V21+субсидии!V21+'держ.бюджет'!V21+'місц.-район.бюджет'!V21+обласной!V21+'госпрозрахунк.'!V21</f>
        <v>151.4</v>
      </c>
      <c r="W21" s="123">
        <f>населення!W21+льготи!W21+субсидии!W21+'держ.бюджет'!W21+'місц.-район.бюджет'!W21+обласной!W21+'госпрозрахунк.'!W21</f>
        <v>116.3</v>
      </c>
      <c r="X21" s="123">
        <f>W21/V21*100</f>
        <v>76.81638044914135</v>
      </c>
      <c r="Y21" s="123">
        <f>населення!Y21+льготи!Y21+субсидии!Y21+'держ.бюджет'!Y21+'місц.-район.бюджет'!Y21+обласной!Y21+'госпрозрахунк.'!Y21</f>
        <v>487.8</v>
      </c>
      <c r="Z21" s="123">
        <f>населення!Z21+льготи!Z21+субсидии!Z21+'держ.бюджет'!Z21+'місц.-район.бюджет'!Z21+обласной!Z21+'госпрозрахунк.'!Z21</f>
        <v>660.5</v>
      </c>
      <c r="AA21" s="123">
        <f>Z21/Y21*100</f>
        <v>135.40385403854037</v>
      </c>
      <c r="AB21" s="123">
        <f>населення!AB21+льготи!AB21+субсидии!AB21+'держ.бюджет'!AB21+'місц.-район.бюджет'!AB21+обласной!AB21+'госпрозрахунк.'!AB21</f>
        <v>167.20000000000002</v>
      </c>
      <c r="AC21" s="123">
        <f>населення!AC21+льготи!AC21+субсидии!AC21+'держ.бюджет'!AC21+'місц.-район.бюджет'!AC21+обласной!AC21+'госпрозрахунк.'!AC21</f>
        <v>110.8</v>
      </c>
      <c r="AD21" s="123">
        <f t="shared" si="7"/>
        <v>66.26794258373205</v>
      </c>
      <c r="AE21" s="123">
        <f>населення!AE21+льготи!AE21+субсидии!AE21+'держ.бюджет'!AE21+'місц.-район.бюджет'!AE21+обласной!AE21+'госпрозрахунк.'!AE21</f>
        <v>0</v>
      </c>
      <c r="AF21" s="123">
        <f>населення!AF21+льготи!AF21+субсидии!AF21+'держ.бюджет'!AF21+'місц.-район.бюджет'!AF21+обласной!AF21+'госпрозрахунк.'!AF21</f>
        <v>0</v>
      </c>
      <c r="AG21" s="123" t="e">
        <f>AF21/AE21*100</f>
        <v>#DIV/0!</v>
      </c>
      <c r="AH21" s="123">
        <f>населення!AH21+льготи!AH21+субсидии!AH21+'держ.бюджет'!AH21+'місц.-район.бюджет'!AH21+обласной!AH21+'госпрозрахунк.'!AH21</f>
        <v>0</v>
      </c>
      <c r="AI21" s="123">
        <f>населення!AI21+льготи!AI21+субсидии!AI21+'держ.бюджет'!AI21+'місц.-район.бюджет'!AI21+обласной!AI21+'госпрозрахунк.'!AI21</f>
        <v>0</v>
      </c>
      <c r="AJ21" s="123">
        <f>населення!AJ21+льготи!AJ21+субсидии!AJ21+'держ.бюджет'!AJ21+'місц.-район.бюджет'!AJ21+обласной!AJ21+'госпрозрахунк.'!AJ21</f>
        <v>167.20000000000002</v>
      </c>
      <c r="AK21" s="123">
        <f>населення!AK21+льготи!AK21+субсидии!AK21+'держ.бюджет'!AK21+'місц.-район.бюджет'!AK21+обласной!AK21+'госпрозрахунк.'!AK21</f>
        <v>110.8</v>
      </c>
      <c r="AL21" s="123">
        <f t="shared" si="8"/>
        <v>66.26794258373205</v>
      </c>
      <c r="AM21" s="123">
        <f>населення!AM21+льготи!AM21+субсидии!AM21+'держ.бюджет'!AM21+'місц.-район.бюджет'!AM21+обласной!AM21+'госпрозрахунк.'!AM21</f>
        <v>0</v>
      </c>
      <c r="AN21" s="123">
        <f>населення!AN21+льготи!AN21+субсидии!AN21+'держ.бюджет'!AN21+'місц.-район.бюджет'!AN21+обласной!AN21+'госпрозрахунк.'!AN21</f>
        <v>0</v>
      </c>
      <c r="AO21" s="123">
        <f>населення!AO21+льготи!AO21+субсидии!AO21+'держ.бюджет'!AO21+'місц.-район.бюджет'!AO21+обласной!AO21+'госпрозрахунк.'!AO21</f>
        <v>0</v>
      </c>
      <c r="AP21" s="123">
        <f>населення!AP21+льготи!AP21+субсидии!AP21+'держ.бюджет'!AP21+'місц.-район.бюджет'!AP21+обласной!AP21+'госпрозрахунк.'!AP21</f>
        <v>0</v>
      </c>
      <c r="AQ21" s="123">
        <f>населення!AR21+льготи!AQ21+субсидии!AQ21+'держ.бюджет'!AQ21+'місц.-район.бюджет'!AQ21+обласной!AQ21+'госпрозрахунк.'!AQ21</f>
        <v>0</v>
      </c>
      <c r="AR21" s="123">
        <f>населення!AS21+льготи!AR21+субсидии!AR21+'держ.бюджет'!AR21+'місц.-район.бюджет'!AR21+обласной!AR21+'госпрозрахунк.'!AR21</f>
        <v>0</v>
      </c>
      <c r="AS21" s="123">
        <f>населення!AT21+льготи!AS21+субсидии!AS21+'держ.бюджет'!AS21+'місц.-район.бюджет'!AS21+обласной!AS21+'госпрозрахунк.'!AS21</f>
        <v>2793.3</v>
      </c>
      <c r="AT21" s="123">
        <f>населення!AU21+льготи!AT21+субсидии!AT21+'держ.бюджет'!AT21+'місц.-район.бюджет'!AT21+обласной!AT21+'госпрозрахунк.'!AT21</f>
        <v>2395.1</v>
      </c>
      <c r="AU21" s="123">
        <f t="shared" si="9"/>
        <v>85.74445995775605</v>
      </c>
      <c r="AV21" s="123">
        <f>населення!AW21+льготи!AV21+субсидии!AV21+'держ.бюджет'!AV21+'місц.-район.бюджет'!AV21+обласной!AV21+'госпрозрахунк.'!AV21</f>
        <v>398.2000000000003</v>
      </c>
      <c r="AW21" s="123">
        <f>населення!AX21+льготи!AW21+субсидии!AW21+'держ.бюджет'!AW21+'місц.-район.бюджет'!AW21+обласной!AW21+'госпрозрахунк.'!AW21</f>
        <v>142.3000000000001</v>
      </c>
      <c r="AX21" s="20">
        <f t="shared" si="11"/>
        <v>2793.3</v>
      </c>
      <c r="AY21" s="20">
        <f t="shared" si="12"/>
        <v>2395.1000000000004</v>
      </c>
      <c r="AZ21" s="20">
        <f t="shared" si="10"/>
        <v>398.1999999999998</v>
      </c>
      <c r="BA21" s="20">
        <f t="shared" si="2"/>
        <v>142.29999999999973</v>
      </c>
    </row>
    <row r="22" spans="1:53" ht="30" customHeight="1">
      <c r="A22" s="19">
        <v>15</v>
      </c>
      <c r="B22" s="15" t="s">
        <v>28</v>
      </c>
      <c r="C22" s="123">
        <f>населення!C22+льготи!C22+субсидии!C22+'держ.бюджет'!C22+'місц.-район.бюджет'!C22+обласной!C22+'госпрозрахунк.'!C22</f>
        <v>3.3</v>
      </c>
      <c r="D22" s="124">
        <f>населення!D22+льготи!D22+субсидии!D22+'держ.бюджет'!D22+'місц.-район.бюджет'!D22+обласной!D22+'госпрозрахунк.'!D22</f>
        <v>3354.6</v>
      </c>
      <c r="E22" s="124">
        <f>населення!E22+льготи!E22+субсидии!E22+'держ.бюджет'!E22+'місц.-район.бюджет'!E22+обласной!E22+'госпрозрахунк.'!E22</f>
        <v>3248.3</v>
      </c>
      <c r="F22" s="14">
        <f t="shared" si="3"/>
        <v>96.83121683658261</v>
      </c>
      <c r="G22" s="124">
        <f>населення!G22+льготи!G22+субсидии!G22+'держ.бюджет'!G22+'місц.-район.бюджет'!G22+обласной!G22+'госпрозрахунк.'!G22</f>
        <v>2257.5</v>
      </c>
      <c r="H22" s="124">
        <f>населення!H22+льготи!H22+субсидии!H22+'держ.бюджет'!H22+'місц.-район.бюджет'!H22+обласной!H22+'госпрозрахунк.'!H22</f>
        <v>2000.9</v>
      </c>
      <c r="I22" s="14">
        <f t="shared" si="4"/>
        <v>88.63344407530455</v>
      </c>
      <c r="J22" s="124">
        <f>населення!J22+льготи!J22+субсидии!J22+'держ.бюджет'!J22+'місц.-район.бюджет'!J22+обласной!J22+'госпрозрахунк.'!J22</f>
        <v>2290.8</v>
      </c>
      <c r="K22" s="124">
        <f>населення!K22+льготи!K22+субсидии!K22+'держ.бюджет'!K22+'місц.-район.бюджет'!K22+обласной!K22+'госпрозрахунк.'!K22</f>
        <v>2093.6</v>
      </c>
      <c r="L22" s="14">
        <f t="shared" si="0"/>
        <v>91.39165357080495</v>
      </c>
      <c r="M22" s="123">
        <f>населення!M22+льготи!M22+субсидии!M22+'держ.бюджет'!M22+'місц.-район.бюджет'!M22+обласной!M22+'госпрозрахунк.'!M22</f>
        <v>7902.9</v>
      </c>
      <c r="N22" s="123">
        <f>населення!N22+льготи!N22+субсидии!N22+'держ.бюджет'!N22+'місц.-район.бюджет'!N22+обласной!N22+'госпрозрахунк.'!N22</f>
        <v>7342.8</v>
      </c>
      <c r="O22" s="123">
        <f t="shared" si="5"/>
        <v>92.91272823900087</v>
      </c>
      <c r="P22" s="123">
        <f>населення!P22+льготи!P22+субсидии!P22+'держ.бюджет'!P22+'місц.-район.бюджет'!P22+обласной!P22+'госпрозрахунк.'!P22</f>
        <v>435.8</v>
      </c>
      <c r="Q22" s="123">
        <f>населення!Q22+льготи!Q22+субсидии!Q22+'держ.бюджет'!Q22+'місц.-район.бюджет'!Q22+обласной!Q22+'госпрозрахунк.'!Q22</f>
        <v>548.3000000000001</v>
      </c>
      <c r="R22" s="123">
        <f t="shared" si="6"/>
        <v>125.81459385039008</v>
      </c>
      <c r="S22" s="123">
        <f>населення!S22+льготи!S22+субсидии!S22+'держ.бюджет'!S22+'місц.-район.бюджет'!S22+обласной!S22+'госпрозрахунк.'!S22</f>
        <v>0</v>
      </c>
      <c r="T22" s="123">
        <f>населення!T22+льготи!T22+субсидии!T22+'держ.бюджет'!T22+'місц.-район.бюджет'!T22+обласной!T22+'госпрозрахунк.'!T22</f>
        <v>263.7</v>
      </c>
      <c r="U22" s="123"/>
      <c r="V22" s="123">
        <f>населення!V22+льготи!V22+субсидии!V22+'держ.бюджет'!V22+'місц.-район.бюджет'!V22+обласной!V22+'госпрозрахунк.'!V22</f>
        <v>0</v>
      </c>
      <c r="W22" s="123">
        <f>населення!W22+льготи!W22+субсидии!W22+'держ.бюджет'!W22+'місц.-район.бюджет'!W22+обласной!W22+'госпрозрахунк.'!W22</f>
        <v>42.1</v>
      </c>
      <c r="X22" s="123"/>
      <c r="Y22" s="123">
        <f>населення!Y22+льготи!Y22+субсидии!Y22+'держ.бюджет'!Y22+'місц.-район.бюджет'!Y22+обласной!Y22+'госпрозрахунк.'!Y22</f>
        <v>435.8</v>
      </c>
      <c r="Z22" s="123">
        <f>населення!Z22+льготи!Z22+субсидии!Z22+'держ.бюджет'!Z22+'місц.-район.бюджет'!Z22+обласной!Z22+'госпрозрахунк.'!Z22</f>
        <v>854.1</v>
      </c>
      <c r="AA22" s="123">
        <f>Z22/Y22*100</f>
        <v>195.98439651216154</v>
      </c>
      <c r="AB22" s="123">
        <f>населення!AB22+льготи!AB22+субсидии!AB22+'держ.бюджет'!AB22+'місц.-район.бюджет'!AB22+обласной!AB22+'госпрозрахунк.'!AB22</f>
        <v>0</v>
      </c>
      <c r="AC22" s="123">
        <f>населення!AC22+льготи!AC22+субсидии!AC22+'держ.бюджет'!AC22+'місц.-район.бюджет'!AC22+обласной!AC22+'госпрозрахунк.'!AC22</f>
        <v>9.5</v>
      </c>
      <c r="AD22" s="125" t="e">
        <f t="shared" si="7"/>
        <v>#DIV/0!</v>
      </c>
      <c r="AE22" s="123">
        <f>населення!AE22+льготи!AE22+субсидии!AE22+'держ.бюджет'!AE22+'місц.-район.бюджет'!AE22+обласной!AE22+'госпрозрахунк.'!AE22</f>
        <v>0</v>
      </c>
      <c r="AF22" s="123">
        <f>населення!AF22+льготи!AF22+субсидии!AF22+'держ.бюджет'!AF22+'місц.-район.бюджет'!AF22+обласной!AF22+'госпрозрахунк.'!AF22</f>
        <v>0</v>
      </c>
      <c r="AG22" s="125" t="e">
        <f>AF22/AE22*100</f>
        <v>#DIV/0!</v>
      </c>
      <c r="AH22" s="123">
        <f>населення!AH22+льготи!AH22+субсидии!AH22+'держ.бюджет'!AH22+'місц.-район.бюджет'!AH22+обласной!AH22+'госпрозрахунк.'!AH22</f>
        <v>0</v>
      </c>
      <c r="AI22" s="123">
        <f>населення!AI22+льготи!AI22+субсидии!AI22+'держ.бюджет'!AI22+'місц.-район.бюджет'!AI22+обласной!AI22+'госпрозрахунк.'!AI22</f>
        <v>0</v>
      </c>
      <c r="AJ22" s="123">
        <f>населення!AJ22+льготи!AJ22+субсидии!AJ22+'держ.бюджет'!AJ22+'місц.-район.бюджет'!AJ22+обласной!AJ22+'госпрозрахунк.'!AJ22</f>
        <v>0</v>
      </c>
      <c r="AK22" s="123">
        <f>населення!AK22+льготи!AK22+субсидии!AK22+'держ.бюджет'!AK22+'місц.-район.бюджет'!AK22+обласной!AK22+'госпрозрахунк.'!AK22</f>
        <v>9.5</v>
      </c>
      <c r="AL22" s="125" t="e">
        <f t="shared" si="8"/>
        <v>#DIV/0!</v>
      </c>
      <c r="AM22" s="123">
        <f>населення!AM22+льготи!AM22+субсидии!AM22+'держ.бюджет'!AM22+'місц.-район.бюджет'!AM22+обласной!AM22+'госпрозрахунк.'!AM22</f>
        <v>0</v>
      </c>
      <c r="AN22" s="123">
        <f>населення!AN22+льготи!AN22+субсидии!AN22+'держ.бюджет'!AN22+'місц.-район.бюджет'!AN22+обласной!AN22+'госпрозрахунк.'!AN22</f>
        <v>0</v>
      </c>
      <c r="AO22" s="123">
        <f>населення!AO22+льготи!AO22+субсидии!AO22+'держ.бюджет'!AO22+'місц.-район.бюджет'!AO22+обласной!AO22+'госпрозрахунк.'!AO22</f>
        <v>0</v>
      </c>
      <c r="AP22" s="123">
        <f>населення!AP22+льготи!AP22+субсидии!AP22+'держ.бюджет'!AP22+'місц.-район.бюджет'!AP22+обласной!AP22+'госпрозрахунк.'!AP22</f>
        <v>0</v>
      </c>
      <c r="AQ22" s="123">
        <f>населення!AR22+льготи!AQ22+субсидии!AQ22+'держ.бюджет'!AQ22+'місц.-район.бюджет'!AQ22+обласной!AQ22+'госпрозрахунк.'!AQ22</f>
        <v>0</v>
      </c>
      <c r="AR22" s="123">
        <f>населення!AS22+льготи!AR22+субсидии!AR22+'держ.бюджет'!AR22+'місц.-район.бюджет'!AR22+обласной!AR22+'госпрозрахунк.'!AR22</f>
        <v>0</v>
      </c>
      <c r="AS22" s="123">
        <f>населення!AT22+льготи!AS22+субсидии!AS22+'держ.бюджет'!AS22+'місц.-район.бюджет'!AS22+обласной!AS22+'госпрозрахунк.'!AS22</f>
        <v>8338.699999999999</v>
      </c>
      <c r="AT22" s="123">
        <f>населення!AU22+льготи!AT22+субсидии!AT22+'держ.бюджет'!AT22+'місц.-район.бюджет'!AT22+обласной!AT22+'госпрозрахунк.'!AT22</f>
        <v>8206.4</v>
      </c>
      <c r="AU22" s="123">
        <f t="shared" si="9"/>
        <v>98.4134217563889</v>
      </c>
      <c r="AV22" s="123">
        <f>населення!AW22+льготи!AV22+субсидии!AV22+'держ.бюджет'!AV22+'місц.-район.бюджет'!AV22+обласной!AV22+'госпрозрахунк.'!AV22</f>
        <v>132.30000000000018</v>
      </c>
      <c r="AW22" s="123">
        <f>населення!AX22+льготи!AW22+субсидии!AW22+'держ.бюджет'!AW22+'місц.-район.бюджет'!AW22+обласной!AW22+'госпрозрахунк.'!AW22</f>
        <v>135.6</v>
      </c>
      <c r="AX22" s="20">
        <f t="shared" si="11"/>
        <v>8338.699999999999</v>
      </c>
      <c r="AY22" s="20">
        <f t="shared" si="12"/>
        <v>8206.4</v>
      </c>
      <c r="AZ22" s="20">
        <f t="shared" si="10"/>
        <v>132.29999999999927</v>
      </c>
      <c r="BA22" s="20">
        <f t="shared" si="2"/>
        <v>135.59999999999854</v>
      </c>
    </row>
    <row r="23" spans="1:53" ht="29.25" customHeight="1">
      <c r="A23" s="19">
        <v>16</v>
      </c>
      <c r="B23" s="15" t="s">
        <v>86</v>
      </c>
      <c r="C23" s="123"/>
      <c r="D23" s="127"/>
      <c r="E23" s="127"/>
      <c r="F23" s="14"/>
      <c r="G23" s="127"/>
      <c r="H23" s="127"/>
      <c r="I23" s="127"/>
      <c r="J23" s="124"/>
      <c r="K23" s="124"/>
      <c r="L23" s="14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  <c r="AE23" s="123"/>
      <c r="AF23" s="123"/>
      <c r="AG23" s="123"/>
      <c r="AH23" s="123"/>
      <c r="AI23" s="123"/>
      <c r="AJ23" s="123"/>
      <c r="AK23" s="123"/>
      <c r="AL23" s="125"/>
      <c r="AM23" s="123"/>
      <c r="AN23" s="123"/>
      <c r="AO23" s="123"/>
      <c r="AP23" s="123"/>
      <c r="AQ23" s="123"/>
      <c r="AR23" s="123"/>
      <c r="AS23" s="123"/>
      <c r="AT23" s="123"/>
      <c r="AU23" s="123"/>
      <c r="AV23" s="123"/>
      <c r="AW23" s="123"/>
      <c r="AX23" s="20">
        <f t="shared" si="11"/>
        <v>0</v>
      </c>
      <c r="AY23" s="20">
        <f t="shared" si="12"/>
        <v>0</v>
      </c>
      <c r="AZ23" s="20">
        <f t="shared" si="10"/>
        <v>0</v>
      </c>
      <c r="BA23" s="20">
        <f t="shared" si="2"/>
        <v>0</v>
      </c>
    </row>
    <row r="24" spans="1:53" ht="27.75" customHeight="1">
      <c r="A24" s="19">
        <v>17</v>
      </c>
      <c r="B24" s="15" t="s">
        <v>30</v>
      </c>
      <c r="C24" s="123">
        <f>населення!C24+льготи!C24+субсидии!C24+'держ.бюджет'!C24+'місц.-район.бюджет'!C24+обласной!C24+'госпрозрахунк.'!C24</f>
        <v>8947.300000000003</v>
      </c>
      <c r="D24" s="124">
        <f>населення!D24+льготи!D24+субсидии!D24+'держ.бюджет'!D24+'місц.-район.бюджет'!D24+обласной!D24+'госпрозрахунк.'!D24</f>
        <v>13473.2</v>
      </c>
      <c r="E24" s="124">
        <f>населення!E24+льготи!E24+субсидии!E24+'держ.бюджет'!E24+'місц.-район.бюджет'!E24+обласной!E24+'госпрозрахунк.'!E24</f>
        <v>5342.1</v>
      </c>
      <c r="F24" s="14">
        <f t="shared" si="3"/>
        <v>39.64982335302675</v>
      </c>
      <c r="G24" s="124">
        <f>населення!G24+льготи!G24+субсидии!G24+'держ.бюджет'!G24+'місц.-район.бюджет'!G24+обласной!G24+'госпрозрахунк.'!G24</f>
        <v>13041.599999999999</v>
      </c>
      <c r="H24" s="124">
        <f>населення!H24+льготи!H24+субсидии!H24+'держ.бюджет'!H24+'місц.-район.бюджет'!H24+обласной!H24+'госпрозрахунк.'!H24</f>
        <v>10730</v>
      </c>
      <c r="I24" s="14">
        <f>H24/G24*100</f>
        <v>82.27518095939149</v>
      </c>
      <c r="J24" s="124">
        <f>населення!J24+льготи!J24+субсидии!J24+'держ.бюджет'!J24+'місц.-район.бюджет'!J24+обласной!J24+'госпрозрахунк.'!J24</f>
        <v>12429.4</v>
      </c>
      <c r="K24" s="124">
        <f>населення!K24+льготи!K24+субсидии!K24+'держ.бюджет'!K24+'місц.-район.бюджет'!K24+обласной!K24+'госпрозрахунк.'!K24</f>
        <v>9750.9</v>
      </c>
      <c r="L24" s="14">
        <f t="shared" si="0"/>
        <v>78.45028722223117</v>
      </c>
      <c r="M24" s="123">
        <f>населення!M24+льготи!M24+субсидии!M24+'держ.бюджет'!M24+'місц.-район.бюджет'!M24+обласной!M24+'госпрозрахунк.'!M24</f>
        <v>38944.2</v>
      </c>
      <c r="N24" s="123">
        <f>населення!N24+льготи!N24+субсидии!N24+'держ.бюджет'!N24+'місц.-район.бюджет'!N24+обласной!N24+'госпрозрахунк.'!N24</f>
        <v>25823</v>
      </c>
      <c r="O24" s="123">
        <f t="shared" si="5"/>
        <v>66.30769151760725</v>
      </c>
      <c r="P24" s="123">
        <f>населення!P24+льготи!P24+субсидии!P24+'держ.бюджет'!P24+'місц.-район.бюджет'!P24+обласной!P24+'госпрозрахунк.'!P24</f>
        <v>759.4000000000001</v>
      </c>
      <c r="Q24" s="123">
        <f>населення!Q24+льготи!Q24+субсидии!Q24+'держ.бюджет'!Q24+'місц.-район.бюджет'!Q24+обласной!Q24+'госпрозрахунк.'!Q24</f>
        <v>11731.5</v>
      </c>
      <c r="R24" s="123"/>
      <c r="S24" s="123">
        <f>населення!S24+льготи!S24+субсидии!S24+'держ.бюджет'!S24+'місц.-район.бюджет'!S24+обласной!S24+'госпрозрахунк.'!S24</f>
        <v>0</v>
      </c>
      <c r="T24" s="123">
        <f>населення!T24+льготи!T24+субсидии!T24+'держ.бюджет'!T24+'місц.-район.бюджет'!T24+обласной!T24+'госпрозрахунк.'!T24</f>
        <v>2774.2</v>
      </c>
      <c r="U24" s="123"/>
      <c r="V24" s="123">
        <f>населення!V24+льготи!V24+субсидии!V24+'держ.бюджет'!V24+'місц.-район.бюджет'!V24+обласной!V24+'госпрозрахунк.'!V24</f>
        <v>0</v>
      </c>
      <c r="W24" s="123">
        <f>населення!W24+льготи!W24+субсидии!W24+'держ.бюджет'!W24+'місц.-район.бюджет'!W24+обласной!W24+'госпрозрахунк.'!W24</f>
        <v>985.1</v>
      </c>
      <c r="X24" s="123"/>
      <c r="Y24" s="123">
        <f>населення!Y24+льготи!Y24+субсидии!Y24+'держ.бюджет'!Y24+'місц.-район.бюджет'!Y24+обласной!Y24+'госпрозрахунк.'!Y24</f>
        <v>759.4000000000001</v>
      </c>
      <c r="Z24" s="123">
        <f>населення!Z24+льготи!Z24+субсидии!Z24+'держ.бюджет'!Z24+'місц.-район.бюджет'!Z24+обласной!Z24+'госпрозрахунк.'!Z24</f>
        <v>15490.800000000003</v>
      </c>
      <c r="AA24" s="126">
        <f>Z24/Y24*100</f>
        <v>2039.8735844087441</v>
      </c>
      <c r="AB24" s="123">
        <f>населення!AB24+льготи!AB24+субсидии!AB24+'держ.бюджет'!AB24+'місц.-район.бюджет'!AB24+обласной!AB24+'госпрозрахунк.'!AB24</f>
        <v>0</v>
      </c>
      <c r="AC24" s="123">
        <f>населення!AC24+льготи!AC24+субсидии!AC24+'держ.бюджет'!AC24+'місц.-район.бюджет'!AC24+обласной!AC24+'госпрозрахунк.'!AC24</f>
        <v>948.8000000000001</v>
      </c>
      <c r="AD24" s="125" t="e">
        <f t="shared" si="7"/>
        <v>#DIV/0!</v>
      </c>
      <c r="AE24" s="123">
        <f>населення!AE24+льготи!AE24+субсидии!AE24+'держ.бюджет'!AE24+'місц.-район.бюджет'!AE24+обласной!AE24+'госпрозрахунк.'!AE24</f>
        <v>0</v>
      </c>
      <c r="AF24" s="123">
        <f>населення!AF24+льготи!AF24+субсидии!AF24+'держ.бюджет'!AF24+'місц.-район.бюджет'!AF24+обласной!AF24+'госпрозрахунк.'!AF24</f>
        <v>0</v>
      </c>
      <c r="AG24" s="125" t="e">
        <f>AF24/AE24*100</f>
        <v>#DIV/0!</v>
      </c>
      <c r="AH24" s="123">
        <f>населення!AH24+льготи!AH24+субсидии!AH24+'держ.бюджет'!AH24+'місц.-район.бюджет'!AH24+обласной!AH24+'госпрозрахунк.'!AH24</f>
        <v>0</v>
      </c>
      <c r="AI24" s="123">
        <f>населення!AI24+льготи!AI24+субсидии!AI24+'держ.бюджет'!AI24+'місц.-район.бюджет'!AI24+обласной!AI24+'госпрозрахунк.'!AI24</f>
        <v>0</v>
      </c>
      <c r="AJ24" s="123">
        <f>населення!AJ24+льготи!AJ24+субсидии!AJ24+'держ.бюджет'!AJ24+'місц.-район.бюджет'!AJ24+обласной!AJ24+'госпрозрахунк.'!AJ24</f>
        <v>0</v>
      </c>
      <c r="AK24" s="123">
        <f>населення!AK24+льготи!AK24+субсидии!AK24+'держ.бюджет'!AK24+'місц.-район.бюджет'!AK24+обласной!AK24+'госпрозрахунк.'!AK24</f>
        <v>948.8000000000001</v>
      </c>
      <c r="AL24" s="125" t="e">
        <f t="shared" si="8"/>
        <v>#DIV/0!</v>
      </c>
      <c r="AM24" s="123">
        <f>населення!AM24+льготи!AM24+субсидии!AM24+'держ.бюджет'!AM24+'місц.-район.бюджет'!AM24+обласной!AM24+'госпрозрахунк.'!AM24</f>
        <v>0</v>
      </c>
      <c r="AN24" s="123">
        <f>населення!AN24+льготи!AN24+субсидии!AN24+'держ.бюджет'!AN24+'місц.-район.бюджет'!AN24+обласной!AN24+'госпрозрахунк.'!AN24</f>
        <v>0</v>
      </c>
      <c r="AO24" s="123">
        <f>населення!AO24+льготи!AO24+субсидии!AO24+'держ.бюджет'!AO24+'місц.-район.бюджет'!AO24+обласной!AO24+'госпрозрахунк.'!AO24</f>
        <v>0</v>
      </c>
      <c r="AP24" s="123">
        <f>населення!AP24+льготи!AP24+субсидии!AP24+'держ.бюджет'!AP24+'місц.-район.бюджет'!AP24+обласной!AP24+'госпрозрахунк.'!AP24</f>
        <v>0</v>
      </c>
      <c r="AQ24" s="123">
        <f>населення!AR24+льготи!AQ24+субсидии!AQ24+'держ.бюджет'!AQ24+'місц.-район.бюджет'!AQ24+обласной!AQ24+'госпрозрахунк.'!AQ24</f>
        <v>0</v>
      </c>
      <c r="AR24" s="123">
        <f>населення!AS24+льготи!AR24+субсидии!AR24+'держ.бюджет'!AR24+'місц.-район.бюджет'!AR24+обласной!AR24+'госпрозрахунк.'!AR24</f>
        <v>0</v>
      </c>
      <c r="AS24" s="123">
        <f>населення!AT24+льготи!AS24+субсидии!AS24+'держ.бюджет'!AS24+'місц.-район.бюджет'!AS24+обласной!AS24+'госпрозрахунк.'!AS24</f>
        <v>39703.600000000006</v>
      </c>
      <c r="AT24" s="123">
        <f>населення!AU24+льготи!AT24+субсидии!AT24+'держ.бюджет'!AT24+'місц.-район.бюджет'!AT24+обласной!AT24+'госпрозрахунк.'!AT24</f>
        <v>42262.6</v>
      </c>
      <c r="AU24" s="123">
        <f t="shared" si="9"/>
        <v>106.44525937194611</v>
      </c>
      <c r="AV24" s="123">
        <f>населення!AW24+льготи!AV24+субсидии!AV24+'держ.бюджет'!AV24+'місц.-район.бюджет'!AV24+обласной!AV24+'госпрозрахунк.'!AV24</f>
        <v>-2559.0000000000014</v>
      </c>
      <c r="AW24" s="123">
        <f>населення!AX24+льготи!AW24+субсидии!AW24+'держ.бюджет'!AW24+'місц.-район.бюджет'!AW24+обласной!AW24+'госпрозрахунк.'!AW24</f>
        <v>6388.300000000001</v>
      </c>
      <c r="AX24" s="20">
        <f t="shared" si="11"/>
        <v>39703.6</v>
      </c>
      <c r="AY24" s="20">
        <f t="shared" si="12"/>
        <v>42262.600000000006</v>
      </c>
      <c r="AZ24" s="20">
        <f t="shared" si="10"/>
        <v>-2559.0000000000073</v>
      </c>
      <c r="BA24" s="20">
        <f t="shared" si="2"/>
        <v>6388.299999999996</v>
      </c>
    </row>
    <row r="25" spans="1:53" ht="22.5" customHeight="1">
      <c r="A25" s="19">
        <v>18</v>
      </c>
      <c r="B25" s="1" t="s">
        <v>89</v>
      </c>
      <c r="C25" s="123">
        <f>населення!C25+льготи!C25+субсидии!C25+'держ.бюджет'!C25+'місц.-район.бюджет'!C25+обласной!C25+'госпрозрахунк.'!C25</f>
        <v>-536</v>
      </c>
      <c r="D25" s="124">
        <f>населення!D25+льготи!D25+субсидии!D25+'держ.бюджет'!D25+'місц.-район.бюджет'!D25+обласной!D25+'госпрозрахунк.'!D25</f>
        <v>953.4</v>
      </c>
      <c r="E25" s="124">
        <f>населення!E25+льготи!E25+субсидии!E25+'держ.бюджет'!E25+'місц.-район.бюджет'!E25+обласной!E25+'госпрозрахунк.'!E25</f>
        <v>179.2</v>
      </c>
      <c r="F25" s="14">
        <f t="shared" si="3"/>
        <v>18.79588839941263</v>
      </c>
      <c r="G25" s="124">
        <f>населення!G25+льготи!G25+субсидии!G25+'держ.бюджет'!G25+'місц.-район.бюджет'!G25+обласной!G25+'госпрозрахунк.'!G25</f>
        <v>989.1</v>
      </c>
      <c r="H25" s="124">
        <f>населення!H25+льготи!H25+субсидии!H25+'держ.бюджет'!H25+'місц.-район.бюджет'!H25+обласной!H25+'госпрозрахунк.'!H25</f>
        <v>913.1</v>
      </c>
      <c r="I25" s="14">
        <f>H25/G25*100</f>
        <v>92.31624709331716</v>
      </c>
      <c r="J25" s="124">
        <f>населення!J25+льготи!J25+субсидии!J25+'держ.бюджет'!J25+'місц.-район.бюджет'!J25+обласной!J25+'госпрозрахунк.'!J25</f>
        <v>955.8</v>
      </c>
      <c r="K25" s="124">
        <f>населення!K25+льготи!K25+субсидии!K25+'держ.бюджет'!K25+'місц.-район.бюджет'!K25+обласной!K25+'госпрозрахунк.'!K25</f>
        <v>512.5</v>
      </c>
      <c r="L25" s="14">
        <f t="shared" si="0"/>
        <v>53.62000418497593</v>
      </c>
      <c r="M25" s="123">
        <f>населення!M25+льготи!M25+субсидии!M25+'держ.бюджет'!M25+'місц.-район.бюджет'!M25+обласной!M25+'госпрозрахунк.'!M25</f>
        <v>2898.3</v>
      </c>
      <c r="N25" s="123">
        <f>населення!N25+льготи!N25+субсидии!N25+'держ.бюджет'!N25+'місц.-район.бюджет'!N25+обласной!N25+'госпрозрахунк.'!N25</f>
        <v>1604.7999999999997</v>
      </c>
      <c r="O25" s="123">
        <f t="shared" si="5"/>
        <v>55.370389538695086</v>
      </c>
      <c r="P25" s="123">
        <f>населення!P25+льготи!P25+субсидии!P25+'держ.бюджет'!P25+'місц.-район.бюджет'!P25+обласной!P25+'госпрозрахунк.'!P25</f>
        <v>158.10000000000002</v>
      </c>
      <c r="Q25" s="123">
        <f>населення!Q25+льготи!Q25+субсидии!Q25+'держ.бюджет'!Q25+'місц.-район.бюджет'!Q25+обласной!Q25+'госпрозрахунк.'!Q25</f>
        <v>343.6</v>
      </c>
      <c r="R25" s="123">
        <f t="shared" si="6"/>
        <v>217.33080328905757</v>
      </c>
      <c r="S25" s="123">
        <f>населення!S25+льготи!S25+субсидии!S25+'держ.бюджет'!S25+'місц.-район.бюджет'!S25+обласной!S25+'госпрозрахунк.'!S25</f>
        <v>0</v>
      </c>
      <c r="T25" s="123">
        <f>населення!T25+льготи!T25+субсидии!T25+'держ.бюджет'!T25+'місц.-район.бюджет'!T25+обласной!T25+'госпрозрахунк.'!T25</f>
        <v>283.8</v>
      </c>
      <c r="U25" s="123" t="e">
        <f>T25/S25*100</f>
        <v>#DIV/0!</v>
      </c>
      <c r="V25" s="123">
        <f>населення!V25+льготи!V25+субсидии!V25+'держ.бюджет'!V25+'місц.-район.бюджет'!V25+обласной!V25+'госпрозрахунк.'!V25</f>
        <v>0</v>
      </c>
      <c r="W25" s="123">
        <f>населення!W25+льготи!W25+субсидии!W25+'держ.бюджет'!W25+'місц.-район.бюджет'!W25+обласной!W25+'госпрозрахунк.'!W25</f>
        <v>790.9</v>
      </c>
      <c r="X25" s="125" t="e">
        <f>W25/V25*100</f>
        <v>#DIV/0!</v>
      </c>
      <c r="Y25" s="123">
        <f>населення!Y25+льготи!Y25+субсидии!Y25+'держ.бюджет'!Y25+'місц.-район.бюджет'!Y25+обласной!Y25+'госпрозрахунк.'!Y25</f>
        <v>158.10000000000002</v>
      </c>
      <c r="Z25" s="123">
        <f>населення!Z25+льготи!Z25+субсидии!Z25+'держ.бюджет'!Z25+'місц.-район.бюджет'!Z25+обласной!Z25+'госпрозрахунк.'!Z25</f>
        <v>1418.3000000000002</v>
      </c>
      <c r="AA25" s="123">
        <f>Z25/Y25*100</f>
        <v>897.090449082859</v>
      </c>
      <c r="AB25" s="123">
        <f>населення!AB25+льготи!AB25+субсидии!AB25+'держ.бюджет'!AB25+'місц.-район.бюджет'!AB25+обласной!AB25+'госпрозрахунк.'!AB25</f>
        <v>0</v>
      </c>
      <c r="AC25" s="123">
        <f>населення!AC25+льготи!AC25+субсидии!AC25+'держ.бюджет'!AC25+'місц.-район.бюджет'!AC25+обласной!AC25+'госпрозрахунк.'!AC25</f>
        <v>3.1</v>
      </c>
      <c r="AD25" s="125" t="e">
        <f t="shared" si="7"/>
        <v>#DIV/0!</v>
      </c>
      <c r="AE25" s="123">
        <f>населення!AE25+льготи!AE25+субсидии!AE25+'держ.бюджет'!AE25+'місц.-район.бюджет'!AE25+обласной!AE25+'госпрозрахунк.'!AE25</f>
        <v>0</v>
      </c>
      <c r="AF25" s="123">
        <f>населення!AF25+льготи!AF25+субсидии!AF25+'держ.бюджет'!AF25+'місц.-район.бюджет'!AF25+обласной!AF25+'госпрозрахунк.'!AF25</f>
        <v>0</v>
      </c>
      <c r="AG25" s="125" t="e">
        <f>AF25/AE25*100</f>
        <v>#DIV/0!</v>
      </c>
      <c r="AH25" s="123">
        <f>населення!AH25+льготи!AH25+субсидии!AH25+'держ.бюджет'!AH25+'місц.-район.бюджет'!AH25+обласной!AH25+'госпрозрахунк.'!AH25</f>
        <v>0</v>
      </c>
      <c r="AI25" s="123">
        <f>населення!AI25+льготи!AI25+субсидии!AI25+'держ.бюджет'!AI25+'місц.-район.бюджет'!AI25+обласной!AI25+'госпрозрахунк.'!AI25</f>
        <v>0</v>
      </c>
      <c r="AJ25" s="123">
        <f>населення!AJ25+льготи!AJ25+субсидии!AJ25+'держ.бюджет'!AJ25+'місц.-район.бюджет'!AJ25+обласной!AJ25+'госпрозрахунк.'!AJ25</f>
        <v>0</v>
      </c>
      <c r="AK25" s="123">
        <f>населення!AK25+льготи!AK25+субсидии!AK25+'держ.бюджет'!AK25+'місц.-район.бюджет'!AK25+обласной!AK25+'госпрозрахунк.'!AK25</f>
        <v>3.1</v>
      </c>
      <c r="AL25" s="125" t="e">
        <f t="shared" si="8"/>
        <v>#DIV/0!</v>
      </c>
      <c r="AM25" s="123">
        <f>населення!AM25+льготи!AM25+субсидии!AM25+'держ.бюджет'!AM25+'місц.-район.бюджет'!AM25+обласной!AM25+'госпрозрахунк.'!AM25</f>
        <v>0</v>
      </c>
      <c r="AN25" s="123">
        <f>населення!AN25+льготи!AN25+субсидии!AN25+'держ.бюджет'!AN25+'місц.-район.бюджет'!AN25+обласной!AN25+'госпрозрахунк.'!AN25</f>
        <v>0</v>
      </c>
      <c r="AO25" s="123">
        <f>населення!AO25+льготи!AO25+субсидии!AO25+'держ.бюджет'!AO25+'місц.-район.бюджет'!AO25+обласной!AO25+'госпрозрахунк.'!AO25</f>
        <v>0</v>
      </c>
      <c r="AP25" s="123">
        <f>населення!AP25+льготи!AP25+субсидии!AP25+'держ.бюджет'!AP25+'місц.-район.бюджет'!AP25+обласной!AP25+'госпрозрахунк.'!AP25</f>
        <v>0</v>
      </c>
      <c r="AQ25" s="123">
        <f>населення!AR25+льготи!AQ25+субсидии!AQ25+'держ.бюджет'!AQ25+'місц.-район.бюджет'!AQ25+обласной!AQ25+'госпрозрахунк.'!AQ25</f>
        <v>0</v>
      </c>
      <c r="AR25" s="123">
        <f>населення!AS25+льготи!AR25+субсидии!AR25+'держ.бюджет'!AR25+'місц.-район.бюджет'!AR25+обласной!AR25+'госпрозрахунк.'!AR25</f>
        <v>0</v>
      </c>
      <c r="AS25" s="123">
        <f>населення!AT25+льготи!AS25+субсидии!AS25+'держ.бюджет'!AS25+'місц.-район.бюджет'!AS25+обласной!AS25+'госпрозрахунк.'!AS25</f>
        <v>3056.4</v>
      </c>
      <c r="AT25" s="123">
        <f>населення!AU25+льготи!AT25+субсидии!AT25+'держ.бюджет'!AT25+'місц.-район.бюджет'!AT25+обласной!AT25+'госпрозрахунк.'!AT25</f>
        <v>3026.2000000000003</v>
      </c>
      <c r="AU25" s="123">
        <f t="shared" si="9"/>
        <v>99.01190943593771</v>
      </c>
      <c r="AV25" s="123">
        <f>населення!AW25+льготи!AV25+субсидии!AV25+'держ.бюджет'!AV25+'місц.-район.бюджет'!AV25+обласной!AV25+'госпрозрахунк.'!AV25</f>
        <v>30.200000000000045</v>
      </c>
      <c r="AW25" s="123">
        <f>населення!AX25+льготи!AW25+субсидии!AW25+'держ.бюджет'!AW25+'місц.-район.бюджет'!AW25+обласной!AW25+'госпрозрахунк.'!AW25</f>
        <v>-505.7999999999999</v>
      </c>
      <c r="AX25" s="20">
        <f t="shared" si="11"/>
        <v>3056.4</v>
      </c>
      <c r="AY25" s="20">
        <f t="shared" si="12"/>
        <v>3026.2</v>
      </c>
      <c r="AZ25" s="20">
        <f t="shared" si="10"/>
        <v>30.200000000000273</v>
      </c>
      <c r="BA25" s="20">
        <f t="shared" si="2"/>
        <v>-505.7999999999997</v>
      </c>
    </row>
    <row r="26" spans="1:53" ht="27" customHeight="1">
      <c r="A26" s="19">
        <v>19</v>
      </c>
      <c r="B26" s="15" t="s">
        <v>96</v>
      </c>
      <c r="C26" s="123">
        <f>населення!C26+льготи!C26+субсидии!C26+'держ.бюджет'!C26+'місц.-район.бюджет'!C26+обласной!C26+'госпрозрахунк.'!C26</f>
        <v>1831.1000000000001</v>
      </c>
      <c r="D26" s="124">
        <f>населення!D26+льготи!D26+субсидии!D26+'держ.бюджет'!D26+'місц.-район.бюджет'!D26+обласной!D26+'госпрозрахунк.'!D26</f>
        <v>2712.5</v>
      </c>
      <c r="E26" s="124">
        <f>населення!E26+льготи!E26+субсидии!E26+'держ.бюджет'!E26+'місц.-район.бюджет'!E26+обласной!E26+'госпрозрахунк.'!E26</f>
        <v>252.1</v>
      </c>
      <c r="F26" s="14">
        <f t="shared" si="3"/>
        <v>9.294009216589862</v>
      </c>
      <c r="G26" s="124">
        <f>населення!G26+льготи!G26+субсидии!G26+'держ.бюджет'!G26+'місц.-район.бюджет'!G26+обласной!G26+'госпрозрахунк.'!G26</f>
        <v>2475.5</v>
      </c>
      <c r="H26" s="124">
        <f>населення!H26+льготи!H26+субсидии!H26+'держ.бюджет'!H26+'місц.-район.бюджет'!H26+обласной!H26+'госпрозрахунк.'!H26</f>
        <v>1341.5</v>
      </c>
      <c r="I26" s="14">
        <f>H26/G26*100</f>
        <v>54.191072510603924</v>
      </c>
      <c r="J26" s="124">
        <f>населення!J26+льготи!J26+субсидии!J26+'держ.бюджет'!J26+'місц.-район.бюджет'!J26+обласной!J26+'госпрозрахунк.'!J26</f>
        <v>2391</v>
      </c>
      <c r="K26" s="124">
        <f>населення!K26+льготи!K26+субсидии!K26+'держ.бюджет'!K26+'місц.-район.бюджет'!K26+обласной!K26+'госпрозрахунк.'!K26</f>
        <v>1354.1999999999998</v>
      </c>
      <c r="L26" s="14">
        <f t="shared" si="0"/>
        <v>56.63739021329987</v>
      </c>
      <c r="M26" s="123">
        <f>населення!M26+льготи!M26+субсидии!M26+'держ.бюджет'!M26+'місц.-район.бюджет'!M26+обласной!M26+'госпрозрахунк.'!M26</f>
        <v>7578.999999999999</v>
      </c>
      <c r="N26" s="123">
        <f>населення!N26+льготи!N26+субсидии!N26+'держ.бюджет'!N26+'місц.-район.бюджет'!N26+обласной!N26+'госпрозрахунк.'!N26</f>
        <v>2947.8</v>
      </c>
      <c r="O26" s="123">
        <f t="shared" si="5"/>
        <v>38.89431323393588</v>
      </c>
      <c r="P26" s="123">
        <f>населення!P26+льготи!P26+субсидии!P26+'держ.бюджет'!P26+'місц.-район.бюджет'!P26+обласной!P26+'госпрозрахунк.'!P26</f>
        <v>268.4</v>
      </c>
      <c r="Q26" s="123">
        <f>населення!Q26+льготи!Q26+субсидии!Q26+'держ.бюджет'!Q26+'місц.-район.бюджет'!Q26+обласной!Q26+'госпрозрахунк.'!Q26</f>
        <v>2571.7</v>
      </c>
      <c r="R26" s="123">
        <f t="shared" si="6"/>
        <v>958.1594634873322</v>
      </c>
      <c r="S26" s="123">
        <f>населення!S26+льготи!S26+субсидии!S26+'держ.бюджет'!S26+'місц.-район.бюджет'!S26+обласной!S26+'госпрозрахунк.'!S26</f>
        <v>-0.09999999999999964</v>
      </c>
      <c r="T26" s="123">
        <f>населення!T26+льготи!T26+субсидии!T26+'держ.бюджет'!T26+'місц.-район.бюджет'!T26+обласной!T26+'госпрозрахунк.'!T26</f>
        <v>491.20000000000005</v>
      </c>
      <c r="U26" s="123">
        <f>T26/S26*100</f>
        <v>-491200.0000000018</v>
      </c>
      <c r="V26" s="123">
        <f>населення!V26+льготи!V26+субсидии!V26+'держ.бюджет'!V26+'місц.-район.бюджет'!V26+обласной!V26+'госпрозрахунк.'!V26</f>
        <v>0</v>
      </c>
      <c r="W26" s="123">
        <f>населення!W26+льготи!W26+субсидии!W26+'держ.бюджет'!W26+'місц.-район.бюджет'!W26+обласной!W26+'госпрозрахунк.'!W26</f>
        <v>1142.3</v>
      </c>
      <c r="X26" s="125" t="e">
        <f>W26/V26*100</f>
        <v>#DIV/0!</v>
      </c>
      <c r="Y26" s="123">
        <f>населення!Y26+льготи!Y26+субсидии!Y26+'держ.бюджет'!Y26+'місц.-район.бюджет'!Y26+обласной!Y26+'госпрозрахунк.'!Y26</f>
        <v>268.3</v>
      </c>
      <c r="Z26" s="123">
        <f>населення!Z26+льготи!Z26+субсидии!Z26+'держ.бюджет'!Z26+'місц.-район.бюджет'!Z26+обласной!Z26+'госпрозрахунк.'!Z26</f>
        <v>4205.2</v>
      </c>
      <c r="AA26" s="123">
        <f>Z26/Y26*100</f>
        <v>1567.3499813641445</v>
      </c>
      <c r="AB26" s="123">
        <f>населення!AB26+льготи!AB26+субсидии!AB26+'держ.бюджет'!AB26+'місц.-район.бюджет'!AB26+обласной!AB26+'госпрозрахунк.'!AB26</f>
        <v>0</v>
      </c>
      <c r="AC26" s="123">
        <f>населення!AC26+льготи!AC26+субсидии!AC26+'держ.бюджет'!AC26+'місц.-район.бюджет'!AC26+обласной!AC26+'госпрозрахунк.'!AC26</f>
        <v>241.5</v>
      </c>
      <c r="AD26" s="125" t="e">
        <f t="shared" si="7"/>
        <v>#DIV/0!</v>
      </c>
      <c r="AE26" s="123">
        <f>населення!AE26+льготи!AE26+субсидии!AE26+'держ.бюджет'!AE26+'місц.-район.бюджет'!AE26+обласной!AE26+'госпрозрахунк.'!AE26</f>
        <v>0</v>
      </c>
      <c r="AF26" s="123">
        <f>населення!AF26+льготи!AF26+субсидии!AF26+'держ.бюджет'!AF26+'місц.-район.бюджет'!AF26+обласной!AF26+'госпрозрахунк.'!AF26</f>
        <v>0</v>
      </c>
      <c r="AG26" s="125" t="e">
        <f>AF26/AE26*100</f>
        <v>#DIV/0!</v>
      </c>
      <c r="AH26" s="123">
        <f>населення!AH26+льготи!AH26+субсидии!AH26+'держ.бюджет'!AH26+'місц.-район.бюджет'!AH26+обласной!AH26+'госпрозрахунк.'!AH26</f>
        <v>0</v>
      </c>
      <c r="AI26" s="123">
        <f>населення!AI26+льготи!AI26+субсидии!AI26+'держ.бюджет'!AI26+'місц.-район.бюджет'!AI26+обласной!AI26+'госпрозрахунк.'!AI26</f>
        <v>0</v>
      </c>
      <c r="AJ26" s="123">
        <f>населення!AJ26+льготи!AJ26+субсидии!AJ26+'держ.бюджет'!AJ26+'місц.-район.бюджет'!AJ26+обласной!AJ26+'госпрозрахунк.'!AJ26</f>
        <v>0</v>
      </c>
      <c r="AK26" s="123">
        <f>населення!AK26+льготи!AK26+субсидии!AK26+'держ.бюджет'!AK26+'місц.-район.бюджет'!AK26+обласной!AK26+'госпрозрахунк.'!AK26</f>
        <v>241.5</v>
      </c>
      <c r="AL26" s="125" t="e">
        <f t="shared" si="8"/>
        <v>#DIV/0!</v>
      </c>
      <c r="AM26" s="123">
        <f>населення!AM26+льготи!AM26+субсидии!AM26+'держ.бюджет'!AM26+'місц.-район.бюджет'!AM26+обласной!AM26+'госпрозрахунк.'!AM26</f>
        <v>0</v>
      </c>
      <c r="AN26" s="123">
        <f>населення!AN26+льготи!AN26+субсидии!AN26+'держ.бюджет'!AN26+'місц.-район.бюджет'!AN26+обласной!AN26+'госпрозрахунк.'!AN26</f>
        <v>0</v>
      </c>
      <c r="AO26" s="123">
        <f>населення!AO26+льготи!AO26+субсидии!AO26+'держ.бюджет'!AO26+'місц.-район.бюджет'!AO26+обласной!AO26+'госпрозрахунк.'!AO26</f>
        <v>0</v>
      </c>
      <c r="AP26" s="123">
        <f>населення!AP26+льготи!AP26+субсидии!AP26+'держ.бюджет'!AP26+'місц.-район.бюджет'!AP26+обласной!AP26+'госпрозрахунк.'!AP26</f>
        <v>0</v>
      </c>
      <c r="AQ26" s="123">
        <f>населення!AR26+льготи!AQ26+субсидии!AQ26+'держ.бюджет'!AQ26+'місц.-район.бюджет'!AQ26+обласной!AQ26+'госпрозрахунк.'!AQ26</f>
        <v>0</v>
      </c>
      <c r="AR26" s="123">
        <f>населення!AS26+льготи!AR26+субсидии!AR26+'держ.бюджет'!AR26+'місц.-район.бюджет'!AR26+обласной!AR26+'госпрозрахунк.'!AR26</f>
        <v>0</v>
      </c>
      <c r="AS26" s="123">
        <f>населення!AT26+льготи!AS26+субсидии!AS26+'держ.бюджет'!AS26+'місц.-район.бюджет'!AS26+обласной!AS26+'госпрозрахунк.'!AS26</f>
        <v>7847.299999999999</v>
      </c>
      <c r="AT26" s="123">
        <f>населення!AU26+льготи!AT26+субсидии!AT26+'держ.бюджет'!AT26+'місц.-район.бюджет'!AT26+обласной!AT26+'госпрозрахунк.'!AT26</f>
        <v>7394.5</v>
      </c>
      <c r="AU26" s="123">
        <f t="shared" si="9"/>
        <v>94.22986250047788</v>
      </c>
      <c r="AV26" s="123">
        <f>населення!AW26+льготи!AV26+субсидии!AV26+'держ.бюджет'!AV26+'місц.-район.бюджет'!AV26+обласной!AV26+'госпрозрахунк.'!AV26</f>
        <v>452.7999999999994</v>
      </c>
      <c r="AW26" s="123">
        <f>населення!AX26+льготи!AW26+субсидии!AW26+'держ.бюджет'!AW26+'місц.-район.бюджет'!AW26+обласной!AW26+'госпрозрахунк.'!AW26</f>
        <v>2283.8999999999987</v>
      </c>
      <c r="AX26" s="20">
        <f t="shared" si="11"/>
        <v>7847.299999999999</v>
      </c>
      <c r="AY26" s="20">
        <f t="shared" si="12"/>
        <v>7394.5</v>
      </c>
      <c r="AZ26" s="20">
        <f t="shared" si="10"/>
        <v>452.7999999999993</v>
      </c>
      <c r="BA26" s="20">
        <f t="shared" si="2"/>
        <v>2283.8999999999996</v>
      </c>
    </row>
    <row r="27" spans="1:53" ht="30" customHeight="1">
      <c r="A27" s="19">
        <v>20</v>
      </c>
      <c r="B27" s="15" t="s">
        <v>55</v>
      </c>
      <c r="C27" s="123">
        <f>населення!C27+льготи!C27+субсидии!C27+'держ.бюджет'!C27+'місц.-район.бюджет'!C27+обласной!C27+'госпрозрахунк.'!C27</f>
        <v>7724.600000000001</v>
      </c>
      <c r="D27" s="124">
        <f>населення!D27+льготи!D27+субсидии!D27+'держ.бюджет'!D27+'місц.-район.бюджет'!D27+обласной!D27+'госпрозрахунк.'!D27</f>
        <v>4918.499999999999</v>
      </c>
      <c r="E27" s="124">
        <f>населення!E27+льготи!E27+субсидии!E27+'держ.бюджет'!E27+'місц.-район.бюджет'!E27+обласной!E27+'госпрозрахунк.'!E27</f>
        <v>2481</v>
      </c>
      <c r="F27" s="14">
        <f t="shared" si="3"/>
        <v>50.44220799024094</v>
      </c>
      <c r="G27" s="124">
        <f>населення!G27+льготи!G27+субсидии!G27+'держ.бюджет'!G27+'місц.-район.бюджет'!G27+обласной!G27+'госпрозрахунк.'!G27</f>
        <v>5106</v>
      </c>
      <c r="H27" s="124">
        <f>населення!H27+льготи!H27+субсидии!H27+'держ.бюджет'!H27+'місц.-район.бюджет'!H27+обласной!H27+'госпрозрахунк.'!H27</f>
        <v>4401.700000000001</v>
      </c>
      <c r="I27" s="14">
        <f>H27/G27*100</f>
        <v>86.20642381511948</v>
      </c>
      <c r="J27" s="124">
        <f>населення!J27+льготи!J27+субсидии!J27+'держ.бюджет'!J27+'місц.-район.бюджет'!J27+обласной!J27+'госпрозрахунк.'!J27</f>
        <v>5779.2</v>
      </c>
      <c r="K27" s="124">
        <f>населення!K27+льготи!K27+субсидии!K27+'держ.бюджет'!K27+'місц.-район.бюджет'!K27+обласной!K27+'госпрозрахунк.'!K27</f>
        <v>3198.6</v>
      </c>
      <c r="L27" s="14">
        <f t="shared" si="0"/>
        <v>55.3467607973422</v>
      </c>
      <c r="M27" s="123">
        <f>населення!M27+льготи!M27+субсидии!M27+'держ.бюджет'!M27+'місц.-район.бюджет'!M27+обласной!M27+'госпрозрахунк.'!M27</f>
        <v>15803.700000000003</v>
      </c>
      <c r="N27" s="123">
        <f>населення!N27+льготи!N27+субсидии!N27+'держ.бюджет'!N27+'місц.-район.бюджет'!N27+обласной!N27+'госпрозрахунк.'!N27</f>
        <v>10081.3</v>
      </c>
      <c r="O27" s="123">
        <f t="shared" si="5"/>
        <v>63.790757860501</v>
      </c>
      <c r="P27" s="123">
        <f>населення!P27+льготи!P27+субсидии!P27+'держ.бюджет'!P27+'місц.-район.бюджет'!P27+обласной!P27+'госпрозрахунк.'!P27</f>
        <v>1397.2999999999997</v>
      </c>
      <c r="Q27" s="123">
        <f>населення!Q27+льготи!Q27+субсидии!Q27+'держ.бюджет'!Q27+'місц.-район.бюджет'!Q27+обласной!Q27+'госпрозрахунк.'!Q27</f>
        <v>7068.299999999999</v>
      </c>
      <c r="R27" s="123">
        <f t="shared" si="6"/>
        <v>505.8541472840479</v>
      </c>
      <c r="S27" s="123">
        <f>населення!S27+льготи!S27+субсидии!S27+'держ.бюджет'!S27+'місц.-район.бюджет'!S27+обласной!S27+'госпрозрахунк.'!S27</f>
        <v>-593.7</v>
      </c>
      <c r="T27" s="123">
        <f>населення!T27+льготи!T27+субсидии!T27+'держ.бюджет'!T27+'місц.-район.бюджет'!T27+обласной!T27+'госпрозрахунк.'!T27</f>
        <v>1337.7</v>
      </c>
      <c r="U27" s="123"/>
      <c r="V27" s="123">
        <f>населення!V27+льготи!V27+субсидии!V27+'держ.бюджет'!V27+'місц.-район.бюджет'!V27+обласной!V27+'госпрозрахунк.'!V27</f>
        <v>0</v>
      </c>
      <c r="W27" s="123">
        <f>населення!W27+льготи!W27+субсидии!W27+'держ.бюджет'!W27+'місц.-район.бюджет'!W27+обласной!W27+'госпрозрахунк.'!W27</f>
        <v>213.5</v>
      </c>
      <c r="X27" s="123"/>
      <c r="Y27" s="123">
        <f>населення!Y27+льготи!Y27+субсидии!Y27+'держ.бюджет'!Y27+'місц.-район.бюджет'!Y27+обласной!Y27+'госпрозрахунк.'!Y27</f>
        <v>803.5999999999999</v>
      </c>
      <c r="Z27" s="123">
        <f>населення!Z27+льготи!Z27+субсидии!Z27+'держ.бюджет'!Z27+'місц.-район.бюджет'!Z27+обласной!Z27+'госпрозрахунк.'!Z27</f>
        <v>8619.5</v>
      </c>
      <c r="AA27" s="123">
        <f>Z27/Y27*100</f>
        <v>1072.6107516177203</v>
      </c>
      <c r="AB27" s="123">
        <f>населення!AB27+льготи!AB27+субсидии!AB27+'держ.бюджет'!AB27+'місц.-район.бюджет'!AB27+обласной!AB27+'госпрозрахунк.'!AB27</f>
        <v>0</v>
      </c>
      <c r="AC27" s="123">
        <f>населення!AC27+льготи!AC27+субсидии!AC27+'держ.бюджет'!AC27+'місц.-район.бюджет'!AC27+обласной!AC27+'госпрозрахунк.'!AC27</f>
        <v>235.3</v>
      </c>
      <c r="AD27" s="126" t="e">
        <f t="shared" si="7"/>
        <v>#DIV/0!</v>
      </c>
      <c r="AE27" s="123">
        <f>населення!AE27+льготи!AE27+субсидии!AE27+'держ.бюджет'!AE27+'місц.-район.бюджет'!AE27+обласной!AE27+'госпрозрахунк.'!AE27</f>
        <v>0</v>
      </c>
      <c r="AF27" s="123">
        <f>населення!AF27+льготи!AF27+субсидии!AF27+'держ.бюджет'!AF27+'місц.-район.бюджет'!AF27+обласной!AF27+'госпрозрахунк.'!AF27</f>
        <v>0</v>
      </c>
      <c r="AG27" s="125" t="e">
        <f>AF27/AE27*100</f>
        <v>#DIV/0!</v>
      </c>
      <c r="AH27" s="123">
        <f>населення!AH27+льготи!AH27+субсидии!AH27+'держ.бюджет'!AH27+'місц.-район.бюджет'!AH27+обласной!AH27+'госпрозрахунк.'!AH27</f>
        <v>0</v>
      </c>
      <c r="AI27" s="123">
        <f>населення!AI27+льготи!AI27+субсидии!AI27+'держ.бюджет'!AI27+'місц.-район.бюджет'!AI27+обласной!AI27+'госпрозрахунк.'!AI27</f>
        <v>0</v>
      </c>
      <c r="AJ27" s="123">
        <f>населення!AJ27+льготи!AJ27+субсидии!AJ27+'держ.бюджет'!AJ27+'місц.-район.бюджет'!AJ27+обласной!AJ27+'госпрозрахунк.'!AJ27</f>
        <v>0</v>
      </c>
      <c r="AK27" s="123">
        <f>населення!AK27+льготи!AK27+субсидии!AK27+'держ.бюджет'!AK27+'місц.-район.бюджет'!AK27+обласной!AK27+'госпрозрахунк.'!AK27</f>
        <v>235.3</v>
      </c>
      <c r="AL27" s="125" t="e">
        <f t="shared" si="8"/>
        <v>#DIV/0!</v>
      </c>
      <c r="AM27" s="123">
        <f>населення!AM27+льготи!AM27+субсидии!AM27+'держ.бюджет'!AM27+'місц.-район.бюджет'!AM27+обласной!AM27+'госпрозрахунк.'!AM27</f>
        <v>0</v>
      </c>
      <c r="AN27" s="123">
        <f>населення!AN27+льготи!AN27+субсидии!AN27+'держ.бюджет'!AN27+'місц.-район.бюджет'!AN27+обласной!AN27+'госпрозрахунк.'!AN27</f>
        <v>0</v>
      </c>
      <c r="AO27" s="123">
        <f>населення!AO27+льготи!AO27+субсидии!AO27+'держ.бюджет'!AO27+'місц.-район.бюджет'!AO27+обласной!AO27+'госпрозрахунк.'!AO27</f>
        <v>0</v>
      </c>
      <c r="AP27" s="123">
        <f>населення!AP27+льготи!AP27+субсидии!AP27+'держ.бюджет'!AP27+'місц.-район.бюджет'!AP27+обласной!AP27+'госпрозрахунк.'!AP27</f>
        <v>0</v>
      </c>
      <c r="AQ27" s="123">
        <f>населення!AR27+льготи!AQ27+субсидии!AQ27+'держ.бюджет'!AQ27+'місц.-район.бюджет'!AQ27+обласной!AQ27+'госпрозрахунк.'!AQ27</f>
        <v>0</v>
      </c>
      <c r="AR27" s="123">
        <f>населення!AS27+льготи!AR27+субсидии!AR27+'держ.бюджет'!AR27+'місц.-район.бюджет'!AR27+обласной!AR27+'госпрозрахунк.'!AR27</f>
        <v>0</v>
      </c>
      <c r="AS27" s="123">
        <f>населення!AT27+льготи!AS27+субсидии!AS27+'держ.бюджет'!AS27+'місц.-район.бюджет'!AS27+обласной!AS27+'госпрозрахунк.'!AS27</f>
        <v>16607.300000000003</v>
      </c>
      <c r="AT27" s="123">
        <f>населення!AU27+льготи!AT27+субсидии!AT27+'держ.бюджет'!AT27+'місц.-район.бюджет'!AT27+обласной!AT27+'госпрозрахунк.'!AT27</f>
        <v>18936.1</v>
      </c>
      <c r="AU27" s="123">
        <f t="shared" si="9"/>
        <v>114.02274903205213</v>
      </c>
      <c r="AV27" s="123">
        <f>населення!AW27+льготи!AV27+субсидии!AV27+'держ.бюджет'!AV27+'місц.-район.бюджет'!AV27+обласной!AV27+'госпрозрахунк.'!AV27</f>
        <v>-2328.7999999999997</v>
      </c>
      <c r="AW27" s="123">
        <f>населення!AX27+льготи!AW27+субсидии!AW27+'держ.бюджет'!AW27+'місц.-район.бюджет'!AW27+обласной!AW27+'госпрозрахунк.'!AW27</f>
        <v>5395.800000000001</v>
      </c>
      <c r="AX27" s="20">
        <f t="shared" si="11"/>
        <v>16607.300000000003</v>
      </c>
      <c r="AY27" s="20">
        <f t="shared" si="12"/>
        <v>18936.1</v>
      </c>
      <c r="AZ27" s="20">
        <f t="shared" si="10"/>
        <v>-2328.7999999999956</v>
      </c>
      <c r="BA27" s="20">
        <f t="shared" si="2"/>
        <v>5395.800000000007</v>
      </c>
    </row>
    <row r="28" spans="1:53" s="132" customFormat="1" ht="30.75" customHeight="1">
      <c r="A28" s="128">
        <v>21</v>
      </c>
      <c r="B28" s="129" t="s">
        <v>97</v>
      </c>
      <c r="C28" s="138">
        <f>населення!C28+льготи!C28+субсидии!C28+'держ.бюджет'!C28+'місц.-район.бюджет'!C28+обласной!C28+'госпрозрахунк.'!C28</f>
        <v>-482.70000000000005</v>
      </c>
      <c r="D28" s="130">
        <f>населення!D28+льготи!D28+субсидии!D28+'держ.бюджет'!D28+'місц.-район.бюджет'!D28+обласной!D28+'госпрозрахунк.'!D28</f>
        <v>2752.5</v>
      </c>
      <c r="E28" s="130">
        <f>населення!E28+льготи!E28+субсидии!E28+'держ.бюджет'!E28+'місц.-район.бюджет'!E28+обласной!E28+'госпрозрахунк.'!E28</f>
        <v>1472</v>
      </c>
      <c r="F28" s="14">
        <f t="shared" si="3"/>
        <v>53.478655767484106</v>
      </c>
      <c r="G28" s="130">
        <f>населення!G28+льготи!G28+субсидии!G28+'держ.бюджет'!G28+'місц.-район.бюджет'!G28+обласной!G28+'госпрозрахунк.'!G28</f>
        <v>2529.5</v>
      </c>
      <c r="H28" s="130">
        <f>населення!H28+льготи!H28+субсидии!H28+'держ.бюджет'!H28+'місц.-район.бюджет'!H28+обласной!H28+'госпрозрахунк.'!H28</f>
        <v>2437.2000000000003</v>
      </c>
      <c r="I28" s="33">
        <f>H28/G28*100</f>
        <v>96.35105752124927</v>
      </c>
      <c r="J28" s="130">
        <f>населення!J28+льготи!J28+субсидии!J28+'держ.бюджет'!J28+'місц.-район.бюджет'!J28+обласной!J28+'госпрозрахунк.'!J28</f>
        <v>2735.7000000000003</v>
      </c>
      <c r="K28" s="130">
        <f>населення!K28+льготи!K28+субсидии!K28+'держ.бюджет'!K28+'місц.-район.бюджет'!K28+обласной!K28+'госпрозрахунк.'!K28</f>
        <v>2878.4000000000005</v>
      </c>
      <c r="L28" s="14">
        <f t="shared" si="0"/>
        <v>105.21621522827796</v>
      </c>
      <c r="M28" s="126">
        <f>населення!M28+льготи!M28+субсидии!M28+'держ.бюджет'!M28+'місц.-район.бюджет'!M28+обласной!M28+'госпрозрахунк.'!M28</f>
        <v>8017.7</v>
      </c>
      <c r="N28" s="126">
        <f>населення!N28+льготи!N28+субсидии!N28+'держ.бюджет'!N28+'місц.-район.бюджет'!N28+обласной!N28+'госпрозрахунк.'!N28</f>
        <v>6787.6</v>
      </c>
      <c r="O28" s="126">
        <f t="shared" si="5"/>
        <v>84.65769485014405</v>
      </c>
      <c r="P28" s="126">
        <f>населення!P28+льготи!P28+субсидии!P28+'держ.бюджет'!P28+'місц.-район.бюджет'!P28+обласной!P28+'госпрозрахунк.'!P28</f>
        <v>253.7</v>
      </c>
      <c r="Q28" s="126">
        <f>населення!Q28+льготи!Q28+субсидии!Q28+'держ.бюджет'!Q28+'місц.-район.бюджет'!Q28+обласной!Q28+'госпрозрахунк.'!Q28</f>
        <v>541.4</v>
      </c>
      <c r="R28" s="126">
        <f t="shared" si="6"/>
        <v>213.4016554986204</v>
      </c>
      <c r="S28" s="126">
        <f>населення!S28+льготи!S28+субсидии!S28+'держ.бюджет'!S28+'місц.-район.бюджет'!S28+обласной!S28+'госпрозрахунк.'!S28</f>
        <v>0</v>
      </c>
      <c r="T28" s="126">
        <f>населення!T28+льготи!T28+субсидии!T28+'держ.бюджет'!T28+'місц.-район.бюджет'!T28+обласной!T28+'госпрозрахунк.'!T28</f>
        <v>302.70000000000005</v>
      </c>
      <c r="U28" s="126"/>
      <c r="V28" s="126">
        <f>населення!V28+льготи!V28+субсидии!V28+'держ.бюджет'!V28+'місц.-район.бюджет'!V28+обласной!V28+'госпрозрахунк.'!V28</f>
        <v>0</v>
      </c>
      <c r="W28" s="126">
        <f>населення!W28+льготи!W28+субсидии!W28+'держ.бюджет'!W28+'місц.-район.бюджет'!W28+обласной!W28+'госпрозрахунк.'!W28</f>
        <v>112.69999999999999</v>
      </c>
      <c r="X28" s="126"/>
      <c r="Y28" s="126">
        <f>населення!Y28+льготи!Y28+субсидии!Y28+'держ.бюджет'!Y28+'місц.-район.бюджет'!Y28+обласной!Y28+'госпрозрахунк.'!Y28</f>
        <v>253.7</v>
      </c>
      <c r="Z28" s="126">
        <f>населення!Z28+льготи!Z28+субсидии!Z28+'держ.бюджет'!Z28+'місц.-район.бюджет'!Z28+обласной!Z28+'госпрозрахунк.'!Z28</f>
        <v>956.8000000000001</v>
      </c>
      <c r="AA28" s="126">
        <f>Z28/Y28*100</f>
        <v>377.1383523847064</v>
      </c>
      <c r="AB28" s="126">
        <f>населення!AB28+льготи!AB28+субсидии!AB28+'держ.бюджет'!AB28+'місц.-район.бюджет'!AB28+обласной!AB28+'госпрозрахунк.'!AB28</f>
        <v>0</v>
      </c>
      <c r="AC28" s="126">
        <f>населення!AC28+льготи!AC28+субсидии!AC28+'держ.бюджет'!AC28+'місц.-район.бюджет'!AC28+обласной!AC28+'госпрозрахунк.'!AC28</f>
        <v>40.2</v>
      </c>
      <c r="AD28" s="126">
        <v>0</v>
      </c>
      <c r="AE28" s="126">
        <f>населення!AE28+льготи!AE28+субсидии!AE28+'держ.бюджет'!AE28+'місц.-район.бюджет'!AE28+обласной!AE28+'госпрозрахунк.'!AE28</f>
        <v>0</v>
      </c>
      <c r="AF28" s="126">
        <f>населення!AF28+льготи!AF28+субсидии!AF28+'держ.бюджет'!AF28+'місц.-район.бюджет'!AF28+обласной!AF28+'госпрозрахунк.'!AF28</f>
        <v>0</v>
      </c>
      <c r="AG28" s="126">
        <v>0</v>
      </c>
      <c r="AH28" s="126">
        <f>населення!AH28+льготи!AH28+субсидии!AH28+'держ.бюджет'!AH28+'місц.-район.бюджет'!AH28+обласной!AH28+'госпрозрахунк.'!AH28</f>
        <v>0</v>
      </c>
      <c r="AI28" s="126">
        <f>населення!AI28+льготи!AI28+субсидии!AI28+'держ.бюджет'!AI28+'місц.-район.бюджет'!AI28+обласной!AI28+'госпрозрахунк.'!AI28</f>
        <v>0</v>
      </c>
      <c r="AJ28" s="123">
        <f>населення!AJ28+льготи!AJ28+субсидии!AJ28+'держ.бюджет'!AJ28+'місц.-район.бюджет'!AJ28+обласной!AJ28+'госпрозрахунк.'!AJ28</f>
        <v>0</v>
      </c>
      <c r="AK28" s="123">
        <f>населення!AK28+льготи!AK28+субсидии!AK28+'держ.бюджет'!AK28+'місц.-район.бюджет'!AK28+обласной!AK28+'госпрозрахунк.'!AK28</f>
        <v>40.2</v>
      </c>
      <c r="AL28" s="125" t="e">
        <f t="shared" si="8"/>
        <v>#DIV/0!</v>
      </c>
      <c r="AM28" s="123">
        <f>населення!AM28+льготи!AM28+субсидии!AM28+'держ.бюджет'!AM28+'місц.-район.бюджет'!AM28+обласной!AM28+'госпрозрахунк.'!AM28</f>
        <v>0</v>
      </c>
      <c r="AN28" s="123">
        <f>населення!AN28+льготи!AN28+субсидии!AN28+'держ.бюджет'!AN28+'місц.-район.бюджет'!AN28+обласной!AN28+'госпрозрахунк.'!AN28</f>
        <v>0</v>
      </c>
      <c r="AO28" s="123">
        <f>населення!AO28+льготи!AO28+субсидии!AO28+'держ.бюджет'!AO28+'місц.-район.бюджет'!AO28+обласной!AO28+'госпрозрахунк.'!AO28</f>
        <v>0</v>
      </c>
      <c r="AP28" s="123">
        <f>населення!AP28+льготи!AP28+субсидии!AP28+'держ.бюджет'!AP28+'місц.-район.бюджет'!AP28+обласной!AP28+'госпрозрахунк.'!AP28</f>
        <v>0</v>
      </c>
      <c r="AQ28" s="123">
        <f>населення!AR28+льготи!AQ28+субсидии!AQ28+'держ.бюджет'!AQ28+'місц.-район.бюджет'!AQ28+обласной!AQ28+'госпрозрахунк.'!AQ28</f>
        <v>0</v>
      </c>
      <c r="AR28" s="123">
        <f>населення!AS28+льготи!AR28+субсидии!AR28+'держ.бюджет'!AR28+'місц.-район.бюджет'!AR28+обласной!AR28+'госпрозрахунк.'!AR28</f>
        <v>0</v>
      </c>
      <c r="AS28" s="123">
        <f>населення!AT28+льготи!AS28+субсидии!AS28+'держ.бюджет'!AS28+'місц.-район.бюджет'!AS28+обласной!AS28+'госпрозрахунк.'!AS28</f>
        <v>8271.4</v>
      </c>
      <c r="AT28" s="123">
        <f>населення!AU28+льготи!AT28+субсидии!AT28+'держ.бюджет'!AT28+'місц.-район.бюджет'!AT28+обласной!AT28+'госпрозрахунк.'!AT28</f>
        <v>7784.600000000001</v>
      </c>
      <c r="AU28" s="123">
        <f t="shared" si="9"/>
        <v>94.11466015426653</v>
      </c>
      <c r="AV28" s="126">
        <f>населення!AW28+льготи!AV28+субсидии!AV28+'держ.бюджет'!AV28+'місц.-район.бюджет'!AV28+обласной!AV28+'госпрозрахунк.'!AV28</f>
        <v>486.79999999999825</v>
      </c>
      <c r="AW28" s="126">
        <f>населення!AX28+льготи!AW28+субсидии!AW28+'держ.бюджет'!AW28+'місц.-район.бюджет'!AW28+обласной!AW28+'госпрозрахунк.'!AW28</f>
        <v>4.0999999999986585</v>
      </c>
      <c r="AX28" s="20">
        <f t="shared" si="11"/>
        <v>8271.4</v>
      </c>
      <c r="AY28" s="20">
        <f t="shared" si="12"/>
        <v>7784.6</v>
      </c>
      <c r="AZ28" s="131">
        <f t="shared" si="10"/>
        <v>486.7999999999993</v>
      </c>
      <c r="BA28" s="131">
        <f t="shared" si="2"/>
        <v>4.099999999999454</v>
      </c>
    </row>
    <row r="29" spans="1:53" ht="24.75" customHeight="1">
      <c r="A29" s="19">
        <v>22</v>
      </c>
      <c r="B29" s="1" t="s">
        <v>31</v>
      </c>
      <c r="C29" s="123"/>
      <c r="D29" s="35"/>
      <c r="E29" s="35"/>
      <c r="F29" s="14"/>
      <c r="G29" s="35"/>
      <c r="H29" s="35"/>
      <c r="I29" s="35"/>
      <c r="J29" s="124"/>
      <c r="K29" s="124"/>
      <c r="L29" s="14"/>
      <c r="M29" s="123"/>
      <c r="N29" s="123"/>
      <c r="O29" s="123"/>
      <c r="P29" s="123"/>
      <c r="Q29" s="123"/>
      <c r="R29" s="123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  <c r="AF29" s="123"/>
      <c r="AG29" s="123"/>
      <c r="AH29" s="123"/>
      <c r="AI29" s="123"/>
      <c r="AJ29" s="123"/>
      <c r="AK29" s="123"/>
      <c r="AL29" s="123"/>
      <c r="AM29" s="123"/>
      <c r="AN29" s="123"/>
      <c r="AO29" s="123"/>
      <c r="AP29" s="123"/>
      <c r="AQ29" s="123"/>
      <c r="AR29" s="123"/>
      <c r="AS29" s="123"/>
      <c r="AT29" s="123"/>
      <c r="AU29" s="123"/>
      <c r="AV29" s="123"/>
      <c r="AW29" s="123"/>
      <c r="AX29" s="20">
        <f t="shared" si="11"/>
        <v>0</v>
      </c>
      <c r="AY29" s="20">
        <f t="shared" si="12"/>
        <v>0</v>
      </c>
      <c r="AZ29" s="20">
        <f t="shared" si="10"/>
        <v>0</v>
      </c>
      <c r="BA29" s="20">
        <f t="shared" si="2"/>
        <v>0</v>
      </c>
    </row>
    <row r="30" spans="1:53" ht="24.75" customHeight="1">
      <c r="A30" s="19">
        <v>23</v>
      </c>
      <c r="B30" s="15" t="s">
        <v>32</v>
      </c>
      <c r="C30" s="123"/>
      <c r="D30" s="35"/>
      <c r="E30" s="35"/>
      <c r="F30" s="14"/>
      <c r="G30" s="35"/>
      <c r="H30" s="35"/>
      <c r="I30" s="35"/>
      <c r="J30" s="124"/>
      <c r="K30" s="124"/>
      <c r="L30" s="14"/>
      <c r="M30" s="123"/>
      <c r="N30" s="123"/>
      <c r="O30" s="123"/>
      <c r="P30" s="123"/>
      <c r="Q30" s="123"/>
      <c r="R30" s="123"/>
      <c r="S30" s="123"/>
      <c r="T30" s="123"/>
      <c r="U30" s="123"/>
      <c r="V30" s="123"/>
      <c r="W30" s="123"/>
      <c r="X30" s="123"/>
      <c r="Y30" s="123"/>
      <c r="Z30" s="123"/>
      <c r="AA30" s="123"/>
      <c r="AB30" s="123"/>
      <c r="AC30" s="123"/>
      <c r="AD30" s="123"/>
      <c r="AE30" s="123"/>
      <c r="AF30" s="123"/>
      <c r="AG30" s="123"/>
      <c r="AH30" s="123"/>
      <c r="AI30" s="123"/>
      <c r="AJ30" s="123"/>
      <c r="AK30" s="123"/>
      <c r="AL30" s="123"/>
      <c r="AM30" s="123"/>
      <c r="AN30" s="123"/>
      <c r="AO30" s="123"/>
      <c r="AP30" s="123"/>
      <c r="AQ30" s="123"/>
      <c r="AR30" s="123"/>
      <c r="AS30" s="123"/>
      <c r="AT30" s="123"/>
      <c r="AU30" s="123"/>
      <c r="AV30" s="123"/>
      <c r="AW30" s="123"/>
      <c r="AX30" s="20">
        <f t="shared" si="11"/>
        <v>0</v>
      </c>
      <c r="AY30" s="20">
        <f t="shared" si="12"/>
        <v>0</v>
      </c>
      <c r="AZ30" s="20">
        <f t="shared" si="10"/>
        <v>0</v>
      </c>
      <c r="BA30" s="20">
        <f t="shared" si="2"/>
        <v>0</v>
      </c>
    </row>
    <row r="31" spans="1:53" ht="24.75" customHeight="1">
      <c r="A31" s="19">
        <v>24</v>
      </c>
      <c r="B31" s="15" t="s">
        <v>33</v>
      </c>
      <c r="C31" s="123"/>
      <c r="D31" s="35"/>
      <c r="E31" s="35"/>
      <c r="F31" s="14"/>
      <c r="G31" s="35"/>
      <c r="H31" s="35"/>
      <c r="I31" s="35"/>
      <c r="J31" s="124"/>
      <c r="K31" s="124"/>
      <c r="L31" s="14"/>
      <c r="M31" s="123"/>
      <c r="N31" s="123"/>
      <c r="O31" s="123"/>
      <c r="P31" s="123"/>
      <c r="Q31" s="123"/>
      <c r="R31" s="123"/>
      <c r="S31" s="123"/>
      <c r="T31" s="123"/>
      <c r="U31" s="123"/>
      <c r="V31" s="123"/>
      <c r="W31" s="123"/>
      <c r="X31" s="123"/>
      <c r="Y31" s="123"/>
      <c r="Z31" s="123"/>
      <c r="AA31" s="123"/>
      <c r="AB31" s="123"/>
      <c r="AC31" s="123"/>
      <c r="AD31" s="123"/>
      <c r="AE31" s="123"/>
      <c r="AF31" s="123"/>
      <c r="AG31" s="123"/>
      <c r="AH31" s="123"/>
      <c r="AI31" s="123"/>
      <c r="AJ31" s="123"/>
      <c r="AK31" s="123"/>
      <c r="AL31" s="123"/>
      <c r="AM31" s="123"/>
      <c r="AN31" s="123"/>
      <c r="AO31" s="123"/>
      <c r="AP31" s="123"/>
      <c r="AQ31" s="123"/>
      <c r="AR31" s="123"/>
      <c r="AS31" s="123"/>
      <c r="AT31" s="123"/>
      <c r="AU31" s="123"/>
      <c r="AV31" s="123"/>
      <c r="AW31" s="123"/>
      <c r="AX31" s="20">
        <f t="shared" si="11"/>
        <v>0</v>
      </c>
      <c r="AY31" s="20">
        <f t="shared" si="12"/>
        <v>0</v>
      </c>
      <c r="AZ31" s="20">
        <f t="shared" si="10"/>
        <v>0</v>
      </c>
      <c r="BA31" s="20">
        <f t="shared" si="2"/>
        <v>0</v>
      </c>
    </row>
    <row r="32" spans="1:53" ht="24.75" customHeight="1">
      <c r="A32" s="19">
        <v>25</v>
      </c>
      <c r="B32" s="15" t="s">
        <v>34</v>
      </c>
      <c r="C32" s="123"/>
      <c r="D32" s="36"/>
      <c r="E32" s="36"/>
      <c r="F32" s="14"/>
      <c r="G32" s="21"/>
      <c r="H32" s="21"/>
      <c r="I32" s="36"/>
      <c r="J32" s="124"/>
      <c r="K32" s="124"/>
      <c r="L32" s="14"/>
      <c r="M32" s="123"/>
      <c r="N32" s="123"/>
      <c r="O32" s="123"/>
      <c r="P32" s="123"/>
      <c r="Q32" s="123"/>
      <c r="R32" s="123"/>
      <c r="S32" s="123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123"/>
      <c r="AE32" s="123"/>
      <c r="AF32" s="123"/>
      <c r="AG32" s="123"/>
      <c r="AH32" s="123"/>
      <c r="AI32" s="123"/>
      <c r="AJ32" s="123"/>
      <c r="AK32" s="123"/>
      <c r="AL32" s="123"/>
      <c r="AM32" s="123"/>
      <c r="AN32" s="123"/>
      <c r="AO32" s="123"/>
      <c r="AP32" s="123"/>
      <c r="AQ32" s="123"/>
      <c r="AR32" s="123"/>
      <c r="AS32" s="123"/>
      <c r="AT32" s="123"/>
      <c r="AU32" s="123"/>
      <c r="AV32" s="123"/>
      <c r="AW32" s="123"/>
      <c r="AX32" s="20">
        <f t="shared" si="11"/>
        <v>0</v>
      </c>
      <c r="AY32" s="20">
        <f t="shared" si="12"/>
        <v>0</v>
      </c>
      <c r="AZ32" s="20">
        <f t="shared" si="10"/>
        <v>0</v>
      </c>
      <c r="BA32" s="20">
        <f t="shared" si="2"/>
        <v>0</v>
      </c>
    </row>
    <row r="33" spans="1:53" ht="24.75" customHeight="1">
      <c r="A33" s="6"/>
      <c r="B33" s="15" t="s">
        <v>62</v>
      </c>
      <c r="C33" s="123">
        <f>населення!C33+льготи!C33+субсидии!C33+'держ.бюджет'!C33+'місц.-район.бюджет'!C33+обласной!C33+'госпрозрахунк.'!C33</f>
        <v>20715.8</v>
      </c>
      <c r="D33" s="124">
        <f>населення!D33+льготи!D33+субсидии!D33+'держ.бюджет'!D33+'місц.-район.бюджет'!D33+обласной!D33+'госпрозрахунк.'!D33</f>
        <v>9367.7</v>
      </c>
      <c r="E33" s="124">
        <f>населення!E33+льготи!E33+субсидии!E33+'держ.бюджет'!E33+'місц.-район.бюджет'!E33+обласной!E33+'госпрозрахунк.'!E33</f>
        <v>6202.9</v>
      </c>
      <c r="F33" s="14">
        <f t="shared" si="3"/>
        <v>66.21582672374221</v>
      </c>
      <c r="G33" s="124">
        <f>населення!G33+льготи!G33+субсидии!G33+'держ.бюджет'!G33+'місц.-район.бюджет'!G33+обласной!G33+'госпрозрахунк.'!G33</f>
        <v>8504.4</v>
      </c>
      <c r="H33" s="124">
        <f>населення!H33+льготи!H33+субсидии!H33+'держ.бюджет'!H33+'місц.-район.бюджет'!H33+обласной!H33+'госпрозрахунк.'!H33</f>
        <v>8645.4</v>
      </c>
      <c r="I33" s="14">
        <f aca="true" t="shared" si="13" ref="I33:I48">H33/G33*100</f>
        <v>101.65796528855651</v>
      </c>
      <c r="J33" s="124">
        <f>населення!J33+льготи!J33+субсидии!J33+'держ.бюджет'!J33+'місц.-район.бюджет'!J33+обласной!J33+'госпрозрахунк.'!J33</f>
        <v>8925.9</v>
      </c>
      <c r="K33" s="124">
        <f>населення!K33+льготи!K33+субсидии!K33+'держ.бюджет'!K33+'місц.-район.бюджет'!K33+обласной!K33+'госпрозрахунк.'!K33</f>
        <v>6249.2</v>
      </c>
      <c r="L33" s="14">
        <f t="shared" si="0"/>
        <v>70.01198758668595</v>
      </c>
      <c r="M33" s="123">
        <f>населення!M33+льготи!M33+субсидии!M33+'держ.бюджет'!M33+'місц.-район.бюджет'!M33+обласной!M33+'госпрозрахунк.'!M33</f>
        <v>26798.000000000004</v>
      </c>
      <c r="N33" s="123">
        <f>населення!N33+льготи!N33+субсидии!N33+'держ.бюджет'!N33+'місц.-район.бюджет'!N33+обласной!N33+'госпрозрахунк.'!N33</f>
        <v>21097.500000000004</v>
      </c>
      <c r="O33" s="123">
        <f t="shared" si="5"/>
        <v>78.7278901410553</v>
      </c>
      <c r="P33" s="123">
        <f>населення!P33+льготи!P33+субсидии!P33+'держ.бюджет'!P33+'місц.-район.бюджет'!P33+обласной!P33+'госпрозрахунк.'!P33</f>
        <v>1077.4</v>
      </c>
      <c r="Q33" s="123">
        <f>населення!Q33+льготи!Q33+субсидии!Q33+'держ.бюджет'!Q33+'місц.-район.бюджет'!Q33+обласной!Q33+'госпрозрахунк.'!Q33</f>
        <v>3518.5999999999995</v>
      </c>
      <c r="R33" s="123">
        <f t="shared" si="6"/>
        <v>326.58251345832554</v>
      </c>
      <c r="S33" s="123">
        <f>населення!S33+льготи!S33+субсидии!S33+'держ.бюджет'!S33+'місц.-район.бюджет'!S33+обласной!S33+'госпрозрахунк.'!S33</f>
        <v>48.8</v>
      </c>
      <c r="T33" s="123">
        <f>населення!T33+льготи!T33+субсидии!T33+'держ.бюджет'!T33+'місц.-район.бюджет'!T33+обласной!T33+'госпрозрахунк.'!T33</f>
        <v>890.2</v>
      </c>
      <c r="U33" s="123">
        <f>T33/S33*100</f>
        <v>1824.1803278688526</v>
      </c>
      <c r="V33" s="123">
        <f>населення!V33+льготи!V33+субсидии!V33+'держ.бюджет'!V33+'місц.-район.бюджет'!V33+обласной!V33+'госпрозрахунк.'!V33</f>
        <v>58.8</v>
      </c>
      <c r="W33" s="123">
        <f>населення!W33+льготи!W33+субсидии!W33+'держ.бюджет'!W33+'місц.-район.бюджет'!W33+обласной!W33+'госпрозрахунк.'!W33</f>
        <v>6419.6</v>
      </c>
      <c r="X33" s="123">
        <f>W33/V33*100</f>
        <v>10917.687074829933</v>
      </c>
      <c r="Y33" s="123">
        <f>населення!Y33+льготи!Y33+субсидии!Y33+'держ.бюджет'!Y33+'місц.-район.бюджет'!Y33+обласной!Y33+'госпрозрахунк.'!Y33</f>
        <v>1185</v>
      </c>
      <c r="Z33" s="123">
        <f>населення!Z33+льготи!Z33+субсидии!Z33+'держ.бюджет'!Z33+'місц.-район.бюджет'!Z33+обласной!Z33+'госпрозрахунк.'!Z33</f>
        <v>10828.4</v>
      </c>
      <c r="AA33" s="123">
        <f aca="true" t="shared" si="14" ref="AA33:AA48">Z33/Y33*100</f>
        <v>913.789029535865</v>
      </c>
      <c r="AB33" s="123">
        <f>населення!AB33+льготи!AB33+субсидии!AB33+'держ.бюджет'!AB33+'місц.-район.бюджет'!AB33+обласной!AB33+'госпрозрахунк.'!AB33</f>
        <v>51</v>
      </c>
      <c r="AC33" s="123">
        <f>населення!AC33+льготи!AC33+субсидии!AC33+'держ.бюджет'!AC33+'місц.-район.бюджет'!AC33+обласной!AC33+'госпрозрахунк.'!AC33</f>
        <v>0</v>
      </c>
      <c r="AD33" s="123">
        <f t="shared" si="7"/>
        <v>0</v>
      </c>
      <c r="AE33" s="123">
        <f>населення!AE33+льготи!AE33+субсидии!AE33+'держ.бюджет'!AE33+'місц.-район.бюджет'!AE33+обласной!AE33+'госпрозрахунк.'!AE33</f>
        <v>0</v>
      </c>
      <c r="AF33" s="123">
        <f>населення!AF33+льготи!AF33+субсидии!AF33+'держ.бюджет'!AF33+'місц.-район.бюджет'!AF33+обласной!AF33+'госпрозрахунк.'!AF33</f>
        <v>0</v>
      </c>
      <c r="AG33" s="125" t="e">
        <f aca="true" t="shared" si="15" ref="AG33:AG48">AF33/AE33*100</f>
        <v>#DIV/0!</v>
      </c>
      <c r="AH33" s="123">
        <f>населення!AH33+льготи!AH33+субсидии!AH33+'держ.бюджет'!AH33+'місц.-район.бюджет'!AH33+обласной!AH33+'госпрозрахунк.'!AH33</f>
        <v>0</v>
      </c>
      <c r="AI33" s="123">
        <f>населення!AI33+льготи!AI33+субсидии!AI33+'держ.бюджет'!AI33+'місц.-район.бюджет'!AI33+обласной!AI33+'госпрозрахунк.'!AI33</f>
        <v>0</v>
      </c>
      <c r="AJ33" s="123">
        <f>населення!AJ33+льготи!AJ33+субсидии!AJ33+'держ.бюджет'!AJ33+'місц.-район.бюджет'!AJ33+обласной!AJ33+'госпрозрахунк.'!AJ33</f>
        <v>51</v>
      </c>
      <c r="AK33" s="123">
        <f>населення!AK33+льготи!AK33+субсидии!AK33+'держ.бюджет'!AK33+'місц.-район.бюджет'!AK33+обласной!AK33+'госпрозрахунк.'!AK33</f>
        <v>0</v>
      </c>
      <c r="AL33" s="125">
        <f t="shared" si="8"/>
        <v>0</v>
      </c>
      <c r="AM33" s="123">
        <f>населення!AM33+льготи!AM33+субсидии!AM33+'держ.бюджет'!AM33+'місц.-район.бюджет'!AM33+обласной!AM33+'госпрозрахунк.'!AM33</f>
        <v>0</v>
      </c>
      <c r="AN33" s="123">
        <f>населення!AN33+льготи!AN33+субсидии!AN33+'держ.бюджет'!AN33+'місц.-район.бюджет'!AN33+обласной!AN33+'госпрозрахунк.'!AN33</f>
        <v>0</v>
      </c>
      <c r="AO33" s="123">
        <f>населення!AO33+льготи!AO33+субсидии!AO33+'держ.бюджет'!AO33+'місц.-район.бюджет'!AO33+обласной!AO33+'госпрозрахунк.'!AO33</f>
        <v>0</v>
      </c>
      <c r="AP33" s="123">
        <f>населення!AP33+льготи!AP33+субсидии!AP33+'держ.бюджет'!AP33+'місц.-район.бюджет'!AP33+обласной!AP33+'госпрозрахунк.'!AP33</f>
        <v>0</v>
      </c>
      <c r="AQ33" s="123">
        <f>населення!AR33+льготи!AQ33+субсидии!AQ33+'держ.бюджет'!AQ33+'місц.-район.бюджет'!AQ33+обласной!AQ33+'госпрозрахунк.'!AQ33</f>
        <v>0</v>
      </c>
      <c r="AR33" s="123">
        <f>населення!AS33+льготи!AR33+субсидии!AR33+'держ.бюджет'!AR33+'місц.-район.бюджет'!AR33+обласной!AR33+'госпрозрахунк.'!AR33</f>
        <v>0</v>
      </c>
      <c r="AS33" s="123">
        <f>населення!AT33+льготи!AS33+субсидии!AS33+'держ.бюджет'!AS33+'місц.-район.бюджет'!AS33+обласной!AS33+'госпрозрахунк.'!AS33</f>
        <v>28034.000000000004</v>
      </c>
      <c r="AT33" s="123">
        <f>населення!AU33+льготи!AT33+субсидии!AT33+'держ.бюджет'!AT33+'місц.-район.бюджет'!AT33+обласной!AT33+'госпрозрахунк.'!AT33</f>
        <v>31925.899999999998</v>
      </c>
      <c r="AU33" s="123">
        <f t="shared" si="9"/>
        <v>113.88278518941284</v>
      </c>
      <c r="AV33" s="123">
        <f>населення!AW33+льготи!AV33+субсидии!AV33+'держ.бюджет'!AV33+'місц.-район.бюджет'!AV33+обласной!AV33+'госпрозрахунк.'!AV33</f>
        <v>-3891.8999999999983</v>
      </c>
      <c r="AW33" s="123">
        <f>населення!AX33+льготи!AW33+субсидии!AW33+'держ.бюджет'!AW33+'місц.-район.бюджет'!AW33+обласной!AW33+'госпрозрахунк.'!AW33</f>
        <v>16823.899999999998</v>
      </c>
      <c r="AX33" s="20">
        <f t="shared" si="11"/>
        <v>28034.000000000004</v>
      </c>
      <c r="AY33" s="20">
        <f t="shared" si="12"/>
        <v>31925.9</v>
      </c>
      <c r="AZ33" s="20">
        <f t="shared" si="10"/>
        <v>-3891.899999999998</v>
      </c>
      <c r="BA33" s="20">
        <f t="shared" si="2"/>
        <v>16823.9</v>
      </c>
    </row>
    <row r="34" spans="1:53" ht="24.75" customHeight="1">
      <c r="A34" s="6"/>
      <c r="B34" s="15" t="s">
        <v>84</v>
      </c>
      <c r="C34" s="123">
        <f>населення!C34+льготи!C34+субсидии!C34+'держ.бюджет'!C34+'місц.-район.бюджет'!C34+обласной!C34+'госпрозрахунк.'!C34</f>
        <v>4497.2</v>
      </c>
      <c r="D34" s="123">
        <f>населення!D34+льготи!D34+субсидии!D34+'держ.бюджет'!D34+'місц.-район.бюджет'!D34+обласной!D34+'госпрозрахунк.'!D34</f>
        <v>8488.4</v>
      </c>
      <c r="E34" s="123">
        <f>населення!E34+льготи!E34+субсидии!E34+'держ.бюджет'!E34+'місц.-район.бюджет'!E34+обласной!E34+'госпрозрахунк.'!E34</f>
        <v>3021.6000000000004</v>
      </c>
      <c r="F34" s="14">
        <f t="shared" si="3"/>
        <v>35.596814476226385</v>
      </c>
      <c r="G34" s="123">
        <f>населення!G34+льготи!G34+субсидии!G34+'держ.бюджет'!G34+'місц.-район.бюджет'!G34+обласной!G34+'госпрозрахунк.'!G34</f>
        <v>7265.799999999999</v>
      </c>
      <c r="H34" s="123">
        <f>населення!H34+льготи!H34+субсидии!H34+'держ.бюджет'!H34+'місц.-район.бюджет'!H34+обласной!H34+'госпрозрахунк.'!H34</f>
        <v>6094.599999999999</v>
      </c>
      <c r="I34" s="14">
        <f t="shared" si="13"/>
        <v>83.88064631561562</v>
      </c>
      <c r="J34" s="123">
        <f>населення!J34+льготи!J34+субсидии!J34+'держ.бюджет'!J34+'місц.-район.бюджет'!J34+обласной!J34+'госпрозрахунк.'!J34</f>
        <v>7337.6</v>
      </c>
      <c r="K34" s="123">
        <f>населення!K34+льготи!K34+субсидии!K34+'держ.бюджет'!K34+'місц.-район.бюджет'!K34+обласной!K34+'госпрозрахунк.'!K34</f>
        <v>4690.599999999999</v>
      </c>
      <c r="L34" s="14">
        <f t="shared" si="0"/>
        <v>63.925534234627115</v>
      </c>
      <c r="M34" s="123">
        <f>населення!M34+льготи!M34+субсидии!M34+'держ.бюджет'!M34+'місц.-район.бюджет'!M34+обласной!M34+'госпрозрахунк.'!M34</f>
        <v>23091.800000000003</v>
      </c>
      <c r="N34" s="123">
        <f>населення!N34+льготи!N34+субсидии!N34+'держ.бюджет'!N34+'місц.-район.бюджет'!N34+обласной!N34+'госпрозрахунк.'!N34</f>
        <v>13806.8</v>
      </c>
      <c r="O34" s="123">
        <f>населення!O34+льготи!O34+субсидии!O34+'держ.бюджет'!O34+'місц.-район.бюджет'!O34+обласной!O34+'госпрозрахунк.'!O34</f>
        <v>391.36133026196916</v>
      </c>
      <c r="P34" s="123">
        <f>населення!P34+льготи!P34+субсидии!P34+'держ.бюджет'!P34+'місц.-район.бюджет'!P34+обласной!P34+'госпрозрахунк.'!P34</f>
        <v>604.3000000000001</v>
      </c>
      <c r="Q34" s="123">
        <f>населення!Q34+льготи!Q34+субсидии!Q34+'держ.бюджет'!Q34+'місц.-район.бюджет'!Q34+обласной!Q34+'госпрозрахунк.'!Q34</f>
        <v>5759.6</v>
      </c>
      <c r="R34" s="123">
        <f>населення!R34+льготи!R34+субсидии!R34+'держ.бюджет'!R34+'місц.-район.бюджет'!R34+обласной!R34+'госпрозрахунк.'!R34</f>
        <v>5504.9288365754965</v>
      </c>
      <c r="S34" s="123">
        <f>населення!S34+льготи!S34+субсидии!S34+'держ.бюджет'!S34+'місц.-район.бюджет'!S34+обласной!S34+'госпрозрахунк.'!S34</f>
        <v>-6.899999999999977</v>
      </c>
      <c r="T34" s="123">
        <f>населення!T34+льготи!T34+субсидии!T34+'держ.бюджет'!T34+'місц.-район.бюджет'!T34+обласной!T34+'госпрозрахунк.'!T34</f>
        <v>940.4</v>
      </c>
      <c r="U34" s="123" t="e">
        <f>населення!U34+льготи!U34+субсидии!U34+'держ.бюджет'!U34+'місц.-район.бюджет'!U34+обласной!U34+'госпрозрахунк.'!U34</f>
        <v>#DIV/0!</v>
      </c>
      <c r="V34" s="123">
        <f>населення!V34+льготи!V34+субсидии!V34+'держ.бюджет'!V34+'місц.-район.бюджет'!V34+обласной!V34+'госпрозрахунк.'!V34</f>
        <v>0</v>
      </c>
      <c r="W34" s="123">
        <f>населення!W34+льготи!W34+субсидии!W34+'держ.бюджет'!W34+'місц.-район.бюджет'!W34+обласной!W34+'госпрозрахунк.'!W34</f>
        <v>693.8000000000001</v>
      </c>
      <c r="X34" s="123" t="e">
        <f>населення!X34+льготи!X34+субсидии!X34+'держ.бюджет'!X34+'місц.-район.бюджет'!X34+обласной!X34+'госпрозрахунк.'!X34</f>
        <v>#DIV/0!</v>
      </c>
      <c r="Y34" s="123">
        <f>населення!Y34+льготи!Y34+субсидии!Y34+'держ.бюджет'!Y34+'місц.-район.бюджет'!Y34+обласной!Y34+'госпрозрахунк.'!Y34</f>
        <v>597.4</v>
      </c>
      <c r="Z34" s="123">
        <f>населення!Z34+льготи!Z34+субсидии!Z34+'держ.бюджет'!Z34+'місц.-район.бюджет'!Z34+обласной!Z34+'госпрозрахунк.'!Z34</f>
        <v>7393.8</v>
      </c>
      <c r="AA34" s="123">
        <f>населення!AA34+льготи!AA34+субсидии!AA34+'держ.бюджет'!AA34+'місц.-район.бюджет'!AA34+обласной!AA34+'госпрозрахунк.'!AA34</f>
        <v>4517.190534843008</v>
      </c>
      <c r="AB34" s="123">
        <f>населення!AB34+льготи!AB34+субсидии!AB34+'держ.бюджет'!AB34+'місц.-район.бюджет'!AB34+обласной!AB34+'госпрозрахунк.'!AB34</f>
        <v>-7.6000000000000085</v>
      </c>
      <c r="AC34" s="123">
        <f>населення!AC34+льготи!AC34+субсидии!AC34+'держ.бюджет'!AC34+'місц.-район.бюджет'!AC34+обласной!AC34+'госпрозрахунк.'!AC34</f>
        <v>753.5</v>
      </c>
      <c r="AD34" s="123" t="e">
        <f>населення!AD34+льготи!AD34+субсидии!AD34+'держ.бюджет'!AD34+'місц.-район.бюджет'!AD34+обласной!AD34+'госпрозрахунк.'!AD34</f>
        <v>#DIV/0!</v>
      </c>
      <c r="AE34" s="123">
        <f>населення!AE34+льготи!AE34+субсидии!AE34+'держ.бюджет'!AE34+'місц.-район.бюджет'!AE34+обласной!AE34+'госпрозрахунк.'!AE34</f>
        <v>0</v>
      </c>
      <c r="AF34" s="123">
        <f>населення!AF34+льготи!AF34+субсидии!AF34+'держ.бюджет'!AF34+'місц.-район.бюджет'!AF34+обласной!AF34+'госпрозрахунк.'!AF34</f>
        <v>0</v>
      </c>
      <c r="AG34" s="123" t="e">
        <f>населення!AG34+льготи!AG34+субсидии!AG34+'держ.бюджет'!AG34+'місц.-район.бюджет'!AG34+обласной!AG34+'госпрозрахунк.'!AG34</f>
        <v>#DIV/0!</v>
      </c>
      <c r="AH34" s="123">
        <f>населення!AH34+льготи!AH34+субсидии!AH34+'держ.бюджет'!AH34+'місц.-район.бюджет'!AH34+обласной!AH34+'госпрозрахунк.'!AH34</f>
        <v>0</v>
      </c>
      <c r="AI34" s="123">
        <f>населення!AI34+льготи!AI34+субсидии!AI34+'держ.бюджет'!AI34+'місц.-район.бюджет'!AI34+обласной!AI34+'госпрозрахунк.'!AI34</f>
        <v>0</v>
      </c>
      <c r="AJ34" s="123">
        <f>населення!AJ34+льготи!AJ34+субсидии!AJ34+'держ.бюджет'!AJ34+'місц.-район.бюджет'!AJ34+обласной!AJ34+'госпрозрахунк.'!AJ34</f>
        <v>-7.6000000000000085</v>
      </c>
      <c r="AK34" s="123">
        <f>населення!AK34+льготи!AK34+субсидии!AK34+'держ.бюджет'!AK34+'місц.-район.бюджет'!AK34+обласной!AK34+'госпрозрахунк.'!AK34</f>
        <v>753.5</v>
      </c>
      <c r="AL34" s="123" t="e">
        <f>населення!AL34+льготи!AL34+субсидии!AL34+'держ.бюджет'!AL34+'місц.-район.бюджет'!AL34+обласной!AL34+'госпрозрахунк.'!AL34</f>
        <v>#DIV/0!</v>
      </c>
      <c r="AM34" s="123">
        <f>населення!AM34+льготи!AM34+субсидии!AM34+'держ.бюджет'!AM34+'місц.-район.бюджет'!AM34+обласной!AM34+'госпрозрахунк.'!AM34</f>
        <v>0</v>
      </c>
      <c r="AN34" s="123">
        <f>населення!AN34+льготи!AN34+субсидии!AN34+'держ.бюджет'!AN34+'місц.-район.бюджет'!AN34+обласной!AN34+'госпрозрахунк.'!AN34</f>
        <v>0</v>
      </c>
      <c r="AO34" s="123">
        <f>населення!AO34+льготи!AO34+субсидии!AO34+'держ.бюджет'!AO34+'місц.-район.бюджет'!AO34+обласной!AO34+'госпрозрахунк.'!AO34</f>
        <v>0</v>
      </c>
      <c r="AP34" s="123">
        <f>населення!AP34+льготи!AP34+субсидии!AP34+'держ.бюджет'!AP34+'місц.-район.бюджет'!AP34+обласной!AP34+'госпрозрахунк.'!AP34</f>
        <v>0</v>
      </c>
      <c r="AQ34" s="123">
        <f>населення!AQ34+льготи!AQ34+субсидии!AQ34+'держ.бюджет'!AQ34+'місц.-район.бюджет'!AQ34+обласной!AQ34+'госпрозрахунк.'!AQ34</f>
        <v>0</v>
      </c>
      <c r="AR34" s="123">
        <f>населення!AR34+льготи!AR34+субсидии!AR34+'держ.бюджет'!AR34+'місц.-район.бюджет'!AR34+обласной!AR34+'госпрозрахунк.'!AR34</f>
        <v>0</v>
      </c>
      <c r="AS34" s="123">
        <f>населення!AT34+льготи!AS34+субсидии!AS34+'держ.бюджет'!AS34+'місц.-район.бюджет'!AS34+обласной!AS34+'госпрозрахунк.'!AS34</f>
        <v>23681.6</v>
      </c>
      <c r="AT34" s="123">
        <f>населення!AU34+льготи!AT34+субсидии!AT34+'держ.бюджет'!AT34+'місц.-район.бюджет'!AT34+обласной!AT34+'госпрозрахунк.'!AT34</f>
        <v>21954.100000000002</v>
      </c>
      <c r="AU34" s="123">
        <f t="shared" si="9"/>
        <v>92.70530707384637</v>
      </c>
      <c r="AV34" s="123">
        <f>населення!AW34+льготи!AV34+субсидии!AV34+'держ.бюджет'!AV34+'місц.-район.бюджет'!AV34+обласной!AV34+'госпрозрахунк.'!AV34</f>
        <v>1727.5000000000005</v>
      </c>
      <c r="AW34" s="123">
        <f>населення!AX34+льготи!AW34+субсидии!AW34+'держ.бюджет'!AW34+'місц.-район.бюджет'!AW34+обласной!AW34+'госпрозрахунк.'!AW34</f>
        <v>6224.700000000001</v>
      </c>
      <c r="AX34" s="20">
        <f t="shared" si="11"/>
        <v>23681.600000000006</v>
      </c>
      <c r="AY34" s="20">
        <f t="shared" si="12"/>
        <v>21954.1</v>
      </c>
      <c r="AZ34" s="20">
        <f>AX34-AY34</f>
        <v>1727.5000000000073</v>
      </c>
      <c r="BA34" s="20">
        <f t="shared" si="2"/>
        <v>6224.700000000008</v>
      </c>
    </row>
    <row r="35" spans="1:53" ht="24.75" customHeight="1">
      <c r="A35" s="6"/>
      <c r="B35" s="15" t="s">
        <v>87</v>
      </c>
      <c r="C35" s="123">
        <f>населення!C35+льготи!C35+субсидии!C35+'держ.бюджет'!C35+'місц.-район.бюджет'!C35+обласной!C35+'госпрозрахунк.'!C35</f>
        <v>710.9</v>
      </c>
      <c r="D35" s="123">
        <f>населення!D35+льготи!D35+субсидии!D35+'держ.бюджет'!D35+'місц.-район.бюджет'!D35+обласной!D35+'госпрозрахунк.'!D35</f>
        <v>949.5</v>
      </c>
      <c r="E35" s="123">
        <f>населення!E35+льготи!E35+субсидии!E35+'держ.бюджет'!E35+'місц.-район.бюджет'!E35+обласной!E35+'госпрозрахунк.'!E35</f>
        <v>132</v>
      </c>
      <c r="F35" s="14">
        <f t="shared" si="3"/>
        <v>13.902053712480253</v>
      </c>
      <c r="G35" s="123">
        <f>населення!G35+льготи!G35+субсидии!G35+'держ.бюджет'!G35+'місц.-район.бюджет'!G35+обласной!G35+'госпрозрахунк.'!G35</f>
        <v>529.3</v>
      </c>
      <c r="H35" s="123">
        <f>населення!H35+льготи!H35+субсидии!H35+'держ.бюджет'!H35+'місц.-район.бюджет'!H35+обласной!H35+'госпрозрахунк.'!H35</f>
        <v>656.3</v>
      </c>
      <c r="I35" s="14">
        <f t="shared" si="13"/>
        <v>123.99395427923675</v>
      </c>
      <c r="J35" s="123">
        <f>населення!J35+льготи!J35+субсидии!J35+'держ.бюджет'!J35+'місц.-район.бюджет'!J35+обласной!J35+'госпрозрахунк.'!J35</f>
        <v>804.2</v>
      </c>
      <c r="K35" s="123">
        <f>населення!K35+льготи!K35+субсидии!K35+'держ.бюджет'!K35+'місц.-район.бюджет'!K35+обласной!K35+'госпрозрахунк.'!K35</f>
        <v>663.6</v>
      </c>
      <c r="L35" s="14">
        <f t="shared" si="0"/>
        <v>82.51678686893807</v>
      </c>
      <c r="M35" s="123">
        <f>населення!M35+льготи!M35+субсидии!M35+'держ.бюджет'!M35+'місц.-район.бюджет'!M35+обласной!M35+'госпрозрахунк.'!M35</f>
        <v>2283</v>
      </c>
      <c r="N35" s="123">
        <f>населення!N35+льготи!N35+субсидии!N35+'держ.бюджет'!N35+'місц.-район.бюджет'!N35+обласной!N35+'госпрозрахунк.'!N35</f>
        <v>1451.9</v>
      </c>
      <c r="O35" s="123">
        <f>населення!O35+льготи!O35+субсидии!O35+'держ.бюджет'!O35+'місц.-район.бюджет'!O35+обласной!O35+'госпрозрахунк.'!O35</f>
        <v>200.0125250784053</v>
      </c>
      <c r="P35" s="123">
        <f>населення!P35+льготи!P35+субсидии!P35+'держ.бюджет'!P35+'місц.-район.бюджет'!P35+обласной!P35+'госпрозрахунк.'!P35</f>
        <v>103.6</v>
      </c>
      <c r="Q35" s="123">
        <f>населення!Q35+льготи!Q35+субсидии!Q35+'держ.бюджет'!Q35+'місц.-район.бюджет'!Q35+обласной!Q35+'госпрозрахунк.'!Q35</f>
        <v>459.6</v>
      </c>
      <c r="R35" s="123">
        <f>населення!R35+льготи!R35+субсидии!R35+'держ.бюджет'!R35+'місц.-район.бюджет'!R35+обласной!R35+'госпрозрахунк.'!R35</f>
        <v>1598.8397600393696</v>
      </c>
      <c r="S35" s="123">
        <f>населення!S35+льготи!S35+субсидии!S35+'держ.бюджет'!S35+'місц.-район.бюджет'!S35+обласной!S35+'госпрозрахунк.'!S35</f>
        <v>-25.1</v>
      </c>
      <c r="T35" s="123">
        <f>населення!T35+льготи!T35+субсидии!T35+'держ.бюджет'!T35+'місц.-район.бюджет'!T35+обласной!T35+'госпрозрахунк.'!T35</f>
        <v>82.1</v>
      </c>
      <c r="U35" s="123" t="e">
        <f>населення!U35+льготи!U35+субсидии!U35+'держ.бюджет'!U35+'місц.-район.бюджет'!U35+обласной!U35+'госпрозрахунк.'!U35</f>
        <v>#DIV/0!</v>
      </c>
      <c r="V35" s="123">
        <f>населення!V35+льготи!V35+субсидии!V35+'держ.бюджет'!V35+'місц.-район.бюджет'!V35+обласной!V35+'госпрозрахунк.'!V35</f>
        <v>-26.900000000000002</v>
      </c>
      <c r="W35" s="123">
        <f>населення!W35+льготи!W35+субсидии!W35+'держ.бюджет'!W35+'місц.-район.бюджет'!W35+обласной!W35+'госпрозрахунк.'!W35</f>
        <v>73.2</v>
      </c>
      <c r="X35" s="123">
        <f>населення!X35+льготи!X35+субсидии!X35+'держ.бюджет'!X35+'місц.-район.бюджет'!X35+обласной!X35+'госпрозрахунк.'!X35</f>
        <v>557.1428571428572</v>
      </c>
      <c r="Y35" s="123">
        <f>населення!Y35+льготи!Y35+субсидии!Y35+'держ.бюджет'!Y35+'місц.-район.бюджет'!Y35+обласной!Y35+'госпрозрахунк.'!Y35</f>
        <v>51.6</v>
      </c>
      <c r="Z35" s="123">
        <f>населення!Z35+льготи!Z35+субсидии!Z35+'держ.бюджет'!Z35+'місц.-район.бюджет'!Z35+обласной!Z35+'госпрозрахунк.'!Z35</f>
        <v>614.9</v>
      </c>
      <c r="AA35" s="123" t="e">
        <f>населення!AA35+льготи!AA35+субсидии!AA35+'держ.бюджет'!AA35+'місц.-район.бюджет'!AA35+обласной!AA35+'госпрозрахунк.'!AA35</f>
        <v>#DIV/0!</v>
      </c>
      <c r="AB35" s="123">
        <f>населення!AB35+льготи!AB35+субсидии!AB35+'держ.бюджет'!AB35+'місц.-район.бюджет'!AB35+обласной!AB35+'госпрозрахунк.'!AB35</f>
        <v>141.2</v>
      </c>
      <c r="AC35" s="123">
        <f>населення!AC35+льготи!AC35+субсидии!AC35+'держ.бюджет'!AC35+'місц.-район.бюджет'!AC35+обласной!AC35+'госпрозрахунк.'!AC35</f>
        <v>130.7</v>
      </c>
      <c r="AD35" s="123" t="e">
        <f>населення!AD35+льготи!AD35+субсидии!AD35+'держ.бюджет'!AD35+'місц.-район.бюджет'!AD35+обласной!AD35+'госпрозрахунк.'!AD35</f>
        <v>#DIV/0!</v>
      </c>
      <c r="AE35" s="123">
        <f>населення!AE35+льготи!AE35+субсидии!AE35+'держ.бюджет'!AE35+'місц.-район.бюджет'!AE35+обласной!AE35+'госпрозрахунк.'!AE35</f>
        <v>0</v>
      </c>
      <c r="AF35" s="123">
        <f>населення!AF35+льготи!AF35+субсидии!AF35+'держ.бюджет'!AF35+'місц.-район.бюджет'!AF35+обласной!AF35+'госпрозрахунк.'!AF35</f>
        <v>0</v>
      </c>
      <c r="AG35" s="123" t="e">
        <f>населення!AG35+льготи!AG35+субсидии!AG35+'держ.бюджет'!AG35+'місц.-район.бюджет'!AG35+обласной!AG35+'госпрозрахунк.'!AG35</f>
        <v>#DIV/0!</v>
      </c>
      <c r="AH35" s="123">
        <f>населення!AH35+льготи!AH35+субсидии!AH35+'держ.бюджет'!AH35+'місц.-район.бюджет'!AH35+обласной!AH35+'госпрозрахунк.'!AH35</f>
        <v>0</v>
      </c>
      <c r="AI35" s="123">
        <f>населення!AI35+льготи!AI35+субсидии!AI35+'держ.бюджет'!AI35+'місц.-район.бюджет'!AI35+обласной!AI35+'госпрозрахунк.'!AI35</f>
        <v>0</v>
      </c>
      <c r="AJ35" s="123">
        <f>населення!AJ35+льготи!AJ35+субсидии!AJ35+'держ.бюджет'!AJ35+'місц.-район.бюджет'!AJ35+обласной!AJ35+'госпрозрахунк.'!AJ35</f>
        <v>141.2</v>
      </c>
      <c r="AK35" s="123">
        <f>населення!AK35+льготи!AK35+субсидии!AK35+'держ.бюджет'!AK35+'місц.-район.бюджет'!AK35+обласной!AK35+'госпрозрахунк.'!AK35</f>
        <v>130.7</v>
      </c>
      <c r="AL35" s="123" t="e">
        <f>населення!AL35+льготи!AL35+субсидии!AL35+'держ.бюджет'!AL35+'місц.-район.бюджет'!AL35+обласной!AL35+'госпрозрахунк.'!AL35</f>
        <v>#DIV/0!</v>
      </c>
      <c r="AM35" s="123">
        <f>населення!AM35+льготи!AM35+субсидии!AM35+'держ.бюджет'!AM35+'місц.-район.бюджет'!AM35+обласной!AM35+'госпрозрахунк.'!AM35</f>
        <v>0</v>
      </c>
      <c r="AN35" s="123">
        <f>населення!AN35+льготи!AN35+субсидии!AN35+'держ.бюджет'!AN35+'місц.-район.бюджет'!AN35+обласной!AN35+'госпрозрахунк.'!AN35</f>
        <v>0</v>
      </c>
      <c r="AO35" s="123">
        <f>населення!AO35+льготи!AO35+субсидии!AO35+'держ.бюджет'!AO35+'місц.-район.бюджет'!AO35+обласной!AO35+'госпрозрахунк.'!AO35</f>
        <v>0</v>
      </c>
      <c r="AP35" s="123">
        <f>населення!AP35+льготи!AP35+субсидии!AP35+'держ.бюджет'!AP35+'місц.-район.бюджет'!AP35+обласной!AP35+'госпрозрахунк.'!AP35</f>
        <v>0</v>
      </c>
      <c r="AQ35" s="123">
        <f>населення!AQ35+льготи!AQ35+субсидии!AQ35+'держ.бюджет'!AQ35+'місц.-район.бюджет'!AQ35+обласной!AQ35+'госпрозрахунк.'!AQ35</f>
        <v>0</v>
      </c>
      <c r="AR35" s="123">
        <f>населення!AR35+льготи!AR35+субсидии!AR35+'держ.бюджет'!AR35+'місц.-район.бюджет'!AR35+обласной!AR35+'госпрозрахунк.'!AR35</f>
        <v>0</v>
      </c>
      <c r="AS35" s="123">
        <f>населення!AT35+льготи!AS35+субсидии!AS35+'держ.бюджет'!AS35+'місц.-район.бюджет'!AS35+обласной!AS35+'госпрозрахунк.'!AS35</f>
        <v>2475.8</v>
      </c>
      <c r="AT35" s="123">
        <f>населення!AU35+льготи!AT35+субсидии!AT35+'держ.бюджет'!AT35+'місц.-район.бюджет'!AT35+обласной!AT35+'госпрозрахунк.'!AT35</f>
        <v>2197.5</v>
      </c>
      <c r="AU35" s="123">
        <f t="shared" si="9"/>
        <v>88.75918894902657</v>
      </c>
      <c r="AV35" s="123">
        <f>населення!AW35+льготи!AV35+субсидии!AV35+'держ.бюджет'!AV35+'місц.-район.бюджет'!AV35+обласной!AV35+'госпрозрахунк.'!AV35</f>
        <v>278.29999999999995</v>
      </c>
      <c r="AW35" s="123">
        <f>населення!AX35+льготи!AW35+субсидии!AW35+'держ.бюджет'!AW35+'місц.-район.бюджет'!AW35+обласной!AW35+'госпрозрахунк.'!AW35</f>
        <v>989.1999999999998</v>
      </c>
      <c r="AX35" s="20">
        <f t="shared" si="11"/>
        <v>2475.7999999999997</v>
      </c>
      <c r="AY35" s="20">
        <f t="shared" si="12"/>
        <v>2197.5</v>
      </c>
      <c r="AZ35" s="20">
        <f>AX35-AY35</f>
        <v>278.2999999999997</v>
      </c>
      <c r="BA35" s="20">
        <f t="shared" si="2"/>
        <v>989.1999999999998</v>
      </c>
    </row>
    <row r="36" spans="1:53" ht="24.75" customHeight="1">
      <c r="A36" s="19"/>
      <c r="B36" s="15" t="s">
        <v>35</v>
      </c>
      <c r="C36" s="123">
        <f>населення!C36+льготи!C36+субсидии!C36+'держ.бюджет'!C36+'місц.-район.бюджет'!C36+обласной!C36+'госпрозрахунк.'!C36</f>
        <v>-51.900000000000006</v>
      </c>
      <c r="D36" s="124">
        <f>населення!D36+льготи!D36+субсидии!D36+'держ.бюджет'!D36+'місц.-район.бюджет'!D36+обласной!D36+'госпрозрахунк.'!D36</f>
        <v>1707.4</v>
      </c>
      <c r="E36" s="124">
        <f>населення!E36+льготи!E36+субсидии!E36+'держ.бюджет'!E36+'місц.-район.бюджет'!E36+обласной!E36+'госпрозрахунк.'!E36</f>
        <v>0</v>
      </c>
      <c r="F36" s="14">
        <f t="shared" si="3"/>
        <v>0</v>
      </c>
      <c r="G36" s="124">
        <f>населення!G36+льготи!G36+субсидии!G36+'держ.бюджет'!G36+'місц.-район.бюджет'!G36+обласной!G36+'госпрозрахунк.'!G36</f>
        <v>1037.8</v>
      </c>
      <c r="H36" s="124">
        <f>населення!H36+льготи!H36+субсидии!H36+'держ.бюджет'!H36+'місц.-район.бюджет'!H36+обласной!H36+'госпрозрахунк.'!H36</f>
        <v>698.9</v>
      </c>
      <c r="I36" s="14">
        <f t="shared" si="13"/>
        <v>67.34438234727308</v>
      </c>
      <c r="J36" s="124">
        <f>населення!J36+льготи!J36+субсидии!J36+'держ.бюджет'!J36+'місц.-район.бюджет'!J36+обласной!J36+'госпрозрахунк.'!J36</f>
        <v>1644.1000000000001</v>
      </c>
      <c r="K36" s="124">
        <f>населення!K36+льготи!K36+субсидии!K36+'держ.бюджет'!K36+'місц.-район.бюджет'!K36+обласной!K36+'госпрозрахунк.'!K36</f>
        <v>1101</v>
      </c>
      <c r="L36" s="14">
        <f t="shared" si="0"/>
        <v>66.96672951766924</v>
      </c>
      <c r="M36" s="123">
        <f>населення!M36+льготи!M36+субсидии!M36+'держ.бюджет'!M36+'місц.-район.бюджет'!M36+обласной!M36+'госпрозрахунк.'!M36</f>
        <v>4389.3</v>
      </c>
      <c r="N36" s="123">
        <f>населення!N36+льготи!N36+субсидии!N36+'держ.бюджет'!N36+'місц.-район.бюджет'!N36+обласной!N36+'госпрозрахунк.'!N36</f>
        <v>1799.9</v>
      </c>
      <c r="O36" s="123">
        <f t="shared" si="5"/>
        <v>41.00653862802725</v>
      </c>
      <c r="P36" s="123">
        <f>населення!P36+льготи!P36+субсидии!P36+'держ.бюджет'!P36+'місц.-район.бюджет'!P36+обласной!P36+'госпрозрахунк.'!P36</f>
        <v>345.8</v>
      </c>
      <c r="Q36" s="123">
        <f>населення!Q36+льготи!Q36+субсидии!Q36+'держ.бюджет'!Q36+'місц.-район.бюджет'!Q36+обласной!Q36+'госпрозрахунк.'!Q36</f>
        <v>529.9</v>
      </c>
      <c r="R36" s="123">
        <f t="shared" si="6"/>
        <v>153.23886639676113</v>
      </c>
      <c r="S36" s="123">
        <f>населення!S36+льготи!S36+субсидии!S36+'держ.бюджет'!S36+'місц.-район.бюджет'!S36+обласной!S36+'госпрозрахунк.'!S36</f>
        <v>43.1</v>
      </c>
      <c r="T36" s="123">
        <f>населення!T36+льготи!T36+субсидии!T36+'держ.бюджет'!T36+'місц.-район.бюджет'!T36+обласной!T36+'госпрозрахунк.'!T36</f>
        <v>910.8000000000001</v>
      </c>
      <c r="U36" s="123">
        <f>T36/S36*100</f>
        <v>2113.2250580046402</v>
      </c>
      <c r="V36" s="123">
        <f>населення!V36+льготи!V36+субсидии!V36+'держ.бюджет'!V36+'місц.-район.бюджет'!V36+обласной!V36+'госпрозрахунк.'!V36</f>
        <v>-43.400000000000006</v>
      </c>
      <c r="W36" s="123">
        <f>населення!W36+льготи!W36+субсидии!W36+'держ.бюджет'!W36+'місц.-район.бюджет'!W36+обласной!W36+'госпрозрахунк.'!W36</f>
        <v>1147.1</v>
      </c>
      <c r="X36" s="123">
        <f>W36/V36*100</f>
        <v>-2643.087557603686</v>
      </c>
      <c r="Y36" s="123">
        <f>населення!Y36+льготи!Y36+субсидии!Y36+'держ.бюджет'!Y36+'місц.-район.бюджет'!Y36+обласной!Y36+'госпрозрахунк.'!Y36</f>
        <v>345.5</v>
      </c>
      <c r="Z36" s="123">
        <f>населення!Z36+льготи!Z36+субсидии!Z36+'держ.бюджет'!Z36+'місц.-район.бюджет'!Z36+обласной!Z36+'госпрозрахунк.'!Z36</f>
        <v>2587.8</v>
      </c>
      <c r="AA36" s="123">
        <f t="shared" si="14"/>
        <v>749.001447178003</v>
      </c>
      <c r="AB36" s="123">
        <f>населення!AB36+льготи!AB36+субсидии!AB36+'держ.бюджет'!AB36+'місц.-район.бюджет'!AB36+обласной!AB36+'госпрозрахунк.'!AB36</f>
        <v>198.39999999999998</v>
      </c>
      <c r="AC36" s="123">
        <f>населення!AC36+льготи!AC36+субсидии!AC36+'держ.бюджет'!AC36+'місц.-район.бюджет'!AC36+обласной!AC36+'госпрозрахунк.'!AC36</f>
        <v>472.09999999999997</v>
      </c>
      <c r="AD36" s="123">
        <f t="shared" si="7"/>
        <v>237.9536290322581</v>
      </c>
      <c r="AE36" s="123">
        <f>населення!AE36+льготи!AE36+субсидии!AE36+'держ.бюджет'!AE36+'місц.-район.бюджет'!AE36+обласной!AE36+'госпрозрахунк.'!AE36</f>
        <v>0</v>
      </c>
      <c r="AF36" s="123">
        <f>населення!AF36+льготи!AF36+субсидии!AF36+'держ.бюджет'!AF36+'місц.-район.бюджет'!AF36+обласной!AF36+'госпрозрахунк.'!AF36</f>
        <v>0</v>
      </c>
      <c r="AG36" s="123" t="e">
        <f t="shared" si="15"/>
        <v>#DIV/0!</v>
      </c>
      <c r="AH36" s="123">
        <f>населення!AH36+льготи!AH36+субсидии!AH36+'держ.бюджет'!AH36+'місц.-район.бюджет'!AH36+обласной!AH36+'госпрозрахунк.'!AH36</f>
        <v>0</v>
      </c>
      <c r="AI36" s="123">
        <f>населення!AI36+льготи!AI36+субсидии!AI36+'держ.бюджет'!AI36+'місц.-район.бюджет'!AI36+обласной!AI36+'госпрозрахунк.'!AI36</f>
        <v>0</v>
      </c>
      <c r="AJ36" s="123">
        <f>населення!AJ36+льготи!AJ36+субсидии!AJ36+'держ.бюджет'!AJ36+'місц.-район.бюджет'!AJ36+обласной!AJ36+'госпрозрахунк.'!AJ36</f>
        <v>198.39999999999998</v>
      </c>
      <c r="AK36" s="123">
        <f>населення!AK36+льготи!AK36+субсидии!AK36+'держ.бюджет'!AK36+'місц.-район.бюджет'!AK36+обласной!AK36+'госпрозрахунк.'!AK36</f>
        <v>472.09999999999997</v>
      </c>
      <c r="AL36" s="123">
        <f t="shared" si="8"/>
        <v>237.9536290322581</v>
      </c>
      <c r="AM36" s="123">
        <f>населення!AM36+льготи!AM36+субсидии!AM36+'держ.бюджет'!AM36+'місц.-район.бюджет'!AM36+обласной!AM36+'госпрозрахунк.'!AM36</f>
        <v>0</v>
      </c>
      <c r="AN36" s="123">
        <f>населення!AN36+льготи!AN36+субсидии!AN36+'держ.бюджет'!AN36+'місц.-район.бюджет'!AN36+обласной!AN36+'госпрозрахунк.'!AN36</f>
        <v>0</v>
      </c>
      <c r="AO36" s="123">
        <f>населення!AO36+льготи!AO36+субсидии!AO36+'держ.бюджет'!AO36+'місц.-район.бюджет'!AO36+обласной!AO36+'госпрозрахунк.'!AO36</f>
        <v>0</v>
      </c>
      <c r="AP36" s="123">
        <f>населення!AP36+льготи!AP36+субсидии!AP36+'держ.бюджет'!AP36+'місц.-район.бюджет'!AP36+обласной!AP36+'госпрозрахунк.'!AP36</f>
        <v>0</v>
      </c>
      <c r="AQ36" s="123">
        <f>населення!AR36+льготи!AQ36+субсидии!AQ36+'держ.бюджет'!AQ36+'місц.-район.бюджет'!AQ36+обласной!AQ36+'госпрозрахунк.'!AQ36</f>
        <v>0</v>
      </c>
      <c r="AR36" s="123">
        <f>населення!AS36+льготи!AR36+субсидии!AR36+'держ.бюджет'!AR36+'місц.-район.бюджет'!AR36+обласной!AR36+'госпрозрахунк.'!AR36</f>
        <v>0</v>
      </c>
      <c r="AS36" s="123">
        <f>населення!AT36+льготи!AS36+субсидии!AS36+'держ.бюджет'!AS36+'місц.-район.бюджет'!AS36+обласной!AS36+'госпрозрахунк.'!AS36</f>
        <v>4933.2</v>
      </c>
      <c r="AT36" s="123">
        <f>населення!AU36+льготи!AT36+субсидии!AT36+'держ.бюджет'!AT36+'місц.-район.бюджет'!AT36+обласной!AT36+'госпрозрахунк.'!AT36</f>
        <v>4859.8</v>
      </c>
      <c r="AU36" s="123">
        <f t="shared" si="9"/>
        <v>98.51212194924189</v>
      </c>
      <c r="AV36" s="123">
        <f>населення!AW36+льготи!AV36+субсидии!AV36+'держ.бюджет'!AV36+'місц.-район.бюджет'!AV36+обласной!AV36+'госпрозрахунк.'!AV36</f>
        <v>73.39999999999984</v>
      </c>
      <c r="AW36" s="123">
        <f>населення!AX36+льготи!AW36+субсидии!AW36+'держ.бюджет'!AW36+'місц.-район.бюджет'!AW36+обласной!AW36+'госпрозрахунк.'!AW36</f>
        <v>21.499999999999886</v>
      </c>
      <c r="AX36" s="20">
        <f t="shared" si="11"/>
        <v>4933.2</v>
      </c>
      <c r="AY36" s="20">
        <f t="shared" si="12"/>
        <v>4859.800000000001</v>
      </c>
      <c r="AZ36" s="20">
        <f>AX36-AY36</f>
        <v>73.39999999999873</v>
      </c>
      <c r="BA36" s="20">
        <f t="shared" si="2"/>
        <v>21.49999999999909</v>
      </c>
    </row>
    <row r="37" spans="1:53" ht="29.25" customHeight="1">
      <c r="A37" s="19">
        <v>26</v>
      </c>
      <c r="B37" s="15" t="s">
        <v>92</v>
      </c>
      <c r="C37" s="123">
        <f>населення!C37+льготи!C37+субсидии!C37+'держ.бюджет'!C37+'місц.-район.бюджет'!C37+обласной!C37+'госпрозрахунк.'!C37</f>
        <v>16493.100000000002</v>
      </c>
      <c r="D37" s="124">
        <f>населення!D37+льготи!D37+субсидии!D37+'держ.бюджет'!D37+'місц.-район.бюджет'!D37+обласной!D37+'госпрозрахунк.'!D37</f>
        <v>8038.4</v>
      </c>
      <c r="E37" s="124">
        <f>населення!E37+льготи!E37+субсидии!E37+'держ.бюджет'!E37+'місц.-район.бюджет'!E37+обласной!E37+'госпрозрахунк.'!E37</f>
        <v>3177.7</v>
      </c>
      <c r="F37" s="14">
        <f t="shared" si="3"/>
        <v>39.53149880573248</v>
      </c>
      <c r="G37" s="124">
        <f>населення!G37+льготи!G37+субсидии!G37+'держ.бюджет'!G37+'місц.-район.бюджет'!G37+обласной!G37+'госпрозрахунк.'!G37</f>
        <v>7957.3</v>
      </c>
      <c r="H37" s="124">
        <f>населення!H37+льготи!H37+субсидии!H37+'держ.бюджет'!H37+'місц.-район.бюджет'!H37+обласной!H37+'госпрозрахунк.'!H37</f>
        <v>5229.400000000001</v>
      </c>
      <c r="I37" s="14">
        <f t="shared" si="13"/>
        <v>65.71827127291921</v>
      </c>
      <c r="J37" s="124">
        <f>населення!J37+льготи!J37+субсидии!J37+'держ.бюджет'!J37+'місц.-район.бюджет'!J37+обласной!J37+'госпрозрахунк.'!J37</f>
        <v>7756.4</v>
      </c>
      <c r="K37" s="124">
        <f>населення!K37+льготи!K37+субсидии!K37+'держ.бюджет'!K37+'місц.-район.бюджет'!K37+обласной!K37+'госпрозрахунк.'!K37</f>
        <v>4524.7</v>
      </c>
      <c r="L37" s="14">
        <f t="shared" si="0"/>
        <v>58.33505234387086</v>
      </c>
      <c r="M37" s="123">
        <f>населення!M37+льготи!M37+субсидии!M37+'держ.бюджет'!M37+'місц.-район.бюджет'!M37+обласной!M37+'госпрозрахунк.'!M37</f>
        <v>23752.1</v>
      </c>
      <c r="N37" s="123">
        <f>населення!N37+льготи!N37+субсидии!N37+'держ.бюджет'!N37+'місц.-район.бюджет'!N37+обласной!N37+'госпрозрахунк.'!N37</f>
        <v>12931.8</v>
      </c>
      <c r="O37" s="123">
        <f t="shared" si="5"/>
        <v>54.44487013779834</v>
      </c>
      <c r="P37" s="123">
        <f>населення!P37+льготи!P37+субсидии!P37+'держ.бюджет'!P37+'місц.-район.бюджет'!P37+обласной!P37+'госпрозрахунк.'!P37</f>
        <v>925.5</v>
      </c>
      <c r="Q37" s="123">
        <f>населення!Q37+льготи!Q37+субсидии!Q37+'держ.бюджет'!Q37+'місц.-район.бюджет'!Q37+обласной!Q37+'госпрозрахунк.'!Q37</f>
        <v>7836.5</v>
      </c>
      <c r="R37" s="123">
        <f t="shared" si="6"/>
        <v>846.7314964883846</v>
      </c>
      <c r="S37" s="123">
        <f>населення!S37+льготи!S37+субсидии!S37+'держ.бюджет'!S37+'місц.-район.бюджет'!S37+обласной!S37+'госпрозрахунк.'!S37</f>
        <v>0</v>
      </c>
      <c r="T37" s="123">
        <f>населення!T37+льготи!T37+субсидии!T37+'держ.бюджет'!T37+'місц.-район.бюджет'!T37+обласной!T37+'госпрозрахунк.'!T37</f>
        <v>1796.2</v>
      </c>
      <c r="U37" s="123"/>
      <c r="V37" s="123">
        <f>населення!V37+льготи!V37+субсидии!V37+'держ.бюджет'!V37+'місц.-район.бюджет'!V37+обласной!V37+'госпрозрахунк.'!V37</f>
        <v>0</v>
      </c>
      <c r="W37" s="123">
        <f>населення!W37+льготи!W37+субсидии!W37+'держ.бюджет'!W37+'місц.-район.бюджет'!W37+обласной!W37+'госпрозрахунк.'!W37</f>
        <v>1418.3</v>
      </c>
      <c r="X37" s="123"/>
      <c r="Y37" s="123">
        <f>населення!Y37+льготи!Y37+субсидии!Y37+'держ.бюджет'!Y37+'місц.-район.бюджет'!Y37+обласной!Y37+'госпрозрахунк.'!Y37</f>
        <v>925.5</v>
      </c>
      <c r="Z37" s="123">
        <f>населення!Z37+льготи!Z37+субсидии!Z37+'держ.бюджет'!Z37+'місц.-район.бюджет'!Z37+обласной!Z37+'госпрозрахунк.'!Z37</f>
        <v>11050.999999999998</v>
      </c>
      <c r="AA37" s="123">
        <f t="shared" si="14"/>
        <v>1194.0572663425173</v>
      </c>
      <c r="AB37" s="123">
        <f>населення!AB37+льготи!AB37+субсидии!AB37+'держ.бюджет'!AB37+'місц.-район.бюджет'!AB37+обласной!AB37+'госпрозрахунк.'!AB37</f>
        <v>0</v>
      </c>
      <c r="AC37" s="123">
        <f>населення!AC37+льготи!AC37+субсидии!AC37+'держ.бюджет'!AC37+'місц.-район.бюджет'!AC37+обласной!AC37+'госпрозрахунк.'!AC37</f>
        <v>761.9</v>
      </c>
      <c r="AD37" s="123" t="e">
        <f t="shared" si="7"/>
        <v>#DIV/0!</v>
      </c>
      <c r="AE37" s="123">
        <f>населення!AE37+льготи!AE37+субсидии!AE37+'держ.бюджет'!AE37+'місц.-район.бюджет'!AE37+обласной!AE37+'госпрозрахунк.'!AE37</f>
        <v>0</v>
      </c>
      <c r="AF37" s="123">
        <f>населення!AF37+льготи!AF37+субсидии!AF37+'держ.бюджет'!AF37+'місц.-район.бюджет'!AF37+обласной!AF37+'госпрозрахунк.'!AF37</f>
        <v>0</v>
      </c>
      <c r="AG37" s="123" t="e">
        <f t="shared" si="15"/>
        <v>#DIV/0!</v>
      </c>
      <c r="AH37" s="123">
        <f>населення!AH37+льготи!AH37+субсидии!AH37+'держ.бюджет'!AH37+'місц.-район.бюджет'!AH37+обласной!AH37+'госпрозрахунк.'!AH37</f>
        <v>0</v>
      </c>
      <c r="AI37" s="123">
        <f>населення!AI37+льготи!AI37+субсидии!AI37+'держ.бюджет'!AI37+'місц.-район.бюджет'!AI37+обласной!AI37+'госпрозрахунк.'!AI37</f>
        <v>0</v>
      </c>
      <c r="AJ37" s="123">
        <f>населення!AJ37+льготи!AJ37+субсидии!AJ37+'держ.бюджет'!AJ37+'місц.-район.бюджет'!AJ37+обласной!AJ37+'госпрозрахунк.'!AJ37</f>
        <v>0</v>
      </c>
      <c r="AK37" s="123">
        <f>населення!AK37+льготи!AK37+субсидии!AK37+'держ.бюджет'!AK37+'місц.-район.бюджет'!AK37+обласной!AK37+'госпрозрахунк.'!AK37</f>
        <v>761.9</v>
      </c>
      <c r="AL37" s="123" t="e">
        <f t="shared" si="8"/>
        <v>#DIV/0!</v>
      </c>
      <c r="AM37" s="123">
        <f>населення!AM37+льготи!AM37+субсидии!AM37+'держ.бюджет'!AM37+'місц.-район.бюджет'!AM37+обласной!AM37+'госпрозрахунк.'!AM37</f>
        <v>0</v>
      </c>
      <c r="AN37" s="123">
        <f>населення!AN37+льготи!AN37+субсидии!AN37+'держ.бюджет'!AN37+'місц.-район.бюджет'!AN37+обласной!AN37+'госпрозрахунк.'!AN37</f>
        <v>0</v>
      </c>
      <c r="AO37" s="123">
        <f>населення!AO37+льготи!AO37+субсидии!AO37+'держ.бюджет'!AO37+'місц.-район.бюджет'!AO37+обласной!AO37+'госпрозрахунк.'!AO37</f>
        <v>0</v>
      </c>
      <c r="AP37" s="123">
        <f>населення!AP37+льготи!AP37+субсидии!AP37+'держ.бюджет'!AP37+'місц.-район.бюджет'!AP37+обласной!AP37+'госпрозрахунк.'!AP37</f>
        <v>0</v>
      </c>
      <c r="AQ37" s="123">
        <f>населення!AR37+льготи!AQ37+субсидии!AQ37+'держ.бюджет'!AQ37+'місц.-район.бюджет'!AQ37+обласной!AQ37+'госпрозрахунк.'!AQ37</f>
        <v>0</v>
      </c>
      <c r="AR37" s="123">
        <f>населення!AS37+льготи!AR37+субсидии!AR37+'держ.бюджет'!AR37+'місц.-район.бюджет'!AR37+обласной!AR37+'госпрозрахунк.'!AR37</f>
        <v>0</v>
      </c>
      <c r="AS37" s="123">
        <f>населення!AT37+льготи!AS37+субсидии!AS37+'держ.бюджет'!AS37+'місц.-район.бюджет'!AS37+обласной!AS37+'госпрозрахунк.'!AS37</f>
        <v>24677.6</v>
      </c>
      <c r="AT37" s="123">
        <f>населення!AU37+льготи!AT37+субсидии!AT37+'держ.бюджет'!AT37+'місц.-район.бюджет'!AT37+обласной!AT37+'госпрозрахунк.'!AT37</f>
        <v>24744.7</v>
      </c>
      <c r="AU37" s="123">
        <f t="shared" si="9"/>
        <v>100.27190650630533</v>
      </c>
      <c r="AV37" s="123">
        <f>населення!AW37+льготи!AV37+субсидии!AV37+'держ.бюджет'!AV37+'місц.-район.бюджет'!AV37+обласной!AV37+'госпрозрахунк.'!AV37</f>
        <v>-67.10000000000028</v>
      </c>
      <c r="AW37" s="123">
        <f>населення!AX37+льготи!AW37+субсидии!AW37+'держ.бюджет'!AW37+'місц.-район.бюджет'!AW37+обласной!AW37+'госпрозрахунк.'!AW37</f>
        <v>16426.000000000004</v>
      </c>
      <c r="AX37" s="20">
        <f t="shared" si="11"/>
        <v>24677.6</v>
      </c>
      <c r="AY37" s="20">
        <f t="shared" si="12"/>
        <v>24744.699999999997</v>
      </c>
      <c r="AZ37" s="20">
        <f t="shared" si="10"/>
        <v>-67.09999999999854</v>
      </c>
      <c r="BA37" s="20">
        <f t="shared" si="2"/>
        <v>16426</v>
      </c>
    </row>
    <row r="38" spans="1:53" ht="27.75" customHeight="1">
      <c r="A38" s="19">
        <v>27</v>
      </c>
      <c r="B38" s="1" t="s">
        <v>90</v>
      </c>
      <c r="C38" s="123">
        <f>населення!C38+льготи!C38+субсидии!C38+'держ.бюджет'!C38+'місц.-район.бюджет'!C38+обласной!C38+'госпрозрахунк.'!C38</f>
        <v>-838.3</v>
      </c>
      <c r="D38" s="124">
        <f>населення!D38+льготи!D38+субсидии!D38+'держ.бюджет'!D38+'місц.-район.бюджет'!D38+обласной!D38+'госпрозрахунк.'!D38</f>
        <v>3625.9</v>
      </c>
      <c r="E38" s="124">
        <f>населення!E38+льготи!E38+субсидии!E38+'держ.бюджет'!E38+'місц.-район.бюджет'!E38+обласной!E38+'госпрозрахунк.'!E38</f>
        <v>752.9</v>
      </c>
      <c r="F38" s="14">
        <f t="shared" si="3"/>
        <v>20.764499848313523</v>
      </c>
      <c r="G38" s="124">
        <f>населення!G38+льготи!G38+субсидии!G38+'держ.бюджет'!G38+'місц.-район.бюджет'!G38+обласной!G38+'госпрозрахунк.'!G38</f>
        <v>3471.5</v>
      </c>
      <c r="H38" s="124">
        <f>населення!H38+льготи!H38+субсидии!H38+'держ.бюджет'!H38+'місц.-район.бюджет'!H38+обласной!H38+'госпрозрахунк.'!H38</f>
        <v>2748</v>
      </c>
      <c r="I38" s="14">
        <f t="shared" si="13"/>
        <v>79.15886504392914</v>
      </c>
      <c r="J38" s="124">
        <f>населення!J38+льготи!J38+субсидии!J38+'держ.бюджет'!J38+'місц.-район.бюджет'!J38+обласной!J38+'госпрозрахунк.'!J38</f>
        <v>3544.2999999999997</v>
      </c>
      <c r="K38" s="124">
        <f>населення!K38+льготи!K38+субсидии!K38+'держ.бюджет'!K38+'місц.-район.бюджет'!K38+обласной!K38+'госпрозрахунк.'!K38</f>
        <v>1990.8</v>
      </c>
      <c r="L38" s="14">
        <f t="shared" si="0"/>
        <v>56.16906018113591</v>
      </c>
      <c r="M38" s="123">
        <f>населення!M38+льготи!M38+субсидии!M38+'держ.бюджет'!M38+'місц.-район.бюджет'!M38+обласной!M38+'госпрозрахунк.'!M38</f>
        <v>10641.7</v>
      </c>
      <c r="N38" s="123">
        <f>населення!N38+льготи!N38+субсидии!N38+'держ.бюджет'!N38+'місц.-район.бюджет'!N38+обласной!N38+'госпрозрахунк.'!N38</f>
        <v>5491.7</v>
      </c>
      <c r="O38" s="123">
        <f t="shared" si="5"/>
        <v>51.60547656859335</v>
      </c>
      <c r="P38" s="123">
        <f>населення!P38+льготи!P38+субсидии!P38+'держ.бюджет'!P38+'місц.-район.бюджет'!P38+обласной!P38+'госпрозрахунк.'!P38</f>
        <v>445.29999999999995</v>
      </c>
      <c r="Q38" s="123">
        <f>населення!Q38+льготи!Q38+субсидии!Q38+'держ.бюджет'!Q38+'місц.-район.бюджет'!Q38+обласной!Q38+'госпрозрахунк.'!Q38</f>
        <v>1341.5</v>
      </c>
      <c r="R38" s="123">
        <f t="shared" si="6"/>
        <v>301.2575791601168</v>
      </c>
      <c r="S38" s="123">
        <f>населення!S38+льготи!S38+субсидии!S38+'держ.бюджет'!S38+'місц.-район.бюджет'!S38+обласной!S38+'госпрозрахунк.'!S38</f>
        <v>65.8</v>
      </c>
      <c r="T38" s="123">
        <f>населення!T38+льготи!T38+субсидии!T38+'держ.бюджет'!T38+'місц.-район.бюджет'!T38+обласной!T38+'госпрозрахунк.'!T38</f>
        <v>1046.3</v>
      </c>
      <c r="U38" s="123"/>
      <c r="V38" s="123">
        <f>населення!V38+льготи!V38+субсидии!V38+'держ.бюджет'!V38+'місц.-район.бюджет'!V38+обласной!V38+'госпрозрахунк.'!V38</f>
        <v>44.8</v>
      </c>
      <c r="W38" s="123">
        <f>населення!W38+льготи!W38+субсидии!W38+'держ.бюджет'!W38+'місц.-район.бюджет'!W38+обласной!W38+'госпрозрахунк.'!W38</f>
        <v>992.9</v>
      </c>
      <c r="X38" s="123"/>
      <c r="Y38" s="123">
        <f>населення!Y38+льготи!Y38+субсидии!Y38+'держ.бюджет'!Y38+'місц.-район.бюджет'!Y38+обласной!Y38+'госпрозрахунк.'!Y38</f>
        <v>555.9</v>
      </c>
      <c r="Z38" s="123">
        <f>населення!Z38+льготи!Z38+субсидии!Z38+'держ.бюджет'!Z38+'місц.-район.бюджет'!Z38+обласной!Z38+'госпрозрахунк.'!Z38</f>
        <v>3380.7</v>
      </c>
      <c r="AA38" s="123">
        <f t="shared" si="14"/>
        <v>608.1489476524555</v>
      </c>
      <c r="AB38" s="123">
        <f>населення!AB38+льготи!AB38+субсидии!AB38+'держ.бюджет'!AB38+'місц.-район.бюджет'!AB38+обласной!AB38+'госпрозрахунк.'!AB38</f>
        <v>35.3</v>
      </c>
      <c r="AC38" s="123">
        <f>населення!AC38+льготи!AC38+субсидии!AC38+'держ.бюджет'!AC38+'місц.-район.бюджет'!AC38+обласной!AC38+'госпрозрахунк.'!AC38</f>
        <v>847.4</v>
      </c>
      <c r="AD38" s="125">
        <f t="shared" si="7"/>
        <v>2400.5665722379604</v>
      </c>
      <c r="AE38" s="123">
        <f>населення!AE38+льготи!AE38+субсидии!AE38+'держ.бюджет'!AE38+'місц.-район.бюджет'!AE38+обласной!AE38+'госпрозрахунк.'!AE38</f>
        <v>0</v>
      </c>
      <c r="AF38" s="123">
        <f>населення!AF38+льготи!AF38+субсидии!AF38+'держ.бюджет'!AF38+'місц.-район.бюджет'!AF38+обласной!AF38+'госпрозрахунк.'!AF38</f>
        <v>0</v>
      </c>
      <c r="AG38" s="125" t="e">
        <f t="shared" si="15"/>
        <v>#DIV/0!</v>
      </c>
      <c r="AH38" s="123">
        <f>населення!AH38+льготи!AH38+субсидии!AH38+'держ.бюджет'!AH38+'місц.-район.бюджет'!AH38+обласной!AH38+'госпрозрахунк.'!AH38</f>
        <v>0</v>
      </c>
      <c r="AI38" s="123">
        <f>населення!AI38+льготи!AI38+субсидии!AI38+'держ.бюджет'!AI38+'місц.-район.бюджет'!AI38+обласной!AI38+'госпрозрахунк.'!AI38</f>
        <v>0</v>
      </c>
      <c r="AJ38" s="123">
        <f>населення!AJ38+льготи!AJ38+субсидии!AJ38+'держ.бюджет'!AJ38+'місц.-район.бюджет'!AJ38+обласной!AJ38+'госпрозрахунк.'!AJ38</f>
        <v>35.3</v>
      </c>
      <c r="AK38" s="123">
        <f>населення!AK38+льготи!AK38+субсидии!AK38+'держ.бюджет'!AK38+'місц.-район.бюджет'!AK38+обласной!AK38+'госпрозрахунк.'!AK38</f>
        <v>847.4</v>
      </c>
      <c r="AL38" s="125">
        <f t="shared" si="8"/>
        <v>2400.5665722379604</v>
      </c>
      <c r="AM38" s="123">
        <f>населення!AM38+льготи!AM38+субсидии!AM38+'держ.бюджет'!AM38+'місц.-район.бюджет'!AM38+обласной!AM38+'госпрозрахунк.'!AM38</f>
        <v>0</v>
      </c>
      <c r="AN38" s="123">
        <f>населення!AN38+льготи!AN38+субсидии!AN38+'держ.бюджет'!AN38+'місц.-район.бюджет'!AN38+обласной!AN38+'госпрозрахунк.'!AN38</f>
        <v>0</v>
      </c>
      <c r="AO38" s="123">
        <f>населення!AO38+льготи!AO38+субсидии!AO38+'держ.бюджет'!AO38+'місц.-район.бюджет'!AO38+обласной!AO38+'госпрозрахунк.'!AO38</f>
        <v>0</v>
      </c>
      <c r="AP38" s="123">
        <f>населення!AP38+льготи!AP38+субсидии!AP38+'держ.бюджет'!AP38+'місц.-район.бюджет'!AP38+обласной!AP38+'госпрозрахунк.'!AP38</f>
        <v>0</v>
      </c>
      <c r="AQ38" s="123">
        <f>населення!AR38+льготи!AQ38+субсидии!AQ38+'держ.бюджет'!AQ38+'місц.-район.бюджет'!AQ38+обласной!AQ38+'госпрозрахунк.'!AQ38</f>
        <v>0</v>
      </c>
      <c r="AR38" s="123">
        <f>населення!AS38+льготи!AR38+субсидии!AR38+'держ.бюджет'!AR38+'місц.-район.бюджет'!AR38+обласной!AR38+'госпрозрахунк.'!AR38</f>
        <v>0</v>
      </c>
      <c r="AS38" s="123">
        <f>населення!AT38+льготи!AS38+субсидии!AS38+'держ.бюджет'!AS38+'місц.-район.бюджет'!AS38+обласной!AS38+'госпрозрахунк.'!AS38</f>
        <v>11232.9</v>
      </c>
      <c r="AT38" s="123">
        <f>населення!AU38+льготи!AT38+субсидии!AT38+'держ.бюджет'!AT38+'місц.-район.бюджет'!AT38+обласной!AT38+'госпрозрахунк.'!AT38</f>
        <v>9719.800000000001</v>
      </c>
      <c r="AU38" s="123">
        <f t="shared" si="9"/>
        <v>86.5297474383285</v>
      </c>
      <c r="AV38" s="123">
        <f>населення!AW38+льготи!AV38+субсидии!AV38+'держ.бюджет'!AV38+'місц.-район.бюджет'!AV38+обласной!AV38+'госпрозрахунк.'!AV38</f>
        <v>1513.1000000000008</v>
      </c>
      <c r="AW38" s="123">
        <f>населення!AX38+льготи!AW38+субсидии!AW38+'держ.бюджет'!AW38+'місц.-район.бюджет'!AW38+обласной!AW38+'госпрозрахунк.'!AW38</f>
        <v>674.8000000000009</v>
      </c>
      <c r="AX38" s="20">
        <f t="shared" si="11"/>
        <v>11232.9</v>
      </c>
      <c r="AY38" s="20">
        <f t="shared" si="12"/>
        <v>9719.8</v>
      </c>
      <c r="AZ38" s="20">
        <f t="shared" si="10"/>
        <v>1513.1000000000004</v>
      </c>
      <c r="BA38" s="20">
        <f t="shared" si="2"/>
        <v>674.8000000000011</v>
      </c>
    </row>
    <row r="39" spans="1:53" ht="24.75" customHeight="1">
      <c r="A39" s="19">
        <v>28</v>
      </c>
      <c r="B39" s="15" t="s">
        <v>36</v>
      </c>
      <c r="C39" s="123">
        <f>населення!C39+льготи!C39+субсидии!C39+'держ.бюджет'!C39+'місц.-район.бюджет'!C39+обласной!C39+'госпрозрахунк.'!C39</f>
        <v>18929.899999999998</v>
      </c>
      <c r="D39" s="124">
        <f>населення!D39+льготи!D39+субсидии!D39+'держ.бюджет'!D39+'місц.-район.бюджет'!D39+обласной!D39+'госпрозрахунк.'!D39</f>
        <v>18355.7</v>
      </c>
      <c r="E39" s="124">
        <f>населення!E39+льготи!E39+субсидии!E39+'держ.бюджет'!E39+'місц.-район.бюджет'!E39+обласной!E39+'госпрозрахунк.'!E39</f>
        <v>6202.6</v>
      </c>
      <c r="F39" s="14">
        <f t="shared" si="3"/>
        <v>33.79113844745773</v>
      </c>
      <c r="G39" s="124">
        <f>населення!G39+льготи!G39+субсидии!G39+'держ.бюджет'!G39+'місц.-район.бюджет'!G39+обласной!G39+'госпрозрахунк.'!G39</f>
        <v>17624.399999999998</v>
      </c>
      <c r="H39" s="124">
        <f>населення!H39+льготи!H39+субсидии!H39+'держ.бюджет'!H39+'місц.-район.бюджет'!H39+обласной!H39+'госпрозрахунк.'!H39</f>
        <v>8597.1</v>
      </c>
      <c r="I39" s="14">
        <f t="shared" si="13"/>
        <v>48.77953292026964</v>
      </c>
      <c r="J39" s="124">
        <f>населення!J39+льготи!J39+субсидии!J39+'держ.бюджет'!J39+'місц.-район.бюджет'!J39+обласной!J39+'госпрозрахунк.'!J39</f>
        <v>17578.300000000003</v>
      </c>
      <c r="K39" s="124">
        <f>населення!K39+льготи!K39+субсидии!K39+'держ.бюджет'!K39+'місц.-район.бюджет'!K39+обласной!K39+'госпрозрахунк.'!K39</f>
        <v>12131.3</v>
      </c>
      <c r="L39" s="14">
        <f t="shared" si="0"/>
        <v>69.01293071571197</v>
      </c>
      <c r="M39" s="123">
        <f>населення!M39+льготи!M39+субсидии!M39+'держ.бюджет'!M39+'місц.-район.бюджет'!M39+обласной!M39+'госпрозрахунк.'!M39</f>
        <v>53558.399999999994</v>
      </c>
      <c r="N39" s="123">
        <f>населення!N39+льготи!N39+субсидии!N39+'держ.бюджет'!N39+'місц.-район.бюджет'!N39+обласной!N39+'госпрозрахунк.'!N39</f>
        <v>26931</v>
      </c>
      <c r="O39" s="123">
        <f t="shared" si="5"/>
        <v>50.283428929915765</v>
      </c>
      <c r="P39" s="123">
        <f>населення!P39+льготи!P39+субсидии!P39+'держ.бюджет'!P39+'місц.-район.бюджет'!P39+обласной!P39+'госпрозрахунк.'!P39</f>
        <v>4642.2</v>
      </c>
      <c r="Q39" s="123">
        <f>населення!Q39+льготи!Q39+субсидии!Q39+'держ.бюджет'!Q39+'місц.-район.бюджет'!Q39+обласной!Q39+'госпрозрахунк.'!Q39</f>
        <v>19642.999999999996</v>
      </c>
      <c r="R39" s="123">
        <f t="shared" si="6"/>
        <v>423.13989056912664</v>
      </c>
      <c r="S39" s="123">
        <f>населення!S39+льготи!S39+субсидии!S39+'держ.бюджет'!S39+'місц.-район.бюджет'!S39+обласной!S39+'госпрозрахунк.'!S39</f>
        <v>922.5499999999998</v>
      </c>
      <c r="T39" s="123">
        <f>населення!T39+льготи!T39+субсидии!T39+'держ.бюджет'!T39+'місц.-район.бюджет'!T39+обласной!T39+'госпрозрахунк.'!T39</f>
        <v>5180.110000000001</v>
      </c>
      <c r="U39" s="123">
        <f>T39/S39*100</f>
        <v>561.4991057395264</v>
      </c>
      <c r="V39" s="123">
        <f>населення!V39+льготи!V39+субсидии!V39+'держ.бюджет'!V39+'місц.-район.бюджет'!V39+обласной!V39+'госпрозрахунк.'!V39</f>
        <v>950.2</v>
      </c>
      <c r="W39" s="123">
        <f>населення!W39+льготи!W39+субсидии!W39+'держ.бюджет'!W39+'місц.-район.бюджет'!W39+обласной!W39+'госпрозрахунк.'!W39</f>
        <v>2647.3</v>
      </c>
      <c r="X39" s="123">
        <f>W39/V39*100</f>
        <v>278.60450431488107</v>
      </c>
      <c r="Y39" s="123">
        <f>населення!Y39+льготи!Y39+субсидии!Y39+'держ.бюджет'!Y39+'місц.-район.бюджет'!Y39+обласной!Y39+'госпрозрахунк.'!Y39</f>
        <v>6514.949999999999</v>
      </c>
      <c r="Z39" s="123">
        <f>населення!Z39+льготи!Z39+субсидии!Z39+'держ.бюджет'!Z39+'місц.-район.бюджет'!Z39+обласной!Z39+'госпрозрахунк.'!Z39</f>
        <v>27470.410000000003</v>
      </c>
      <c r="AA39" s="123">
        <f t="shared" si="14"/>
        <v>421.6518929538984</v>
      </c>
      <c r="AB39" s="123">
        <f>населення!AB39+льготи!AB39+субсидии!AB39+'держ.бюджет'!AB39+'місц.-район.бюджет'!AB39+обласной!AB39+'госпрозрахунк.'!AB39</f>
        <v>986.8</v>
      </c>
      <c r="AC39" s="123">
        <f>населення!AC39+льготи!AC39+субсидии!AC39+'держ.бюджет'!AC39+'місц.-район.бюджет'!AC39+обласной!AC39+'госпрозрахунк.'!AC39</f>
        <v>1970.3999999999999</v>
      </c>
      <c r="AD39" s="123">
        <f t="shared" si="7"/>
        <v>199.67571949736524</v>
      </c>
      <c r="AE39" s="123">
        <f>населення!AE39+льготи!AE39+субсидии!AE39+'держ.бюджет'!AE39+'місц.-район.бюджет'!AE39+обласной!AE39+'госпрозрахунк.'!AE39</f>
        <v>0</v>
      </c>
      <c r="AF39" s="123">
        <f>населення!AF39+льготи!AF39+субсидии!AF39+'держ.бюджет'!AF39+'місц.-район.бюджет'!AF39+обласной!AF39+'госпрозрахунк.'!AF39</f>
        <v>0</v>
      </c>
      <c r="AG39" s="123" t="e">
        <f t="shared" si="15"/>
        <v>#DIV/0!</v>
      </c>
      <c r="AH39" s="123">
        <f>населення!AH39+льготи!AH39+субсидии!AH39+'держ.бюджет'!AH39+'місц.-район.бюджет'!AH39+обласной!AH39+'госпрозрахунк.'!AH39</f>
        <v>0</v>
      </c>
      <c r="AI39" s="123">
        <f>населення!AI39+льготи!AI39+субсидии!AI39+'держ.бюджет'!AI39+'місц.-район.бюджет'!AI39+обласной!AI39+'госпрозрахунк.'!AI39</f>
        <v>0</v>
      </c>
      <c r="AJ39" s="123">
        <f>населення!AJ39+льготи!AJ39+субсидии!AJ39+'держ.бюджет'!AJ39+'місц.-район.бюджет'!AJ39+обласной!AJ39+'госпрозрахунк.'!AJ39</f>
        <v>986.8</v>
      </c>
      <c r="AK39" s="123">
        <f>населення!AK39+льготи!AK39+субсидии!AK39+'держ.бюджет'!AK39+'місц.-район.бюджет'!AK39+обласной!AK39+'госпрозрахунк.'!AK39</f>
        <v>1970.3999999999999</v>
      </c>
      <c r="AL39" s="125">
        <f t="shared" si="8"/>
        <v>199.67571949736524</v>
      </c>
      <c r="AM39" s="123">
        <f>населення!AM39+льготи!AM39+субсидии!AM39+'держ.бюджет'!AM39+'місц.-район.бюджет'!AM39+обласной!AM39+'госпрозрахунк.'!AM39</f>
        <v>0</v>
      </c>
      <c r="AN39" s="123">
        <f>населення!AN39+льготи!AN39+субсидии!AN39+'держ.бюджет'!AN39+'місц.-район.бюджет'!AN39+обласной!AN39+'госпрозрахунк.'!AN39</f>
        <v>0</v>
      </c>
      <c r="AO39" s="123">
        <f>населення!AO39+льготи!AO39+субсидии!AO39+'держ.бюджет'!AO39+'місц.-район.бюджет'!AO39+обласной!AO39+'госпрозрахунк.'!AO39</f>
        <v>0</v>
      </c>
      <c r="AP39" s="123">
        <f>населення!AP39+льготи!AP39+субсидии!AP39+'держ.бюджет'!AP39+'місц.-район.бюджет'!AP39+обласной!AP39+'госпрозрахунк.'!AP39</f>
        <v>0</v>
      </c>
      <c r="AQ39" s="123">
        <f>населення!AR39+льготи!AQ39+субсидии!AQ39+'держ.бюджет'!AQ39+'місц.-район.бюджет'!AQ39+обласной!AQ39+'госпрозрахунк.'!AQ39</f>
        <v>0</v>
      </c>
      <c r="AR39" s="123">
        <f>населення!AS39+льготи!AR39+субсидии!AR39+'держ.бюджет'!AR39+'місц.-район.бюджет'!AR39+обласной!AR39+'госпрозрахунк.'!AR39</f>
        <v>0</v>
      </c>
      <c r="AS39" s="123">
        <f>населення!AT39+льготи!AS39+субсидии!AS39+'держ.бюджет'!AS39+'місц.-район.бюджет'!AS39+обласной!AS39+'госпрозрахунк.'!AS39</f>
        <v>61060.149999999994</v>
      </c>
      <c r="AT39" s="123">
        <f>населення!AU39+льготи!AT39+субсидии!AT39+'держ.бюджет'!AT39+'місц.-район.бюджет'!AT39+обласной!AT39+'госпрозрахунк.'!AT39</f>
        <v>56371.81</v>
      </c>
      <c r="AU39" s="123">
        <f t="shared" si="9"/>
        <v>92.32176796159197</v>
      </c>
      <c r="AV39" s="123">
        <f>населення!AW39+льготи!AV39+субсидии!AV39+'держ.бюджет'!AV39+'місц.-район.бюджет'!AV39+обласной!AV39+'госпрозрахунк.'!AV39</f>
        <v>4688.339999999998</v>
      </c>
      <c r="AW39" s="123">
        <f>населення!AX39+льготи!AW39+субсидии!AW39+'держ.бюджет'!AW39+'місц.-район.бюджет'!AW39+обласной!AW39+'госпрозрахунк.'!AW39</f>
        <v>23618.239999999998</v>
      </c>
      <c r="AX39" s="20">
        <f t="shared" si="11"/>
        <v>61060.149999999994</v>
      </c>
      <c r="AY39" s="20">
        <f t="shared" si="12"/>
        <v>56371.810000000005</v>
      </c>
      <c r="AZ39" s="20">
        <f t="shared" si="10"/>
        <v>4688.339999999989</v>
      </c>
      <c r="BA39" s="20">
        <f t="shared" si="2"/>
        <v>23618.239999999983</v>
      </c>
    </row>
    <row r="40" spans="1:53" ht="22.5" customHeight="1">
      <c r="A40" s="19">
        <v>29</v>
      </c>
      <c r="B40" s="15" t="s">
        <v>91</v>
      </c>
      <c r="C40" s="123">
        <f>населення!C40+льготи!C40+субсидии!C40+'держ.бюджет'!C40+'місц.-район.бюджет'!C40+обласной!C40+'госпрозрахунк.'!C40</f>
        <v>25151.6</v>
      </c>
      <c r="D40" s="124">
        <f>населення!D40+льготи!D40+субсидии!D40+'держ.бюджет'!D40+'місц.-район.бюджет'!D40+обласной!D40+'госпрозрахунк.'!D40</f>
        <v>24530.5</v>
      </c>
      <c r="E40" s="124">
        <f>населення!E40+льготи!E40+субсидии!E40+'держ.бюджет'!E40+'місц.-район.бюджет'!E40+обласной!E40+'госпрозрахунк.'!E40</f>
        <v>11003</v>
      </c>
      <c r="F40" s="14">
        <f t="shared" si="3"/>
        <v>44.85436497421577</v>
      </c>
      <c r="G40" s="124">
        <f>населення!G40+льготи!G40+субсидии!G40+'держ.бюджет'!G40+'місц.-район.бюджет'!G40+обласной!G40+'госпрозрахунк.'!G40</f>
        <v>24003.2</v>
      </c>
      <c r="H40" s="124">
        <f>населення!H40+льготи!H40+субсидии!H40+'держ.бюджет'!H40+'місц.-район.бюджет'!H40+обласной!H40+'госпрозрахунк.'!H40</f>
        <v>11805.599999999999</v>
      </c>
      <c r="I40" s="14">
        <f t="shared" si="13"/>
        <v>49.18344220770563</v>
      </c>
      <c r="J40" s="124">
        <f>населення!J40+льготи!J40+субсидии!J40+'держ.бюджет'!J40+'місц.-район.бюджет'!J40+обласной!J40+'госпрозрахунк.'!J40</f>
        <v>24423.200000000004</v>
      </c>
      <c r="K40" s="124">
        <f>населення!K40+льготи!K40+субсидии!K40+'держ.бюджет'!K40+'місц.-район.бюджет'!K40+обласной!K40+'госпрозрахунк.'!K40</f>
        <v>15439.800000000001</v>
      </c>
      <c r="L40" s="14">
        <f t="shared" si="0"/>
        <v>63.21776016246846</v>
      </c>
      <c r="M40" s="123">
        <f>населення!M40+льготи!M40+субсидии!M40+'держ.бюджет'!M40+'місц.-район.бюджет'!M40+обласной!M40+'госпрозрахунк.'!M40</f>
        <v>72956.9</v>
      </c>
      <c r="N40" s="123">
        <f>населення!N40+льготи!N40+субсидии!N40+'держ.бюджет'!N40+'місц.-район.бюджет'!N40+обласной!N40+'госпрозрахунк.'!N40</f>
        <v>38248.399999999994</v>
      </c>
      <c r="O40" s="123">
        <f t="shared" si="5"/>
        <v>52.4260213907115</v>
      </c>
      <c r="P40" s="123">
        <f>населення!P40+льготи!P40+субсидии!P40+'держ.бюджет'!P40+'місц.-район.бюджет'!P40+обласной!P40+'госпрозрахунк.'!P40</f>
        <v>3882.4</v>
      </c>
      <c r="Q40" s="123">
        <f>населення!Q40+льготи!Q40+субсидии!Q40+'держ.бюджет'!Q40+'місц.-район.бюджет'!Q40+обласной!Q40+'госпрозрахунк.'!Q40</f>
        <v>25725.6</v>
      </c>
      <c r="R40" s="123">
        <f t="shared" si="6"/>
        <v>662.621059138677</v>
      </c>
      <c r="S40" s="123">
        <f>населення!S40+льготи!S40+субсидии!S40+'держ.бюджет'!S40+'місц.-район.бюджет'!S40+обласной!S40+'госпрозрахунк.'!S40</f>
        <v>-0.40000000000009095</v>
      </c>
      <c r="T40" s="123">
        <f>населення!T40+льготи!T40+субсидии!T40+'держ.бюджет'!T40+'місц.-район.бюджет'!T40+обласной!T40+'госпрозрахунк.'!T40</f>
        <v>4571.8</v>
      </c>
      <c r="U40" s="123">
        <f>T40/S40*100</f>
        <v>-1142949.9999997402</v>
      </c>
      <c r="V40" s="123">
        <f>населення!V40+льготи!V40+субсидии!V40+'держ.бюджет'!V40+'місц.-район.бюджет'!V40+обласной!V40+'госпрозрахунк.'!V40</f>
        <v>-25.5</v>
      </c>
      <c r="W40" s="123">
        <f>населення!W40+льготи!W40+субсидии!W40+'держ.бюджет'!W40+'місц.-район.бюджет'!W40+обласной!W40+'госпрозрахунк.'!W40</f>
        <v>1228.5</v>
      </c>
      <c r="X40" s="125">
        <f>W40/V40*100</f>
        <v>-4817.64705882353</v>
      </c>
      <c r="Y40" s="123">
        <f>населення!Y40+льготи!Y40+субсидии!Y40+'держ.бюджет'!Y40+'місц.-район.бюджет'!Y40+обласной!Y40+'госпрозрахунк.'!Y40</f>
        <v>3856.5</v>
      </c>
      <c r="Z40" s="123">
        <f>населення!Z40+льготи!Z40+субсидии!Z40+'держ.бюджет'!Z40+'місц.-район.бюджет'!Z40+обласной!Z40+'госпрозрахунк.'!Z40</f>
        <v>31525.9</v>
      </c>
      <c r="AA40" s="123">
        <f t="shared" si="14"/>
        <v>817.4743938804615</v>
      </c>
      <c r="AB40" s="123">
        <f>населення!AB40+льготи!AB40+субсидии!AB40+'держ.бюджет'!AB40+'місц.-район.бюджет'!AB40+обласной!AB40+'госпрозрахунк.'!AB40</f>
        <v>0</v>
      </c>
      <c r="AC40" s="123">
        <f>населення!AC40+льготи!AC40+субсидии!AC40+'держ.бюджет'!AC40+'місц.-район.бюджет'!AC40+обласной!AC40+'госпрозрахунк.'!AC40</f>
        <v>989</v>
      </c>
      <c r="AD40" s="125" t="e">
        <f t="shared" si="7"/>
        <v>#DIV/0!</v>
      </c>
      <c r="AE40" s="123">
        <f>населення!AE40+льготи!AE40+субсидии!AE40+'держ.бюджет'!AE40+'місц.-район.бюджет'!AE40+обласной!AE40+'госпрозрахунк.'!AE40</f>
        <v>0</v>
      </c>
      <c r="AF40" s="123">
        <f>населення!AF40+льготи!AF40+субсидии!AF40+'держ.бюджет'!AF40+'місц.-район.бюджет'!AF40+обласной!AF40+'госпрозрахунк.'!AF40</f>
        <v>0</v>
      </c>
      <c r="AG40" s="125" t="e">
        <f t="shared" si="15"/>
        <v>#DIV/0!</v>
      </c>
      <c r="AH40" s="123">
        <f>населення!AH40+льготи!AH40+субсидии!AH40+'держ.бюджет'!AH40+'місц.-район.бюджет'!AH40+обласной!AH40+'госпрозрахунк.'!AH40</f>
        <v>0</v>
      </c>
      <c r="AI40" s="123">
        <f>населення!AI40+льготи!AI40+субсидии!AI40+'держ.бюджет'!AI40+'місц.-район.бюджет'!AI40+обласной!AI40+'госпрозрахунк.'!AI40</f>
        <v>0</v>
      </c>
      <c r="AJ40" s="123">
        <f>населення!AJ40+льготи!AJ40+субсидии!AJ40+'держ.бюджет'!AJ40+'місц.-район.бюджет'!AJ40+обласной!AJ40+'госпрозрахунк.'!AJ40</f>
        <v>0</v>
      </c>
      <c r="AK40" s="123">
        <f>населення!AK40+льготи!AK40+субсидии!AK40+'держ.бюджет'!AK40+'місц.-район.бюджет'!AK40+обласной!AK40+'госпрозрахунк.'!AK40</f>
        <v>989</v>
      </c>
      <c r="AL40" s="125" t="e">
        <f t="shared" si="8"/>
        <v>#DIV/0!</v>
      </c>
      <c r="AM40" s="123">
        <f>населення!AM40+льготи!AM40+субсидии!AM40+'держ.бюджет'!AM40+'місц.-район.бюджет'!AM40+обласной!AM40+'госпрозрахунк.'!AM40</f>
        <v>0</v>
      </c>
      <c r="AN40" s="123">
        <f>населення!AN40+льготи!AN40+субсидии!AN40+'держ.бюджет'!AN40+'місц.-район.бюджет'!AN40+обласной!AN40+'госпрозрахунк.'!AN40</f>
        <v>0</v>
      </c>
      <c r="AO40" s="123">
        <f>населення!AO40+льготи!AO40+субсидии!AO40+'держ.бюджет'!AO40+'місц.-район.бюджет'!AO40+обласной!AO40+'госпрозрахунк.'!AO40</f>
        <v>0</v>
      </c>
      <c r="AP40" s="123">
        <f>населення!AP40+льготи!AP40+субсидии!AP40+'держ.бюджет'!AP40+'місц.-район.бюджет'!AP40+обласной!AP40+'госпрозрахунк.'!AP40</f>
        <v>0</v>
      </c>
      <c r="AQ40" s="123">
        <f>населення!AR40+льготи!AQ40+субсидии!AQ40+'держ.бюджет'!AQ40+'місц.-район.бюджет'!AQ40+обласной!AQ40+'госпрозрахунк.'!AQ40</f>
        <v>0</v>
      </c>
      <c r="AR40" s="123">
        <f>населення!AS40+льготи!AR40+субсидии!AR40+'держ.бюджет'!AR40+'місц.-район.бюджет'!AR40+обласной!AR40+'госпрозрахунк.'!AR40</f>
        <v>0</v>
      </c>
      <c r="AS40" s="123">
        <f>населення!AT40+льготи!AS40+субсидии!AS40+'держ.бюджет'!AS40+'місц.-район.бюджет'!AS40+обласной!AS40+'госпрозрахунк.'!AS40</f>
        <v>76813.4</v>
      </c>
      <c r="AT40" s="123">
        <f>населення!AU40+льготи!AT40+субсидии!AT40+'держ.бюджет'!AT40+'місц.-район.бюджет'!AT40+обласной!AT40+'госпрозрахунк.'!AT40</f>
        <v>70763.3</v>
      </c>
      <c r="AU40" s="123">
        <f t="shared" si="9"/>
        <v>92.12363988574911</v>
      </c>
      <c r="AV40" s="123">
        <f>населення!AW40+льготи!AV40+субсидии!AV40+'держ.бюджет'!AV40+'місц.-район.бюджет'!AV40+обласной!AV40+'госпрозрахунк.'!AV40</f>
        <v>6050.099999999995</v>
      </c>
      <c r="AW40" s="123">
        <f>населення!AX40+льготи!AW40+субсидии!AW40+'держ.бюджет'!AW40+'місц.-район.бюджет'!AW40+обласной!AW40+'госпрозрахунк.'!AW40</f>
        <v>31201.699999999993</v>
      </c>
      <c r="AX40" s="20">
        <f t="shared" si="11"/>
        <v>76813.4</v>
      </c>
      <c r="AY40" s="20">
        <f t="shared" si="12"/>
        <v>70763.29999999999</v>
      </c>
      <c r="AZ40" s="20">
        <f t="shared" si="10"/>
        <v>6050.100000000006</v>
      </c>
      <c r="BA40" s="20">
        <f t="shared" si="2"/>
        <v>31201.70000000001</v>
      </c>
    </row>
    <row r="41" spans="1:53" ht="27.75" customHeight="1">
      <c r="A41" s="19">
        <v>30</v>
      </c>
      <c r="B41" s="15" t="s">
        <v>56</v>
      </c>
      <c r="C41" s="123">
        <f>населення!C41+льготи!C41+субсидии!C41+'держ.бюджет'!C41+'місц.-район.бюджет'!C41+обласной!C41+'госпрозрахунк.'!C41</f>
        <v>94355.3</v>
      </c>
      <c r="D41" s="124">
        <f>населення!D41+льготи!D41+субсидии!D41+'держ.бюджет'!D41+'місц.-район.бюджет'!D41+обласной!D41+'госпрозрахунк.'!D41</f>
        <v>53134.5</v>
      </c>
      <c r="E41" s="124">
        <f>населення!E41+льготи!E41+субсидии!E41+'держ.бюджет'!E41+'місц.-район.бюджет'!E41+обласной!E41+'госпрозрахунк.'!E41</f>
        <v>19988.100000000002</v>
      </c>
      <c r="F41" s="14">
        <f t="shared" si="3"/>
        <v>37.61793185218644</v>
      </c>
      <c r="G41" s="124">
        <f>населення!G41+льготи!G41+субсидии!G41+'держ.бюджет'!G41+'місц.-район.бюджет'!G41+обласной!G41+'госпрозрахунк.'!G41</f>
        <v>44572.5</v>
      </c>
      <c r="H41" s="124">
        <f>населення!H41+льготи!H41+субсидии!H41+'держ.бюджет'!H41+'місц.-район.бюджет'!H41+обласной!H41+'госпрозрахунк.'!H41</f>
        <v>42865.1</v>
      </c>
      <c r="I41" s="14">
        <f t="shared" si="13"/>
        <v>96.16938695383924</v>
      </c>
      <c r="J41" s="124">
        <f>населення!J41+льготи!J41+субсидии!J41+'держ.бюджет'!J41+'місц.-район.бюджет'!J41+обласной!J41+'госпрозрахунк.'!J41</f>
        <v>48563.100000000006</v>
      </c>
      <c r="K41" s="124">
        <f>населення!K41+льготи!K41+субсидии!K41+'держ.бюджет'!K41+'місц.-район.бюджет'!K41+обласной!K41+'госпрозрахунк.'!K41</f>
        <v>24060.9</v>
      </c>
      <c r="L41" s="14">
        <f t="shared" si="0"/>
        <v>49.54564267931825</v>
      </c>
      <c r="M41" s="123">
        <f>населення!M41+льготи!M41+субсидии!M41+'держ.бюджет'!M41+'місц.-район.бюджет'!M41+обласной!M41+'госпрозрахунк.'!M41</f>
        <v>146270.1</v>
      </c>
      <c r="N41" s="123">
        <f>населення!N41+льготи!N41+субсидии!N41+'держ.бюджет'!N41+'місц.-район.бюджет'!N41+обласной!N41+'госпрозрахунк.'!N41</f>
        <v>86914.1</v>
      </c>
      <c r="O41" s="123">
        <f t="shared" si="5"/>
        <v>59.42027796521641</v>
      </c>
      <c r="P41" s="123">
        <f>населення!P41+льготи!P41+субсидии!P41+'держ.бюджет'!P41+'місц.-район.бюджет'!P41+обласной!P41+'госпрозрахунк.'!P41</f>
        <v>7785.1</v>
      </c>
      <c r="Q41" s="123">
        <f>населення!Q41+льготи!Q41+субсидии!Q41+'держ.бюджет'!Q41+'місц.-район.бюджет'!Q41+обласной!Q41+'госпрозрахунк.'!Q41</f>
        <v>46558.1</v>
      </c>
      <c r="R41" s="123">
        <f t="shared" si="6"/>
        <v>598.041129850612</v>
      </c>
      <c r="S41" s="123">
        <f>населення!S41+льготи!S41+субсидии!S41+'держ.бюджет'!S41+'місц.-район.бюджет'!S41+обласной!S41+'госпрозрахунк.'!S41</f>
        <v>-5117.900000000001</v>
      </c>
      <c r="T41" s="123">
        <f>населення!T41+льготи!T41+субсидии!T41+'держ.бюджет'!T41+'місц.-район.бюджет'!T41+обласной!T41+'госпрозрахунк.'!T41</f>
        <v>14292.1</v>
      </c>
      <c r="U41" s="123">
        <f>T41/S41*100</f>
        <v>-279.2571171769671</v>
      </c>
      <c r="V41" s="123">
        <f>населення!V41+льготи!V41+субсидии!V41+'держ.бюджет'!V41+'місц.-район.бюджет'!V41+обласной!V41+'госпрозрахунк.'!V41</f>
        <v>349.1</v>
      </c>
      <c r="W41" s="123">
        <f>населення!W41+льготи!W41+субсидии!W41+'держ.бюджет'!W41+'місц.-район.бюджет'!W41+обласной!W41+'госпрозрахунк.'!W41</f>
        <v>7810.5</v>
      </c>
      <c r="X41" s="123">
        <f>W41/V41*100</f>
        <v>2237.324548839874</v>
      </c>
      <c r="Y41" s="123">
        <f>населення!Y41+льготи!Y41+субсидии!Y41+'держ.бюджет'!Y41+'місц.-район.бюджет'!Y41+обласной!Y41+'госпрозрахунк.'!Y41</f>
        <v>3016.3</v>
      </c>
      <c r="Z41" s="123">
        <f>населення!Z41+льготи!Z41+субсидии!Z41+'держ.бюджет'!Z41+'місц.-район.бюджет'!Z41+обласной!Z41+'госпрозрахунк.'!Z41</f>
        <v>68660.69999999998</v>
      </c>
      <c r="AA41" s="123">
        <f t="shared" si="14"/>
        <v>2276.3219838875434</v>
      </c>
      <c r="AB41" s="123">
        <f>населення!AB41+льготи!AB41+субсидии!AB41+'держ.бюджет'!AB41+'місц.-район.бюджет'!AB41+обласной!AB41+'госпрозрахунк.'!AB41</f>
        <v>-1.5999999999999996</v>
      </c>
      <c r="AC41" s="123">
        <f>населення!AC41+льготи!AC41+субсидии!AC41+'держ.бюджет'!AC41+'місц.-район.бюджет'!AC41+обласной!AC41+'госпрозрахунк.'!AC41</f>
        <v>7156.000000000001</v>
      </c>
      <c r="AD41" s="123">
        <f t="shared" si="7"/>
        <v>-447250.0000000002</v>
      </c>
      <c r="AE41" s="123">
        <f>населення!AE41+льготи!AE41+субсидии!AE41+'держ.бюджет'!AE41+'місц.-район.бюджет'!AE41+обласной!AE41+'госпрозрахунк.'!AE41</f>
        <v>0</v>
      </c>
      <c r="AF41" s="123">
        <f>населення!AF41+льготи!AF41+субсидии!AF41+'держ.бюджет'!AF41+'місц.-район.бюджет'!AF41+обласной!AF41+'госпрозрахунк.'!AF41</f>
        <v>0</v>
      </c>
      <c r="AG41" s="123" t="e">
        <f t="shared" si="15"/>
        <v>#DIV/0!</v>
      </c>
      <c r="AH41" s="123">
        <f>населення!AH41+льготи!AH41+субсидии!AH41+'держ.бюджет'!AH41+'місц.-район.бюджет'!AH41+обласной!AH41+'госпрозрахунк.'!AH41</f>
        <v>0</v>
      </c>
      <c r="AI41" s="123">
        <f>населення!AI41+льготи!AI41+субсидии!AI41+'держ.бюджет'!AI41+'місц.-район.бюджет'!AI41+обласной!AI41+'госпрозрахунк.'!AI41</f>
        <v>0</v>
      </c>
      <c r="AJ41" s="123">
        <f>населення!AJ41+льготи!AJ41+субсидии!AJ41+'держ.бюджет'!AJ41+'місц.-район.бюджет'!AJ41+обласной!AJ41+'госпрозрахунк.'!AJ41</f>
        <v>-1.5999999999999996</v>
      </c>
      <c r="AK41" s="123">
        <f>населення!AK41+льготи!AK41+субсидии!AK41+'держ.бюджет'!AK41+'місц.-район.бюджет'!AK41+обласной!AK41+'госпрозрахунк.'!AK41</f>
        <v>7156.000000000001</v>
      </c>
      <c r="AL41" s="125">
        <f t="shared" si="8"/>
        <v>-447250.0000000002</v>
      </c>
      <c r="AM41" s="123">
        <f>населення!AM41+льготи!AM41+субсидии!AM41+'держ.бюджет'!AM41+'місц.-район.бюджет'!AM41+обласной!AM41+'госпрозрахунк.'!AM41</f>
        <v>0</v>
      </c>
      <c r="AN41" s="123">
        <f>населення!AN41+льготи!AN41+субсидии!AN41+'держ.бюджет'!AN41+'місц.-район.бюджет'!AN41+обласной!AN41+'госпрозрахунк.'!AN41</f>
        <v>0</v>
      </c>
      <c r="AO41" s="123">
        <f>населення!AO41+льготи!AO41+субсидии!AO41+'держ.бюджет'!AO41+'місц.-район.бюджет'!AO41+обласной!AO41+'госпрозрахунк.'!AO41</f>
        <v>0</v>
      </c>
      <c r="AP41" s="123">
        <f>населення!AP41+льготи!AP41+субсидии!AP41+'держ.бюджет'!AP41+'місц.-район.бюджет'!AP41+обласной!AP41+'госпрозрахунк.'!AP41</f>
        <v>0</v>
      </c>
      <c r="AQ41" s="123">
        <f>населення!AR41+льготи!AQ41+субсидии!AQ41+'держ.бюджет'!AQ41+'місц.-район.бюджет'!AQ41+обласной!AQ41+'госпрозрахунк.'!AQ41</f>
        <v>0</v>
      </c>
      <c r="AR41" s="123">
        <f>населення!AS41+льготи!AR41+субсидии!AR41+'держ.бюджет'!AR41+'місц.-район.бюджет'!AR41+обласной!AR41+'госпрозрахунк.'!AR41</f>
        <v>0</v>
      </c>
      <c r="AS41" s="123">
        <f>населення!AT41+льготи!AS41+субсидии!AS41+'держ.бюджет'!AS41+'місц.-район.бюджет'!AS41+обласной!AS41+'госпрозрахунк.'!AS41</f>
        <v>149284.8</v>
      </c>
      <c r="AT41" s="123">
        <f>населення!AU41+льготи!AT41+субсидии!AT41+'держ.бюджет'!AT41+'місц.-район.бюджет'!AT41+обласной!AT41+'госпрозрахунк.'!AT41</f>
        <v>162730.8</v>
      </c>
      <c r="AU41" s="123">
        <f t="shared" si="9"/>
        <v>109.006945114305</v>
      </c>
      <c r="AV41" s="123">
        <f>населення!AW41+льготи!AV41+субсидии!AV41+'держ.бюджет'!AV41+'місц.-район.бюджет'!AV41+обласной!AV41+'госпрозрахунк.'!AV41</f>
        <v>-13445.999999999998</v>
      </c>
      <c r="AW41" s="123">
        <f>населення!AX41+льготи!AW41+субсидии!AW41+'держ.бюджет'!AW41+'місц.-район.бюджет'!AW41+обласной!AW41+'госпрозрахунк.'!AW41</f>
        <v>80909.3</v>
      </c>
      <c r="AX41" s="20">
        <f t="shared" si="11"/>
        <v>149284.8</v>
      </c>
      <c r="AY41" s="20">
        <f t="shared" si="12"/>
        <v>162730.8</v>
      </c>
      <c r="AZ41" s="20">
        <f t="shared" si="10"/>
        <v>-13446</v>
      </c>
      <c r="BA41" s="20">
        <f t="shared" si="2"/>
        <v>80909.29999999999</v>
      </c>
    </row>
    <row r="42" spans="1:53" ht="24.75" customHeight="1">
      <c r="A42" s="19">
        <v>31</v>
      </c>
      <c r="B42" s="15" t="s">
        <v>37</v>
      </c>
      <c r="C42" s="123">
        <f>населення!C42+льготи!C42+субсидии!C42+'держ.бюджет'!C42+'місц.-район.бюджет'!C42+обласной!C42+'госпрозрахунк.'!C42</f>
        <v>319.59999999999997</v>
      </c>
      <c r="D42" s="124">
        <f>населення!D42+льготи!D42+субсидии!D42+'держ.бюджет'!D42+'місц.-район.бюджет'!D42+обласной!D42+'госпрозрахунк.'!D42</f>
        <v>0</v>
      </c>
      <c r="E42" s="124">
        <f>населення!E42+льготи!E42+субсидии!E42+'держ.бюджет'!E42+'місц.-район.бюджет'!E42+обласной!E42+'госпрозрахунк.'!E42</f>
        <v>0</v>
      </c>
      <c r="F42" s="28" t="e">
        <f t="shared" si="3"/>
        <v>#DIV/0!</v>
      </c>
      <c r="G42" s="124">
        <f>населення!G42+льготи!G42+субсидии!G42+'держ.бюджет'!G42+'місц.-район.бюджет'!G42+обласной!G42+'госпрозрахунк.'!G42</f>
        <v>0</v>
      </c>
      <c r="H42" s="124">
        <f>населення!H42+льготи!H42+субсидии!H42+'держ.бюджет'!H42+'місц.-район.бюджет'!H42+обласной!H42+'госпрозрахунк.'!H42</f>
        <v>0</v>
      </c>
      <c r="I42" s="28" t="e">
        <f t="shared" si="13"/>
        <v>#DIV/0!</v>
      </c>
      <c r="J42" s="124">
        <f>населення!J42+льготи!J42+субсидии!J42+'держ.бюджет'!J42+'місц.-район.бюджет'!J42+обласной!J42+'госпрозрахунк.'!J42</f>
        <v>0</v>
      </c>
      <c r="K42" s="124">
        <f>населення!K42+льготи!K42+субсидии!K42+'держ.бюджет'!K42+'місц.-район.бюджет'!K42+обласной!K42+'госпрозрахунк.'!K42</f>
        <v>0</v>
      </c>
      <c r="L42" s="28" t="e">
        <f t="shared" si="0"/>
        <v>#DIV/0!</v>
      </c>
      <c r="M42" s="123">
        <f>населення!M42+льготи!M42+субсидии!M42+'держ.бюджет'!M42+'місц.-район.бюджет'!M42+обласной!M42+'госпрозрахунк.'!M42</f>
        <v>0</v>
      </c>
      <c r="N42" s="123">
        <f>населення!N42+льготи!N42+субсидии!N42+'держ.бюджет'!N42+'місц.-район.бюджет'!N42+обласной!N42+'госпрозрахунк.'!N42</f>
        <v>0</v>
      </c>
      <c r="O42" s="125" t="e">
        <f t="shared" si="5"/>
        <v>#DIV/0!</v>
      </c>
      <c r="P42" s="123">
        <f>населення!P42+льготи!P42+субсидии!P42+'держ.бюджет'!P42+'місц.-район.бюджет'!P42+обласной!P42+'госпрозрахунк.'!P42</f>
        <v>0</v>
      </c>
      <c r="Q42" s="123">
        <f>населення!Q42+льготи!Q42+субсидии!Q42+'держ.бюджет'!Q42+'місц.-район.бюджет'!Q42+обласной!Q42+'госпрозрахунк.'!Q42</f>
        <v>0</v>
      </c>
      <c r="R42" s="125" t="e">
        <f t="shared" si="6"/>
        <v>#DIV/0!</v>
      </c>
      <c r="S42" s="123">
        <f>населення!S42+льготи!S42+субсидии!S42+'держ.бюджет'!S42+'місц.-район.бюджет'!S42+обласной!S42+'госпрозрахунк.'!S42</f>
        <v>0</v>
      </c>
      <c r="T42" s="123">
        <f>населення!T42+льготи!T42+субсидии!T42+'держ.бюджет'!T42+'місц.-район.бюджет'!T42+обласной!T42+'госпрозрахунк.'!T42</f>
        <v>0</v>
      </c>
      <c r="U42" s="123"/>
      <c r="V42" s="123">
        <f>населення!V42+льготи!V42+субсидии!V42+'держ.бюджет'!V42+'місц.-район.бюджет'!V42+обласной!V42+'госпрозрахунк.'!V42</f>
        <v>0</v>
      </c>
      <c r="W42" s="123">
        <f>населення!W42+льготи!W42+субсидии!W42+'держ.бюджет'!W42+'місц.-район.бюджет'!W42+обласной!W42+'госпрозрахунк.'!W42</f>
        <v>0</v>
      </c>
      <c r="X42" s="123"/>
      <c r="Y42" s="123">
        <f>населення!Y42+льготи!Y42+субсидии!Y42+'держ.бюджет'!Y42+'місц.-район.бюджет'!Y42+обласной!Y42+'госпрозрахунк.'!Y42</f>
        <v>0</v>
      </c>
      <c r="Z42" s="123">
        <f>населення!Z42+льготи!Z42+субсидии!Z42+'держ.бюджет'!Z42+'місц.-район.бюджет'!Z42+обласной!Z42+'госпрозрахунк.'!Z42</f>
        <v>0</v>
      </c>
      <c r="AA42" s="125" t="e">
        <f t="shared" si="14"/>
        <v>#DIV/0!</v>
      </c>
      <c r="AB42" s="123">
        <f>населення!AB42+льготи!AB42+субсидии!AB42+'держ.бюджет'!AB42+'місц.-район.бюджет'!AB42+обласной!AB42+'госпрозрахунк.'!AB42</f>
        <v>0</v>
      </c>
      <c r="AC42" s="123">
        <f>населення!AC42+льготи!AC42+субсидии!AC42+'держ.бюджет'!AC42+'місц.-район.бюджет'!AC42+обласной!AC42+'госпрозрахунк.'!AC42</f>
        <v>0</v>
      </c>
      <c r="AD42" s="125" t="e">
        <f t="shared" si="7"/>
        <v>#DIV/0!</v>
      </c>
      <c r="AE42" s="123">
        <f>населення!AE42+льготи!AE42+субсидии!AE42+'держ.бюджет'!AE42+'місц.-район.бюджет'!AE42+обласной!AE42+'госпрозрахунк.'!AE42</f>
        <v>0</v>
      </c>
      <c r="AF42" s="123">
        <f>населення!AF42+льготи!AF42+субсидии!AF42+'держ.бюджет'!AF42+'місц.-район.бюджет'!AF42+обласной!AF42+'госпрозрахунк.'!AF42</f>
        <v>0</v>
      </c>
      <c r="AG42" s="125" t="e">
        <f t="shared" si="15"/>
        <v>#DIV/0!</v>
      </c>
      <c r="AH42" s="123">
        <f>населення!AH42+льготи!AH42+субсидии!AH42+'держ.бюджет'!AH42+'місц.-район.бюджет'!AH42+обласной!AH42+'госпрозрахунк.'!AH42</f>
        <v>0</v>
      </c>
      <c r="AI42" s="123">
        <f>населення!AI42+льготи!AI42+субсидии!AI42+'держ.бюджет'!AI42+'місц.-район.бюджет'!AI42+обласной!AI42+'госпрозрахунк.'!AI42</f>
        <v>0</v>
      </c>
      <c r="AJ42" s="123">
        <f>населення!AJ42+льготи!AJ42+субсидии!AJ42+'держ.бюджет'!AJ42+'місц.-район.бюджет'!AJ42+обласной!AJ42+'госпрозрахунк.'!AJ42</f>
        <v>0</v>
      </c>
      <c r="AK42" s="123">
        <f>населення!AK42+льготи!AK42+субсидии!AK42+'держ.бюджет'!AK42+'місц.-район.бюджет'!AK42+обласной!AK42+'госпрозрахунк.'!AK42</f>
        <v>0</v>
      </c>
      <c r="AL42" s="125" t="e">
        <f t="shared" si="8"/>
        <v>#DIV/0!</v>
      </c>
      <c r="AM42" s="123">
        <f>населення!AM42+льготи!AM42+субсидии!AM42+'держ.бюджет'!AM42+'місц.-район.бюджет'!AM42+обласной!AM42+'госпрозрахунк.'!AM42</f>
        <v>0</v>
      </c>
      <c r="AN42" s="123">
        <f>населення!AN42+льготи!AN42+субсидии!AN42+'держ.бюджет'!AN42+'місц.-район.бюджет'!AN42+обласной!AN42+'госпрозрахунк.'!AN42</f>
        <v>0</v>
      </c>
      <c r="AO42" s="123">
        <f>населення!AO42+льготи!AO42+субсидии!AO42+'держ.бюджет'!AO42+'місц.-район.бюджет'!AO42+обласной!AO42+'госпрозрахунк.'!AO42</f>
        <v>0</v>
      </c>
      <c r="AP42" s="123">
        <f>населення!AP42+льготи!AP42+субсидии!AP42+'держ.бюджет'!AP42+'місц.-район.бюджет'!AP42+обласной!AP42+'госпрозрахунк.'!AP42</f>
        <v>0</v>
      </c>
      <c r="AQ42" s="123">
        <f>населення!AR42+льготи!AQ42+субсидии!AQ42+'держ.бюджет'!AQ42+'місц.-район.бюджет'!AQ42+обласной!AQ42+'госпрозрахунк.'!AQ42</f>
        <v>0</v>
      </c>
      <c r="AR42" s="123">
        <f>населення!AS42+льготи!AR42+субсидии!AR42+'держ.бюджет'!AR42+'місц.-район.бюджет'!AR42+обласной!AR42+'госпрозрахунк.'!AR42</f>
        <v>0</v>
      </c>
      <c r="AS42" s="123">
        <f>населення!AT42+льготи!AS42+субсидии!AS42+'держ.бюджет'!AS42+'місц.-район.бюджет'!AS42+обласной!AS42+'госпрозрахунк.'!AS42</f>
        <v>0</v>
      </c>
      <c r="AT42" s="123">
        <f>населення!AU42+льготи!AT42+субсидии!AT42+'держ.бюджет'!AT42+'місц.-район.бюджет'!AT42+обласной!AT42+'госпрозрахунк.'!AT42</f>
        <v>0</v>
      </c>
      <c r="AU42" s="125" t="e">
        <f t="shared" si="9"/>
        <v>#DIV/0!</v>
      </c>
      <c r="AV42" s="123">
        <f>населення!AW42+льготи!AV42+субсидии!AV42+'держ.бюджет'!AV42+'місц.-район.бюджет'!AV42+обласной!AV42+'госпрозрахунк.'!AV42</f>
        <v>0</v>
      </c>
      <c r="AW42" s="123">
        <f>населення!AX42+льготи!AW42+субсидии!AW42+'держ.бюджет'!AW42+'місц.-район.бюджет'!AW42+обласной!AW42+'госпрозрахунк.'!AW42</f>
        <v>319.59999999999997</v>
      </c>
      <c r="AX42" s="20">
        <f t="shared" si="11"/>
        <v>0</v>
      </c>
      <c r="AY42" s="20">
        <f t="shared" si="12"/>
        <v>0</v>
      </c>
      <c r="AZ42" s="20">
        <f t="shared" si="10"/>
        <v>0</v>
      </c>
      <c r="BA42" s="20">
        <f t="shared" si="2"/>
        <v>319.59999999999997</v>
      </c>
    </row>
    <row r="43" spans="1:53" ht="27.75" customHeight="1">
      <c r="A43" s="19">
        <v>32</v>
      </c>
      <c r="B43" s="1" t="s">
        <v>38</v>
      </c>
      <c r="C43" s="123">
        <f>населення!C43+льготи!C43+субсидии!C43+'держ.бюджет'!C43+'місц.-район.бюджет'!C43+обласной!C43+'госпрозрахунк.'!C43</f>
        <v>31487.4</v>
      </c>
      <c r="D43" s="124">
        <f>населення!D43+льготи!D43+субсидии!D43+'держ.бюджет'!D43+'місц.-район.бюджет'!D43+обласной!D43+'госпрозрахунк.'!D43</f>
        <v>18046</v>
      </c>
      <c r="E43" s="124">
        <f>населення!E43+льготи!E43+субсидии!E43+'держ.бюджет'!E43+'місц.-район.бюджет'!E43+обласной!E43+'госпрозрахунк.'!E43</f>
        <v>8411.5</v>
      </c>
      <c r="F43" s="14">
        <f t="shared" si="3"/>
        <v>46.61143743765931</v>
      </c>
      <c r="G43" s="124">
        <f>населення!G43+льготи!G43+субсидии!G43+'держ.бюджет'!G43+'місц.-район.бюджет'!G43+обласной!G43+'госпрозрахунк.'!G43</f>
        <v>18835.5</v>
      </c>
      <c r="H43" s="124">
        <f>населення!H43+льготи!H43+субсидии!H43+'держ.бюджет'!H43+'місц.-район.бюджет'!H43+обласной!H43+'госпрозрахунк.'!H43</f>
        <v>15729.199999999999</v>
      </c>
      <c r="I43" s="14">
        <f t="shared" si="13"/>
        <v>83.50826896020811</v>
      </c>
      <c r="J43" s="124">
        <f>населення!J43+льготи!J43+субсидии!J43+'держ.бюджет'!J43+'місц.-район.бюджет'!J43+обласной!J43+'госпрозрахунк.'!J43</f>
        <v>17364.199999999997</v>
      </c>
      <c r="K43" s="124">
        <f>населення!K43+льготи!K43+субсидии!K43+'держ.бюджет'!K43+'місц.-район.бюджет'!K43+обласной!K43+'госпрозрахунк.'!K43</f>
        <v>14405.600000000002</v>
      </c>
      <c r="L43" s="14">
        <f t="shared" si="0"/>
        <v>82.96149549072231</v>
      </c>
      <c r="M43" s="123">
        <f>населення!M43+льготи!M43+субсидии!M43+'держ.бюджет'!M43+'місц.-район.бюджет'!M43+обласной!M43+'госпрозрахунк.'!M43</f>
        <v>54245.7</v>
      </c>
      <c r="N43" s="123">
        <f>населення!N43+льготи!N43+субсидии!N43+'держ.бюджет'!N43+'місц.-район.бюджет'!N43+обласной!N43+'госпрозрахунк.'!N43</f>
        <v>38546.3</v>
      </c>
      <c r="O43" s="123">
        <f t="shared" si="5"/>
        <v>71.05871986166646</v>
      </c>
      <c r="P43" s="123">
        <f>населення!P43+льготи!P43+субсидии!P43+'держ.бюджет'!P43+'місц.-район.бюджет'!P43+обласной!P43+'госпрозрахунк.'!P43</f>
        <v>1309.1</v>
      </c>
      <c r="Q43" s="123">
        <f>населення!Q43+льготи!Q43+субсидии!Q43+'держ.бюджет'!Q43+'місц.-район.бюджет'!Q43+обласной!Q43+'госпрозрахунк.'!Q43</f>
        <v>21262.200000000004</v>
      </c>
      <c r="R43" s="123">
        <f t="shared" si="6"/>
        <v>1624.184554273929</v>
      </c>
      <c r="S43" s="123">
        <f>населення!S43+льготи!S43+субсидии!S43+'держ.бюджет'!S43+'місц.-район.бюджет'!S43+обласной!S43+'госпрозрахунк.'!S43</f>
        <v>423.8</v>
      </c>
      <c r="T43" s="123">
        <f>населення!T43+льготи!T43+субсидии!T43+'держ.бюджет'!T43+'місц.-район.бюджет'!T43+обласной!T43+'госпрозрахунк.'!T43</f>
        <v>2543.4</v>
      </c>
      <c r="U43" s="123">
        <f>T43/S43*100</f>
        <v>600.1415762151959</v>
      </c>
      <c r="V43" s="123">
        <f>населення!V43+льготи!V43+субсидии!V43+'держ.бюджет'!V43+'місц.-район.бюджет'!V43+обласной!V43+'госпрозрахунк.'!V43</f>
        <v>-0.2</v>
      </c>
      <c r="W43" s="123">
        <f>населення!W43+льготи!W43+субсидии!W43+'держ.бюджет'!W43+'місц.-район.бюджет'!W43+обласной!W43+'госпрозрахунк.'!W43</f>
        <v>1284.1</v>
      </c>
      <c r="X43" s="123">
        <f>W43/V43*100</f>
        <v>-642049.9999999999</v>
      </c>
      <c r="Y43" s="123">
        <f>населення!Y43+льготи!Y43+субсидии!Y43+'держ.бюджет'!Y43+'місц.-район.бюджет'!Y43+обласной!Y43+'госпрозрахунк.'!Y43</f>
        <v>1732.6999999999998</v>
      </c>
      <c r="Z43" s="123">
        <f>населення!Z43+льготи!Z43+субсидии!Z43+'держ.бюджет'!Z43+'місц.-район.бюджет'!Z43+обласной!Z43+'госпрозрахунк.'!Z43</f>
        <v>25089.7</v>
      </c>
      <c r="AA43" s="123">
        <f t="shared" si="14"/>
        <v>1448.011773532637</v>
      </c>
      <c r="AB43" s="123">
        <f>населення!AB43+льготи!AB43+субсидии!AB43+'держ.бюджет'!AB43+'місц.-район.бюджет'!AB43+обласной!AB43+'госпрозрахунк.'!AB43</f>
        <v>1.1</v>
      </c>
      <c r="AC43" s="123">
        <f>населення!AC43+льготи!AC43+субсидии!AC43+'держ.бюджет'!AC43+'місц.-район.бюджет'!AC43+обласной!AC43+'госпрозрахунк.'!AC43</f>
        <v>1258.5</v>
      </c>
      <c r="AD43" s="123">
        <f t="shared" si="7"/>
        <v>114409.0909090909</v>
      </c>
      <c r="AE43" s="123">
        <f>населення!AE43+льготи!AE43+субсидии!AE43+'держ.бюджет'!AE43+'місц.-район.бюджет'!AE43+обласной!AE43+'госпрозрахунк.'!AE43</f>
        <v>0</v>
      </c>
      <c r="AF43" s="123">
        <f>населення!AF43+льготи!AF43+субсидии!AF43+'держ.бюджет'!AF43+'місц.-район.бюджет'!AF43+обласной!AF43+'госпрозрахунк.'!AF43</f>
        <v>0</v>
      </c>
      <c r="AG43" s="123" t="e">
        <f t="shared" si="15"/>
        <v>#DIV/0!</v>
      </c>
      <c r="AH43" s="123">
        <f>населення!AH43+льготи!AH43+субсидии!AH43+'держ.бюджет'!AH43+'місц.-район.бюджет'!AH43+обласной!AH43+'госпрозрахунк.'!AH43</f>
        <v>0</v>
      </c>
      <c r="AI43" s="123">
        <f>населення!AI43+льготи!AI43+субсидии!AI43+'держ.бюджет'!AI43+'місц.-район.бюджет'!AI43+обласной!AI43+'госпрозрахунк.'!AI43</f>
        <v>0</v>
      </c>
      <c r="AJ43" s="123">
        <f>населення!AJ43+льготи!AJ43+субсидии!AJ43+'держ.бюджет'!AJ43+'місц.-район.бюджет'!AJ43+обласной!AJ43+'госпрозрахунк.'!AJ43</f>
        <v>1.1</v>
      </c>
      <c r="AK43" s="123">
        <f>населення!AK43+льготи!AK43+субсидии!AK43+'держ.бюджет'!AK43+'місц.-район.бюджет'!AK43+обласной!AK43+'госпрозрахунк.'!AK43</f>
        <v>1258.5</v>
      </c>
      <c r="AL43" s="125">
        <f t="shared" si="8"/>
        <v>114409.0909090909</v>
      </c>
      <c r="AM43" s="123">
        <f>населення!AM43+льготи!AM43+субсидии!AM43+'держ.бюджет'!AM43+'місц.-район.бюджет'!AM43+обласной!AM43+'госпрозрахунк.'!AM43</f>
        <v>0</v>
      </c>
      <c r="AN43" s="123">
        <f>населення!AN43+льготи!AN43+субсидии!AN43+'держ.бюджет'!AN43+'місц.-район.бюджет'!AN43+обласной!AN43+'госпрозрахунк.'!AN43</f>
        <v>0</v>
      </c>
      <c r="AO43" s="123">
        <f>населення!AO43+льготи!AO43+субсидии!AO43+'держ.бюджет'!AO43+'місц.-район.бюджет'!AO43+обласной!AO43+'госпрозрахунк.'!AO43</f>
        <v>0</v>
      </c>
      <c r="AP43" s="123">
        <f>населення!AP43+льготи!AP43+субсидии!AP43+'держ.бюджет'!AP43+'місц.-район.бюджет'!AP43+обласной!AP43+'госпрозрахунк.'!AP43</f>
        <v>0</v>
      </c>
      <c r="AQ43" s="123">
        <f>населення!AR43+льготи!AQ43+субсидии!AQ43+'держ.бюджет'!AQ43+'місц.-район.бюджет'!AQ43+обласной!AQ43+'госпрозрахунк.'!AQ43</f>
        <v>0</v>
      </c>
      <c r="AR43" s="123">
        <f>населення!AS43+льготи!AR43+субсидии!AR43+'держ.бюджет'!AR43+'місц.-район.бюджет'!AR43+обласной!AR43+'госпрозрахунк.'!AR43</f>
        <v>0</v>
      </c>
      <c r="AS43" s="123">
        <f>населення!AT43+льготи!AS43+субсидии!AS43+'держ.бюджет'!AS43+'місц.-район.бюджет'!AS43+обласной!AS43+'госпрозрахунк.'!AS43</f>
        <v>55979.49999999999</v>
      </c>
      <c r="AT43" s="123">
        <f>населення!AU43+льготи!AT43+субсидии!AT43+'держ.бюджет'!AT43+'місц.-район.бюджет'!AT43+обласной!AT43+'госпрозрахунк.'!AT43</f>
        <v>64894.5</v>
      </c>
      <c r="AU43" s="123">
        <f t="shared" si="9"/>
        <v>115.92547271769132</v>
      </c>
      <c r="AV43" s="123">
        <f>населення!AW43+льготи!AV43+субсидии!AV43+'держ.бюджет'!AV43+'місц.-район.бюджет'!AV43+обласной!AV43+'госпрозрахунк.'!AV43</f>
        <v>-8914.999999999998</v>
      </c>
      <c r="AW43" s="123">
        <f>населення!AX43+льготи!AW43+субсидии!AW43+'держ.бюджет'!AW43+'місц.-район.бюджет'!AW43+обласной!AW43+'госпрозрахунк.'!AW43</f>
        <v>22572.4</v>
      </c>
      <c r="AX43" s="20">
        <f t="shared" si="11"/>
        <v>55979.49999999999</v>
      </c>
      <c r="AY43" s="20">
        <f t="shared" si="12"/>
        <v>64894.5</v>
      </c>
      <c r="AZ43" s="20">
        <f t="shared" si="10"/>
        <v>-8915.000000000007</v>
      </c>
      <c r="BA43" s="20">
        <f t="shared" si="2"/>
        <v>22572.399999999994</v>
      </c>
    </row>
    <row r="44" spans="1:53" ht="24.75" customHeight="1">
      <c r="A44" s="19">
        <v>33</v>
      </c>
      <c r="B44" s="15" t="s">
        <v>39</v>
      </c>
      <c r="C44" s="123">
        <f>населення!C44+льготи!C44+субсидии!C44+'держ.бюджет'!C44+'місц.-район.бюджет'!C44+обласной!C44+'госпрозрахунк.'!C44</f>
        <v>15007.099999999999</v>
      </c>
      <c r="D44" s="124">
        <f>населення!D44+льготи!D44+субсидии!D44+'держ.бюджет'!D44+'місц.-район.бюджет'!D44+обласной!D44+'госпрозрахунк.'!D44</f>
        <v>18340.399999999998</v>
      </c>
      <c r="E44" s="124">
        <f>населення!E44+льготи!E44+субсидии!E44+'держ.бюджет'!E44+'місц.-район.бюджет'!E44+обласной!E44+'госпрозрахунк.'!E44</f>
        <v>6802.099999999999</v>
      </c>
      <c r="F44" s="14">
        <f t="shared" si="3"/>
        <v>37.08806787202024</v>
      </c>
      <c r="G44" s="124">
        <f>населення!G44+льготи!G44+субсидии!G44+'держ.бюджет'!G44+'місц.-район.бюджет'!G44+обласной!G44+'госпрозрахунк.'!G44</f>
        <v>17588.3</v>
      </c>
      <c r="H44" s="124">
        <f>населення!H44+льготи!H44+субсидии!H44+'держ.бюджет'!H44+'місц.-район.бюджет'!H44+обласной!H44+'госпрозрахунк.'!H44</f>
        <v>12669.1</v>
      </c>
      <c r="I44" s="14">
        <f t="shared" si="13"/>
        <v>72.03140724231449</v>
      </c>
      <c r="J44" s="124">
        <f>населення!J44+льготи!J44+субсидии!J44+'держ.бюджет'!J44+'місц.-район.бюджет'!J44+обласной!J44+'госпрозрахунк.'!J44</f>
        <v>16541.199999999997</v>
      </c>
      <c r="K44" s="124">
        <f>населення!K44+льготи!K44+субсидии!K44+'держ.бюджет'!K44+'місц.-район.бюджет'!K44+обласной!K44+'госпрозрахунк.'!K44</f>
        <v>13856.099999999999</v>
      </c>
      <c r="L44" s="14">
        <f t="shared" si="0"/>
        <v>83.76719947766789</v>
      </c>
      <c r="M44" s="123">
        <f>населення!M44+льготи!M44+субсидии!M44+'держ.бюджет'!M44+'місц.-район.бюджет'!M44+обласной!M44+'госпрозрахунк.'!M44</f>
        <v>52469.90000000001</v>
      </c>
      <c r="N44" s="123">
        <f>населення!N44+льготи!N44+субсидии!N44+'держ.бюджет'!N44+'місц.-район.бюджет'!N44+обласной!N44+'госпрозрахунк.'!N44</f>
        <v>33327.299999999996</v>
      </c>
      <c r="O44" s="123">
        <f t="shared" si="5"/>
        <v>63.516987834930106</v>
      </c>
      <c r="P44" s="123">
        <f>населення!P44+льготи!P44+субсидии!P44+'держ.бюджет'!P44+'місц.-район.бюджет'!P44+обласной!P44+'госпрозрахунк.'!P44</f>
        <v>3802.8999999999996</v>
      </c>
      <c r="Q44" s="123">
        <f>населення!Q44+льготи!Q44+субсидии!Q44+'держ.бюджет'!Q44+'місц.-район.бюджет'!Q44+обласной!Q44+'госпрозрахунк.'!Q44</f>
        <v>20276.600000000002</v>
      </c>
      <c r="R44" s="123">
        <f t="shared" si="6"/>
        <v>533.1878303400038</v>
      </c>
      <c r="S44" s="123">
        <f>населення!S44+льготи!S44+субсидии!S44+'держ.бюджет'!S44+'місц.-район.бюджет'!S44+обласной!S44+'госпрозрахунк.'!S44</f>
        <v>1677.7</v>
      </c>
      <c r="T44" s="123">
        <f>населення!T44+льготи!T44+субсидии!T44+'держ.бюджет'!T44+'місц.-район.бюджет'!T44+обласной!T44+'госпрозрахунк.'!T44</f>
        <v>3606.2000000000003</v>
      </c>
      <c r="U44" s="123"/>
      <c r="V44" s="123">
        <f>населення!V44+льготи!V44+субсидии!V44+'держ.бюджет'!V44+'місц.-район.бюджет'!V44+обласной!V44+'госпрозрахунк.'!V44</f>
        <v>1788.7</v>
      </c>
      <c r="W44" s="123">
        <f>населення!W44+льготи!W44+субсидии!W44+'держ.бюджет'!W44+'місц.-район.бюджет'!W44+обласной!W44+'госпрозрахунк.'!W44</f>
        <v>2678.2999999999997</v>
      </c>
      <c r="X44" s="123"/>
      <c r="Y44" s="123">
        <f>населення!Y44+льготи!Y44+субсидии!Y44+'держ.бюджет'!Y44+'місц.-район.бюджет'!Y44+обласной!Y44+'госпрозрахунк.'!Y44</f>
        <v>7269.3</v>
      </c>
      <c r="Z44" s="123">
        <f>населення!Z44+льготи!Z44+субсидии!Z44+'держ.бюджет'!Z44+'місц.-район.бюджет'!Z44+обласной!Z44+'госпрозрахунк.'!Z44</f>
        <v>26561.1</v>
      </c>
      <c r="AA44" s="123">
        <f t="shared" si="14"/>
        <v>365.38731377161486</v>
      </c>
      <c r="AB44" s="123">
        <f>населення!AB44+льготи!AB44+субсидии!AB44+'держ.бюджет'!AB44+'місц.-район.бюджет'!AB44+обласной!AB44+'госпрозрахунк.'!AB44</f>
        <v>1796.1999999999998</v>
      </c>
      <c r="AC44" s="123">
        <f>населення!AC44+льготи!AC44+субсидии!AC44+'держ.бюджет'!AC44+'місц.-район.бюджет'!AC44+обласной!AC44+'госпрозрахунк.'!AC44</f>
        <v>3151.2999999999997</v>
      </c>
      <c r="AD44" s="125">
        <f t="shared" si="7"/>
        <v>175.44260104665406</v>
      </c>
      <c r="AE44" s="123">
        <f>населення!AE44+льготи!AE44+субсидии!AE44+'держ.бюджет'!AE44+'місц.-район.бюджет'!AE44+обласной!AE44+'госпрозрахунк.'!AE44</f>
        <v>0</v>
      </c>
      <c r="AF44" s="123">
        <f>населення!AF44+льготи!AF44+субсидии!AF44+'держ.бюджет'!AF44+'місц.-район.бюджет'!AF44+обласной!AF44+'госпрозрахунк.'!AF44</f>
        <v>0</v>
      </c>
      <c r="AG44" s="125" t="e">
        <f t="shared" si="15"/>
        <v>#DIV/0!</v>
      </c>
      <c r="AH44" s="123">
        <f>населення!AH44+льготи!AH44+субсидии!AH44+'держ.бюджет'!AH44+'місц.-район.бюджет'!AH44+обласной!AH44+'госпрозрахунк.'!AH44</f>
        <v>0</v>
      </c>
      <c r="AI44" s="123">
        <f>населення!AI44+льготи!AI44+субсидии!AI44+'держ.бюджет'!AI44+'місц.-район.бюджет'!AI44+обласной!AI44+'госпрозрахунк.'!AI44</f>
        <v>0</v>
      </c>
      <c r="AJ44" s="123">
        <f>населення!AJ44+льготи!AJ44+субсидии!AJ44+'держ.бюджет'!AJ44+'місц.-район.бюджет'!AJ44+обласной!AJ44+'госпрозрахунк.'!AJ44</f>
        <v>1796.1999999999998</v>
      </c>
      <c r="AK44" s="123">
        <f>населення!AK44+льготи!AK44+субсидии!AK44+'держ.бюджет'!AK44+'місц.-район.бюджет'!AK44+обласной!AK44+'госпрозрахунк.'!AK44</f>
        <v>3151.2999999999997</v>
      </c>
      <c r="AL44" s="125">
        <f t="shared" si="8"/>
        <v>175.44260104665406</v>
      </c>
      <c r="AM44" s="123">
        <f>населення!AM44+льготи!AM44+субсидии!AM44+'держ.бюджет'!AM44+'місц.-район.бюджет'!AM44+обласной!AM44+'госпрозрахунк.'!AM44</f>
        <v>0</v>
      </c>
      <c r="AN44" s="123">
        <f>населення!AN44+льготи!AN44+субсидии!AN44+'держ.бюджет'!AN44+'місц.-район.бюджет'!AN44+обласной!AN44+'госпрозрахунк.'!AN44</f>
        <v>0</v>
      </c>
      <c r="AO44" s="123">
        <f>населення!AO44+льготи!AO44+субсидии!AO44+'держ.бюджет'!AO44+'місц.-район.бюджет'!AO44+обласной!AO44+'госпрозрахунк.'!AO44</f>
        <v>0</v>
      </c>
      <c r="AP44" s="123">
        <f>населення!AP44+льготи!AP44+субсидии!AP44+'держ.бюджет'!AP44+'місц.-район.бюджет'!AP44+обласной!AP44+'госпрозрахунк.'!AP44</f>
        <v>0</v>
      </c>
      <c r="AQ44" s="123">
        <f>населення!AR44+льготи!AQ44+субсидии!AQ44+'держ.бюджет'!AQ44+'місц.-район.бюджет'!AQ44+обласной!AQ44+'госпрозрахунк.'!AQ44</f>
        <v>0</v>
      </c>
      <c r="AR44" s="123">
        <f>населення!AS44+льготи!AR44+субсидии!AR44+'держ.бюджет'!AR44+'місц.-район.бюджет'!AR44+обласной!AR44+'госпрозрахунк.'!AR44</f>
        <v>0</v>
      </c>
      <c r="AS44" s="123">
        <f>населення!AT44+льготи!AS44+субсидии!AS44+'держ.бюджет'!AS44+'місц.-район.бюджет'!AS44+обласной!AS44+'госпрозрахунк.'!AS44</f>
        <v>61535.399999999994</v>
      </c>
      <c r="AT44" s="123">
        <f>населення!AU44+льготи!AT44+субсидии!AT44+'держ.бюджет'!AT44+'місц.-район.бюджет'!AT44+обласной!AT44+'госпрозрахунк.'!AT44</f>
        <v>63039.70000000001</v>
      </c>
      <c r="AU44" s="123">
        <f t="shared" si="9"/>
        <v>102.4446091193037</v>
      </c>
      <c r="AV44" s="123">
        <f>населення!AW44+льготи!AV44+субсидии!AV44+'держ.бюджет'!AV44+'місц.-район.бюджет'!AV44+обласной!AV44+'госпрозрахунк.'!AV44</f>
        <v>-1504.3000000000018</v>
      </c>
      <c r="AW44" s="123">
        <f>населення!AX44+льготи!AW44+субсидии!AW44+'держ.бюджет'!AW44+'місц.-район.бюджет'!AW44+обласной!AW44+'госпрозрахунк.'!AW44</f>
        <v>13502.8</v>
      </c>
      <c r="AX44" s="20">
        <f t="shared" si="11"/>
        <v>61535.40000000001</v>
      </c>
      <c r="AY44" s="20">
        <f t="shared" si="12"/>
        <v>63039.7</v>
      </c>
      <c r="AZ44" s="20">
        <f t="shared" si="10"/>
        <v>-1504.2999999999884</v>
      </c>
      <c r="BA44" s="20">
        <f t="shared" si="2"/>
        <v>13502.800000000003</v>
      </c>
    </row>
    <row r="45" spans="1:53" s="8" customFormat="1" ht="24.75" customHeight="1">
      <c r="A45" s="133">
        <v>34</v>
      </c>
      <c r="B45" s="16" t="s">
        <v>40</v>
      </c>
      <c r="C45" s="123">
        <f>населення!C45+льготи!C45+субсидии!C45+'держ.бюджет'!C45+'місц.-район.бюджет'!C45+обласной!C45+'госпрозрахунк.'!C45</f>
        <v>2413193.5</v>
      </c>
      <c r="D45" s="4">
        <f>SUM(D46:D47)</f>
        <v>1071403</v>
      </c>
      <c r="E45" s="4">
        <f>SUM(E46:E47)</f>
        <v>580185</v>
      </c>
      <c r="F45" s="14">
        <f t="shared" si="3"/>
        <v>54.15189242516588</v>
      </c>
      <c r="G45" s="4">
        <f>SUM(G46:G47)</f>
        <v>1122616.6</v>
      </c>
      <c r="H45" s="4">
        <f>SUM(H46:H47)</f>
        <v>901189.7</v>
      </c>
      <c r="I45" s="14">
        <f t="shared" si="13"/>
        <v>80.2758216830216</v>
      </c>
      <c r="J45" s="4">
        <f>SUM(J46:J47)</f>
        <v>1103548.7</v>
      </c>
      <c r="K45" s="4">
        <f>SUM(K46:K47)</f>
        <v>859680.4</v>
      </c>
      <c r="L45" s="14">
        <f t="shared" si="0"/>
        <v>77.90144648804353</v>
      </c>
      <c r="M45" s="123">
        <f>населення!M45+льготи!M45+субсидии!M45+'держ.бюджет'!M45+'місц.-район.бюджет'!M45+обласной!M45+'госпрозрахунк.'!M45</f>
        <v>3297568.3000000003</v>
      </c>
      <c r="N45" s="123">
        <f>населення!N45+льготи!N45+субсидии!N45+'держ.бюджет'!N45+'місц.-район.бюджет'!N45+обласной!N45+'госпрозрахунк.'!N45</f>
        <v>2341055.1</v>
      </c>
      <c r="O45" s="123">
        <f t="shared" si="5"/>
        <v>70.9933771500654</v>
      </c>
      <c r="P45" s="123">
        <f>населення!P45+льготи!P45+субсидии!P45+'держ.бюджет'!P45+'місц.-район.бюджет'!P45+обласной!P45+'госпрозрахунк.'!P45</f>
        <v>501612.2</v>
      </c>
      <c r="Q45" s="123">
        <f>населення!Q45+льготи!Q45+субсидии!Q45+'держ.бюджет'!Q45+'місц.-район.бюджет'!Q45+обласной!Q45+'госпрозрахунк.'!Q45</f>
        <v>1062315.6</v>
      </c>
      <c r="R45" s="123">
        <f t="shared" si="6"/>
        <v>211.78025574338105</v>
      </c>
      <c r="S45" s="123">
        <f>населення!S45+льготи!S45+субсидии!S45+'держ.бюджет'!S45+'місц.-район.бюджет'!S45+обласной!S45+'госпрозрахунк.'!S45</f>
        <v>114349.5</v>
      </c>
      <c r="T45" s="123">
        <f>населення!T45+льготи!T45+субсидии!T45+'держ.бюджет'!T45+'місц.-район.бюджет'!T45+обласной!T45+'госпрозрахунк.'!T45</f>
        <v>488120.80000000005</v>
      </c>
      <c r="U45" s="123">
        <f>T45/S45*100</f>
        <v>426.8674546019003</v>
      </c>
      <c r="V45" s="123">
        <f>населення!V45+льготи!V45+субсидии!V45+'держ.бюджет'!V45+'місц.-район.бюджет'!V45+обласной!V45+'госпрозрахунк.'!V45</f>
        <v>90675.5</v>
      </c>
      <c r="W45" s="123">
        <f>населення!W45+льготи!W45+субсидии!W45+'держ.бюджет'!W45+'місц.-район.бюджет'!W45+обласной!W45+'госпрозрахунк.'!W45</f>
        <v>245617.40000000002</v>
      </c>
      <c r="X45" s="123">
        <f>W45/V45*100</f>
        <v>270.8751537074513</v>
      </c>
      <c r="Y45" s="123">
        <f>населення!Y45+льготи!Y45+субсидии!Y45+'держ.бюджет'!Y45+'місц.-район.бюджет'!Y45+обласной!Y45+'госпрозрахунк.'!Y45</f>
        <v>706637.2</v>
      </c>
      <c r="Z45" s="123">
        <f>населення!Z45+льготи!Z45+субсидии!Z45+'держ.бюджет'!Z45+'місц.-район.бюджет'!Z45+обласной!Z45+'госпрозрахунк.'!Z45</f>
        <v>1796053.7999999998</v>
      </c>
      <c r="AA45" s="123">
        <f t="shared" si="14"/>
        <v>254.1691549779717</v>
      </c>
      <c r="AB45" s="123">
        <f>населення!AB45+льготи!AB45+субсидии!AB45+'держ.бюджет'!AB45+'місц.-район.бюджет'!AB45+обласной!AB45+'госпрозрахунк.'!AB45</f>
        <v>72946.2</v>
      </c>
      <c r="AC45" s="123">
        <f>населення!AC45+льготи!AC45+субсидии!AC45+'держ.бюджет'!AC45+'місц.-район.бюджет'!AC45+обласной!AC45+'госпрозрахунк.'!AC45</f>
        <v>210019</v>
      </c>
      <c r="AD45" s="123">
        <f>AC45/AB45*100</f>
        <v>287.9094455914084</v>
      </c>
      <c r="AE45" s="123">
        <f>населення!AE45+льготи!AE45+субсидии!AE45+'держ.бюджет'!AE45+'місц.-район.бюджет'!AE45+обласной!AE45+'госпрозрахунк.'!AE45</f>
        <v>0</v>
      </c>
      <c r="AF45" s="123">
        <f>населення!AF45+льготи!AF45+субсидии!AF45+'держ.бюджет'!AF45+'місц.-район.бюджет'!AF45+обласной!AF45+'госпрозрахунк.'!AF45</f>
        <v>0</v>
      </c>
      <c r="AG45" s="123" t="e">
        <f t="shared" si="15"/>
        <v>#DIV/0!</v>
      </c>
      <c r="AH45" s="123">
        <f>населення!AH45+льготи!AH45+субсидии!AH45+'держ.бюджет'!AH45+'місц.-район.бюджет'!AH45+обласной!AH45+'госпрозрахунк.'!AH45</f>
        <v>0</v>
      </c>
      <c r="AI45" s="123">
        <f>населення!AI45+льготи!AI45+субсидии!AI45+'держ.бюджет'!AI45+'місц.-район.бюджет'!AI45+обласной!AI45+'госпрозрахунк.'!AI45</f>
        <v>0</v>
      </c>
      <c r="AJ45" s="123">
        <f>населення!AJ45+льготи!AJ45+субсидии!AJ45+'держ.бюджет'!AJ45+'місц.-район.бюджет'!AJ45+обласной!AJ45+'госпрозрахунк.'!AJ45</f>
        <v>72946.2</v>
      </c>
      <c r="AK45" s="123">
        <f>населення!AK45+льготи!AK45+субсидии!AK45+'держ.бюджет'!AK45+'місц.-район.бюджет'!AK45+обласной!AK45+'госпрозрахунк.'!AK45</f>
        <v>210019</v>
      </c>
      <c r="AL45" s="123">
        <f t="shared" si="8"/>
        <v>287.9094455914084</v>
      </c>
      <c r="AM45" s="123">
        <f>населення!AM45+льготи!AM45+субсидии!AM45+'держ.бюджет'!AM45+'місц.-район.бюджет'!AM45+обласной!AM45+'госпрозрахунк.'!AM45</f>
        <v>0</v>
      </c>
      <c r="AN45" s="123">
        <f>населення!AN45+льготи!AN45+субсидии!AN45+'держ.бюджет'!AN45+'місц.-район.бюджет'!AN45+обласной!AN45+'госпрозрахунк.'!AN45</f>
        <v>0</v>
      </c>
      <c r="AO45" s="123">
        <f>населення!AO45+льготи!AO45+субсидии!AO45+'держ.бюджет'!AO45+'місц.-район.бюджет'!AO45+обласной!AO45+'госпрозрахунк.'!AO45</f>
        <v>0</v>
      </c>
      <c r="AP45" s="123">
        <f>населення!AP45+льготи!AP45+субсидии!AP45+'держ.бюджет'!AP45+'місц.-район.бюджет'!AP45+обласной!AP45+'госпрозрахунк.'!AP45</f>
        <v>0</v>
      </c>
      <c r="AQ45" s="123">
        <f>населення!AR45+льготи!AQ45+субсидии!AQ45+'держ.бюджет'!AQ45+'місц.-район.бюджет'!AQ45+обласной!AQ45+'госпрозрахунк.'!AQ45</f>
        <v>0</v>
      </c>
      <c r="AR45" s="123">
        <f>населення!AS45+льготи!AR45+субсидии!AR45+'держ.бюджет'!AR45+'місц.-район.бюджет'!AR45+обласной!AR45+'госпрозрахунк.'!AR45</f>
        <v>0</v>
      </c>
      <c r="AS45" s="123">
        <f>населення!AT45+льготи!AS45+субсидии!AS45+'держ.бюджет'!AS45+'місц.-район.бюджет'!AS45+обласной!AS45+'госпрозрахунк.'!AS45</f>
        <v>4077151.6999999997</v>
      </c>
      <c r="AT45" s="123">
        <f>населення!AU45+льготи!AT45+субсидии!AT45+'держ.бюджет'!AT45+'місц.-район.бюджет'!AT45+обласной!AT45+'госпрозрахунк.'!AT45</f>
        <v>4347127.899999999</v>
      </c>
      <c r="AU45" s="123">
        <f t="shared" si="9"/>
        <v>106.62168640916647</v>
      </c>
      <c r="AV45" s="123">
        <f>населення!AW45+льготи!AV45+субсидии!AV45+'держ.бюджет'!AV45+'місц.-район.бюджет'!AV45+обласной!AV45+'госпрозрахунк.'!AV45</f>
        <v>-269976.2</v>
      </c>
      <c r="AW45" s="123">
        <f>населення!AX45+льготи!AW45+субсидии!AW45+'держ.бюджет'!AW45+'місц.-район.бюджет'!AW45+обласной!AW45+'госпрозрахунк.'!AW45</f>
        <v>2143217.3</v>
      </c>
      <c r="AX45" s="20">
        <f t="shared" si="11"/>
        <v>4077151.7</v>
      </c>
      <c r="AY45" s="20">
        <f t="shared" si="12"/>
        <v>4347127.9</v>
      </c>
      <c r="AZ45" s="20">
        <f t="shared" si="10"/>
        <v>-269976.2000000002</v>
      </c>
      <c r="BA45" s="20">
        <f t="shared" si="2"/>
        <v>2143217.3</v>
      </c>
    </row>
    <row r="46" spans="1:53" s="8" customFormat="1" ht="25.5" customHeight="1">
      <c r="A46" s="133" t="s">
        <v>125</v>
      </c>
      <c r="B46" s="1" t="s">
        <v>41</v>
      </c>
      <c r="C46" s="123">
        <f>населення!C46+льготи!C46+субсидии!C46+'держ.бюджет'!C46+'місц.-район.бюджет'!C46+обласной!C46+'госпрозрахунк.'!C46</f>
        <v>2412518</v>
      </c>
      <c r="D46" s="124">
        <f>населення!D46+льготи!D46+субсидии!D46+'держ.бюджет'!D46+'місц.-район.бюджет'!D46+обласной!D46+'госпрозрахунк.'!D46</f>
        <v>1065459</v>
      </c>
      <c r="E46" s="124">
        <f>населення!E46+льготи!E46+субсидии!E46+'держ.бюджет'!E46+'місц.-район.бюджет'!E46+обласной!E46+'госпрозрахунк.'!E46</f>
        <v>578554</v>
      </c>
      <c r="F46" s="14">
        <f t="shared" si="3"/>
        <v>54.30091631869457</v>
      </c>
      <c r="G46" s="124">
        <f>населення!G46+льготи!G46+субсидии!G46+'держ.бюджет'!G46+'місц.-район.бюджет'!G46+обласной!G46+'госпрозрахунк.'!G46</f>
        <v>1116528</v>
      </c>
      <c r="H46" s="124">
        <f>населення!H46+льготи!H46+субсидии!H46+'держ.бюджет'!H46+'місц.-район.бюджет'!H46+обласной!H46+'госпрозрахунк.'!H46</f>
        <v>895762</v>
      </c>
      <c r="I46" s="14">
        <f t="shared" si="13"/>
        <v>80.22745511084362</v>
      </c>
      <c r="J46" s="124">
        <f>населення!J46+льготи!J46+субсидии!J46+'держ.бюджет'!J46+'місц.-район.бюджет'!J46+обласной!J46+'госпрозрахунк.'!J46</f>
        <v>1097442</v>
      </c>
      <c r="K46" s="124">
        <f>населення!K46+льготи!K46+субсидии!K46+'держ.бюджет'!K46+'місц.-район.бюджет'!K46+обласной!K46+'госпрозрахунк.'!K46</f>
        <v>853223</v>
      </c>
      <c r="L46" s="14">
        <f t="shared" si="0"/>
        <v>77.74652327867896</v>
      </c>
      <c r="M46" s="123">
        <f>населення!M46+льготи!M46+субсидии!M46+'держ.бюджет'!M46+'місц.-район.бюджет'!M46+обласной!M46+'госпрозрахунк.'!M46</f>
        <v>3279429</v>
      </c>
      <c r="N46" s="123">
        <f>населення!N46+льготи!N46+субсидии!N46+'держ.бюджет'!N46+'місц.-район.бюджет'!N46+обласной!N46+'госпрозрахунк.'!N46</f>
        <v>2327539</v>
      </c>
      <c r="O46" s="123">
        <f t="shared" si="5"/>
        <v>70.97391039720634</v>
      </c>
      <c r="P46" s="123">
        <f>населення!P46+льготи!P46+субсидии!P46+'держ.бюджет'!P46+'місц.-район.бюджет'!P46+обласной!P46+'госпрозрахунк.'!P46</f>
        <v>498704</v>
      </c>
      <c r="Q46" s="123">
        <f>населення!Q46+льготи!Q46+субсидии!Q46+'держ.бюджет'!Q46+'місц.-район.бюджет'!Q46+обласной!Q46+'госпрозрахунк.'!Q46</f>
        <v>1058625</v>
      </c>
      <c r="R46" s="123">
        <f t="shared" si="6"/>
        <v>212.27521736340594</v>
      </c>
      <c r="S46" s="123">
        <f>населення!S46+льготи!S46+субсидии!S46+'держ.бюджет'!S46+'місц.-район.бюджет'!S46+обласной!S46+'госпрозрахунк.'!S46</f>
        <v>113600</v>
      </c>
      <c r="T46" s="123">
        <f>населення!T46+льготи!T46+субсидии!T46+'держ.бюджет'!T46+'місц.-район.бюджет'!T46+обласной!T46+'госпрозрахунк.'!T46</f>
        <v>484499</v>
      </c>
      <c r="U46" s="123">
        <f>T46/S46*100</f>
        <v>426.4955985915493</v>
      </c>
      <c r="V46" s="123">
        <f>населення!V46+льготи!V46+субсидии!V46+'держ.бюджет'!V46+'місц.-район.бюджет'!V46+обласной!V46+'госпрозрахунк.'!V46</f>
        <v>90184</v>
      </c>
      <c r="W46" s="123">
        <f>населення!W46+льготи!W46+субсидии!W46+'держ.бюджет'!W46+'місц.-район.бюджет'!W46+обласной!W46+'госпрозрахунк.'!W46</f>
        <v>244781</v>
      </c>
      <c r="X46" s="123">
        <f>W46/V46*100</f>
        <v>271.42397764570217</v>
      </c>
      <c r="Y46" s="123">
        <f>населення!Y46+льготи!Y46+субсидии!Y46+'держ.бюджет'!Y46+'місц.-район.бюджет'!Y46+обласной!Y46+'госпрозрахунк.'!Y46</f>
        <v>702488</v>
      </c>
      <c r="Z46" s="123">
        <f>населення!Z46+льготи!Z46+субсидии!Z46+'держ.бюджет'!Z46+'місц.-район.бюджет'!Z46+обласной!Z46+'госпрозрахунк.'!Z46</f>
        <v>1787905</v>
      </c>
      <c r="AA46" s="123">
        <f t="shared" si="14"/>
        <v>254.51039733063055</v>
      </c>
      <c r="AB46" s="123">
        <f>населення!AB46+льготи!AB46+субсидии!AB46+'держ.бюджет'!AB46+'місц.-район.бюджет'!AB46+обласной!AB46+'госпрозрахунк.'!AB46</f>
        <v>72375</v>
      </c>
      <c r="AC46" s="123">
        <f>населення!AC46+льготи!AC46+субсидии!AC46+'держ.бюджет'!AC46+'місц.-район.бюджет'!AC46+обласной!AC46+'госпрозрахунк.'!AC46</f>
        <v>209308</v>
      </c>
      <c r="AD46" s="123">
        <f>AC46/AB46*100</f>
        <v>289.1993091537133</v>
      </c>
      <c r="AE46" s="123">
        <f>населення!AE46+льготи!AE46+субсидии!AE46+'держ.бюджет'!AE46+'місц.-район.бюджет'!AE46+обласной!AE46+'госпрозрахунк.'!AE46</f>
        <v>0</v>
      </c>
      <c r="AF46" s="123">
        <f>населення!AF46+льготи!AF46+субсидии!AF46+'держ.бюджет'!AF46+'місц.-район.бюджет'!AF46+обласной!AF46+'госпрозрахунк.'!AF46</f>
        <v>0</v>
      </c>
      <c r="AG46" s="123" t="e">
        <f t="shared" si="15"/>
        <v>#DIV/0!</v>
      </c>
      <c r="AH46" s="123">
        <f>населення!AH46+льготи!AH46+субсидии!AH46+'держ.бюджет'!AH46+'місц.-район.бюджет'!AH46+обласной!AH46+'госпрозрахунк.'!AH46</f>
        <v>0</v>
      </c>
      <c r="AI46" s="123">
        <f>населення!AI46+льготи!AI46+субсидии!AI46+'держ.бюджет'!AI46+'місц.-район.бюджет'!AI46+обласной!AI46+'госпрозрахунк.'!AI46</f>
        <v>0</v>
      </c>
      <c r="AJ46" s="123">
        <f>населення!AJ46+льготи!AJ46+субсидии!AJ46+'держ.бюджет'!AJ46+'місц.-район.бюджет'!AJ46+обласной!AJ46+'госпрозрахунк.'!AJ46</f>
        <v>72375</v>
      </c>
      <c r="AK46" s="123">
        <f>населення!AK46+льготи!AK46+субсидии!AK46+'держ.бюджет'!AK46+'місц.-район.бюджет'!AK46+обласной!AK46+'госпрозрахунк.'!AK46</f>
        <v>209308</v>
      </c>
      <c r="AL46" s="123">
        <f t="shared" si="8"/>
        <v>289.1993091537133</v>
      </c>
      <c r="AM46" s="123">
        <f>населення!AM46+льготи!AM46+субсидии!AM46+'держ.бюджет'!AM46+'місц.-район.бюджет'!AM46+обласной!AM46+'госпрозрахунк.'!AM46</f>
        <v>0</v>
      </c>
      <c r="AN46" s="123">
        <f>населення!AN46+льготи!AN46+субсидии!AN46+'держ.бюджет'!AN46+'місц.-район.бюджет'!AN46+обласной!AN46+'госпрозрахунк.'!AN46</f>
        <v>0</v>
      </c>
      <c r="AO46" s="123">
        <f>населення!AO46+льготи!AO46+субсидии!AO46+'держ.бюджет'!AO46+'місц.-район.бюджет'!AO46+обласной!AO46+'госпрозрахунк.'!AO46</f>
        <v>0</v>
      </c>
      <c r="AP46" s="123">
        <f>населення!AP46+льготи!AP46+субсидии!AP46+'держ.бюджет'!AP46+'місц.-район.бюджет'!AP46+обласной!AP46+'госпрозрахунк.'!AP46</f>
        <v>0</v>
      </c>
      <c r="AQ46" s="123">
        <f>населення!AR46+льготи!AQ46+субсидии!AQ46+'держ.бюджет'!AQ46+'місц.-район.бюджет'!AQ46+обласной!AQ46+'госпрозрахунк.'!AQ46</f>
        <v>0</v>
      </c>
      <c r="AR46" s="123">
        <f>населення!AS46+льготи!AR46+субсидии!AR46+'держ.бюджет'!AR46+'місц.-район.бюджет'!AR46+обласной!AR46+'госпрозрахунк.'!AR46</f>
        <v>0</v>
      </c>
      <c r="AS46" s="123">
        <f>населення!AT46+льготи!AS46+субсидии!AS46+'держ.бюджет'!AS46+'місц.-район.бюджет'!AS46+обласной!AS46+'госпрозрахунк.'!AS46</f>
        <v>4054292</v>
      </c>
      <c r="AT46" s="123">
        <f>населення!AU46+льготи!AT46+субсидии!AT46+'держ.бюджет'!AT46+'місц.-район.бюджет'!AT46+обласной!AT46+'госпрозрахунк.'!AT46</f>
        <v>4324752</v>
      </c>
      <c r="AU46" s="123">
        <f t="shared" si="9"/>
        <v>106.6709551260738</v>
      </c>
      <c r="AV46" s="123">
        <f>населення!AW46+льготи!AV46+субсидии!AV46+'держ.бюджет'!AV46+'місц.-район.бюджет'!AV46+обласной!AV46+'госпрозрахунк.'!AV46</f>
        <v>-270460</v>
      </c>
      <c r="AW46" s="123">
        <f>населення!AX46+льготи!AW46+субсидии!AW46+'держ.бюджет'!AW46+'місц.-район.бюджет'!AW46+обласной!AW46+'госпрозрахунк.'!AW46</f>
        <v>2142058</v>
      </c>
      <c r="AX46" s="20">
        <f t="shared" si="11"/>
        <v>4054292</v>
      </c>
      <c r="AY46" s="20">
        <f t="shared" si="12"/>
        <v>4324752</v>
      </c>
      <c r="AZ46" s="20">
        <f t="shared" si="10"/>
        <v>-270460</v>
      </c>
      <c r="BA46" s="20">
        <f t="shared" si="2"/>
        <v>2142058</v>
      </c>
    </row>
    <row r="47" spans="1:53" s="8" customFormat="1" ht="24.75" customHeight="1">
      <c r="A47" s="38"/>
      <c r="B47" s="1" t="s">
        <v>35</v>
      </c>
      <c r="C47" s="123">
        <f>населення!C47+льготи!C47+субсидии!C47+'держ.бюджет'!C47+'місц.-район.бюджет'!C47+обласной!C47+'госпрозрахунк.'!C47</f>
        <v>675.5</v>
      </c>
      <c r="D47" s="124">
        <f>населення!D47+льготи!D47+субсидии!D47+'держ.бюджет'!D47+'місц.-район.бюджет'!D47+обласной!D47+'госпрозрахунк.'!D47</f>
        <v>5944</v>
      </c>
      <c r="E47" s="124">
        <f>населення!E47+льготи!E47+субсидии!E47+'держ.бюджет'!E47+'місц.-район.бюджет'!E47+обласной!E47+'госпрозрахунк.'!E47</f>
        <v>1631</v>
      </c>
      <c r="F47" s="14">
        <f t="shared" si="3"/>
        <v>27.439434724091523</v>
      </c>
      <c r="G47" s="124">
        <f>населення!G47+льготи!G47+субсидии!G47+'держ.бюджет'!G47+'місц.-район.бюджет'!G47+обласной!G47+'госпрозрахунк.'!G47</f>
        <v>6088.599999999999</v>
      </c>
      <c r="H47" s="124">
        <f>населення!H47+льготи!H47+субсидии!H47+'держ.бюджет'!H47+'місц.-район.бюджет'!H47+обласной!H47+'госпрозрахунк.'!H47</f>
        <v>5427.700000000001</v>
      </c>
      <c r="I47" s="14">
        <f t="shared" si="13"/>
        <v>89.14528791512008</v>
      </c>
      <c r="J47" s="124">
        <f>населення!J47+льготи!J47+субсидии!J47+'держ.бюджет'!J47+'місц.-район.бюджет'!J47+обласной!J47+'госпрозрахунк.'!J47</f>
        <v>6106.7</v>
      </c>
      <c r="K47" s="124">
        <f>населення!K47+льготи!K47+субсидии!K47+'держ.бюджет'!K47+'місц.-район.бюджет'!K47+обласной!K47+'госпрозрахунк.'!K47</f>
        <v>6457.4</v>
      </c>
      <c r="L47" s="14">
        <f t="shared" si="0"/>
        <v>105.74287258257324</v>
      </c>
      <c r="M47" s="123">
        <f>населення!M47+льготи!M47+субсидии!M47+'держ.бюджет'!M47+'місц.-район.бюджет'!M47+обласной!M47+'госпрозрахунк.'!M47</f>
        <v>18139.300000000003</v>
      </c>
      <c r="N47" s="123">
        <f>населення!N47+льготи!N47+субсидии!N47+'держ.бюджет'!N47+'місц.-район.бюджет'!N47+обласной!N47+'госпрозрахунк.'!N47</f>
        <v>13516.1</v>
      </c>
      <c r="O47" s="123">
        <f t="shared" si="5"/>
        <v>74.5127981785405</v>
      </c>
      <c r="P47" s="123">
        <f>населення!P47+льготи!P47+субсидии!P47+'держ.бюджет'!P47+'місц.-район.бюджет'!P47+обласной!P47+'госпрозрахунк.'!P47</f>
        <v>2908.2</v>
      </c>
      <c r="Q47" s="123">
        <f>населення!Q47+льготи!Q47+субсидии!Q47+'держ.бюджет'!Q47+'місц.-район.бюджет'!Q47+обласной!Q47+'госпрозрахунк.'!Q47</f>
        <v>3690.6</v>
      </c>
      <c r="R47" s="123">
        <f t="shared" si="6"/>
        <v>126.90323911697958</v>
      </c>
      <c r="S47" s="123">
        <f>населення!S47+льготи!S47+субсидии!S47+'держ.бюджет'!S47+'місц.-район.бюджет'!S47+обласной!S47+'госпрозрахунк.'!S47</f>
        <v>749.5</v>
      </c>
      <c r="T47" s="123">
        <f>населення!T47+льготи!T47+субсидии!T47+'держ.бюджет'!T47+'місц.-район.бюджет'!T47+обласной!T47+'госпрозрахунк.'!T47</f>
        <v>3621.8</v>
      </c>
      <c r="U47" s="123">
        <f>T47/S47*100</f>
        <v>483.2288192128086</v>
      </c>
      <c r="V47" s="123">
        <f>населення!V47+льготи!V47+субсидии!V47+'держ.бюджет'!V47+'місц.-район.бюджет'!V47+обласной!V47+'госпрозрахунк.'!V47</f>
        <v>491.5</v>
      </c>
      <c r="W47" s="123">
        <f>населення!W47+льготи!W47+субсидии!W47+'держ.бюджет'!W47+'місц.-район.бюджет'!W47+обласной!W47+'госпрозрахунк.'!W47</f>
        <v>836.4</v>
      </c>
      <c r="X47" s="123">
        <f>W47/V47*100</f>
        <v>170.17293997965413</v>
      </c>
      <c r="Y47" s="123">
        <f>населення!Y47+льготи!Y47+субсидии!Y47+'держ.бюджет'!Y47+'місц.-район.бюджет'!Y47+обласной!Y47+'госпрозрахунк.'!Y47</f>
        <v>4149.2</v>
      </c>
      <c r="Z47" s="123">
        <f>населення!Z47+льготи!Z47+субсидии!Z47+'держ.бюджет'!Z47+'місц.-район.бюджет'!Z47+обласной!Z47+'госпрозрахунк.'!Z47</f>
        <v>8148.799999999999</v>
      </c>
      <c r="AA47" s="123">
        <f t="shared" si="14"/>
        <v>196.39448568398728</v>
      </c>
      <c r="AB47" s="123">
        <f>населення!AB47+льготи!AB47+субсидии!AB47+'держ.бюджет'!AB47+'місц.-район.бюджет'!AB47+обласной!AB47+'госпрозрахунк.'!AB47</f>
        <v>571.2</v>
      </c>
      <c r="AC47" s="123">
        <f>населення!AC47+льготи!AC47+субсидии!AC47+'держ.бюджет'!AC47+'місц.-район.бюджет'!AC47+обласной!AC47+'госпрозрахунк.'!AC47</f>
        <v>711</v>
      </c>
      <c r="AD47" s="123">
        <f>AC47/AB47*100</f>
        <v>124.47478991596637</v>
      </c>
      <c r="AE47" s="123">
        <f>населення!AE47+льготи!AE47+субсидии!AE47+'держ.бюджет'!AE47+'місц.-район.бюджет'!AE47+обласной!AE47+'госпрозрахунк.'!AE47</f>
        <v>0</v>
      </c>
      <c r="AF47" s="123">
        <f>населення!AF47+льготи!AF47+субсидии!AF47+'держ.бюджет'!AF47+'місц.-район.бюджет'!AF47+обласной!AF47+'госпрозрахунк.'!AF47</f>
        <v>0</v>
      </c>
      <c r="AG47" s="123" t="e">
        <f t="shared" si="15"/>
        <v>#DIV/0!</v>
      </c>
      <c r="AH47" s="123">
        <f>населення!AH47+льготи!AH47+субсидии!AH47+'держ.бюджет'!AH47+'місц.-район.бюджет'!AH47+обласной!AH47+'госпрозрахунк.'!AH47</f>
        <v>0</v>
      </c>
      <c r="AI47" s="123">
        <f>населення!AI47+льготи!AI47+субсидии!AI47+'держ.бюджет'!AI47+'місц.-район.бюджет'!AI47+обласной!AI47+'госпрозрахунк.'!AI47</f>
        <v>0</v>
      </c>
      <c r="AJ47" s="123">
        <f>населення!AJ47+льготи!AJ47+субсидии!AJ47+'держ.бюджет'!AJ47+'місц.-район.бюджет'!AJ47+обласной!AJ47+'госпрозрахунк.'!AJ47</f>
        <v>571.2</v>
      </c>
      <c r="AK47" s="123">
        <f>населення!AK47+льготи!AK47+субсидии!AK47+'держ.бюджет'!AK47+'місц.-район.бюджет'!AK47+обласной!AK47+'госпрозрахунк.'!AK47</f>
        <v>711</v>
      </c>
      <c r="AL47" s="123">
        <f t="shared" si="8"/>
        <v>124.47478991596637</v>
      </c>
      <c r="AM47" s="123">
        <f>населення!AM47+льготи!AM47+субсидии!AM47+'держ.бюджет'!AM47+'місц.-район.бюджет'!AM47+обласной!AM47+'госпрозрахунк.'!AM47</f>
        <v>0</v>
      </c>
      <c r="AN47" s="123">
        <f>населення!AN47+льготи!AN47+субсидии!AN47+'держ.бюджет'!AN47+'місц.-район.бюджет'!AN47+обласной!AN47+'госпрозрахунк.'!AN47</f>
        <v>0</v>
      </c>
      <c r="AO47" s="123">
        <f>населення!AO47+льготи!AO47+субсидии!AO47+'держ.бюджет'!AO47+'місц.-район.бюджет'!AO47+обласной!AO47+'госпрозрахунк.'!AO47</f>
        <v>0</v>
      </c>
      <c r="AP47" s="123">
        <f>населення!AP47+льготи!AP47+субсидии!AP47+'держ.бюджет'!AP47+'місц.-район.бюджет'!AP47+обласной!AP47+'госпрозрахунк.'!AP47</f>
        <v>0</v>
      </c>
      <c r="AQ47" s="123">
        <f>населення!AR47+льготи!AQ47+субсидии!AQ47+'держ.бюджет'!AQ47+'місц.-район.бюджет'!AQ47+обласной!AQ47+'госпрозрахунк.'!AQ47</f>
        <v>0</v>
      </c>
      <c r="AR47" s="123">
        <f>населення!AS47+льготи!AR47+субсидии!AR47+'держ.бюджет'!AR47+'місц.-район.бюджет'!AR47+обласной!AR47+'госпрозрахунк.'!AR47</f>
        <v>0</v>
      </c>
      <c r="AS47" s="123">
        <f>населення!AT47+льготи!AS47+субсидии!AS47+'держ.бюджет'!AS47+'місц.-район.бюджет'!AS47+обласной!AS47+'госпрозрахунк.'!AS47</f>
        <v>22859.7</v>
      </c>
      <c r="AT47" s="123">
        <f>населення!AU47+льготи!AT47+субсидии!AT47+'держ.бюджет'!AT47+'місц.-район.бюджет'!AT47+обласной!AT47+'госпрозрахунк.'!AT47</f>
        <v>22375.9</v>
      </c>
      <c r="AU47" s="123">
        <f t="shared" si="9"/>
        <v>97.88361177093313</v>
      </c>
      <c r="AV47" s="123">
        <f>населення!AW47+льготи!AV47+субсидии!AV47+'держ.бюджет'!AV47+'місц.-район.бюджет'!AV47+обласной!AV47+'госпрозрахунк.'!AV47</f>
        <v>483.80000000000064</v>
      </c>
      <c r="AW47" s="123">
        <f>населення!AX47+льготи!AW47+субсидии!AW47+'держ.бюджет'!AW47+'місц.-район.бюджет'!AW47+обласной!AW47+'госпрозрахунк.'!AW47</f>
        <v>1159.3000000000006</v>
      </c>
      <c r="AX47" s="20">
        <f t="shared" si="11"/>
        <v>22859.700000000004</v>
      </c>
      <c r="AY47" s="20">
        <f t="shared" si="12"/>
        <v>22375.9</v>
      </c>
      <c r="AZ47" s="20">
        <f t="shared" si="10"/>
        <v>483.8000000000029</v>
      </c>
      <c r="BA47" s="20">
        <f t="shared" si="2"/>
        <v>1159.300000000003</v>
      </c>
    </row>
    <row r="48" spans="1:53" s="8" customFormat="1" ht="24.75" customHeight="1">
      <c r="A48" s="133"/>
      <c r="B48" s="16" t="s">
        <v>42</v>
      </c>
      <c r="C48" s="123">
        <f>населення!C48+льготи!C48+субсидии!C48+'держ.бюджет'!C48+'місц.-район.бюджет'!C48+обласной!C48+'госпрозрахунк.'!C48</f>
        <v>2692707</v>
      </c>
      <c r="D48" s="123">
        <f>населення!D48+льготи!D48+субсидии!D48+'держ.бюджет'!D48+'місц.-район.бюджет'!D48+обласной!D48+'госпрозрахунк.'!D48</f>
        <v>1317473.1999999997</v>
      </c>
      <c r="E48" s="123">
        <f>населення!E48+льготи!E48+субсидии!E48+'держ.бюджет'!E48+'місц.-район.бюджет'!E48+обласной!E48+'госпрозрахунк.'!E48</f>
        <v>675084.9</v>
      </c>
      <c r="F48" s="14">
        <f>E48/D48*100</f>
        <v>51.24088292649901</v>
      </c>
      <c r="G48" s="123">
        <f>населення!G48+льготи!G48+субсидии!G48+'держ.бюджет'!G48+'місц.-район.бюджет'!G48+обласной!G48+'госпрозрахунк.'!G48</f>
        <v>1355671.5000000002</v>
      </c>
      <c r="H48" s="123">
        <f>населення!H48+льготи!H48+субсидии!H48+'держ.бюджет'!H48+'місц.-район.бюджет'!H48+обласной!H48+'госпрозрахунк.'!H48</f>
        <v>1074609.8</v>
      </c>
      <c r="I48" s="14">
        <f t="shared" si="13"/>
        <v>79.26771345418119</v>
      </c>
      <c r="J48" s="123">
        <f>населення!J48+льготи!J48+субсидии!J48+'держ.бюджет'!J48+'місц.-район.бюджет'!J48+обласной!J48+'госпрозрахунк.'!J48</f>
        <v>1338213</v>
      </c>
      <c r="K48" s="123">
        <f>населення!K48+льготи!K48+субсидии!K48+'держ.бюджет'!K48+'місц.-район.бюджет'!K48+обласной!K48+'госпрозрахунк.'!K48</f>
        <v>1018974.4</v>
      </c>
      <c r="L48" s="14">
        <f t="shared" si="0"/>
        <v>76.1444104936957</v>
      </c>
      <c r="M48" s="123">
        <f>населення!M48+льготи!M48+субсидии!M48+'держ.бюджет'!M48+'місц.-район.бюджет'!M48+обласной!M48+'госпрозрахунк.'!M48</f>
        <v>4011357.6999999997</v>
      </c>
      <c r="N48" s="123">
        <f>населення!N48+льготи!N48+субсидии!N48+'держ.бюджет'!N48+'місц.-район.бюджет'!N48+обласной!N48+'госпрозрахунк.'!N48</f>
        <v>2768669.0999999996</v>
      </c>
      <c r="O48" s="123">
        <f t="shared" si="5"/>
        <v>69.02074826186654</v>
      </c>
      <c r="P48" s="123">
        <f>населення!P48+льготи!P48+субсидии!P48+'держ.бюджет'!P48+'місц.-район.бюджет'!P48+обласной!P48+'госпрозрахунк.'!P48</f>
        <v>535917.1200000001</v>
      </c>
      <c r="Q48" s="123">
        <f>населення!Q48+льготи!Q48+субсидии!Q48+'держ.бюджет'!Q48+'місц.-район.бюджет'!Q48+обласной!Q48+'госпрозрахунк.'!Q48</f>
        <v>1286793.5999999999</v>
      </c>
      <c r="R48" s="123">
        <f t="shared" si="6"/>
        <v>240.11056037918692</v>
      </c>
      <c r="S48" s="123">
        <f>населення!S48+льготи!S48+субсидии!S48+'держ.бюджет'!S48+'місц.-район.бюджет'!S48+обласной!S48+'госпрозрахунк.'!S48</f>
        <v>112017.25000000001</v>
      </c>
      <c r="T48" s="123">
        <f>населення!T48+льготи!T48+субсидии!T48+'держ.бюджет'!T48+'місц.-район.бюджет'!T48+обласной!T48+'госпрозрахунк.'!T48</f>
        <v>539939.9099999999</v>
      </c>
      <c r="U48" s="123">
        <f>T48/S48*100</f>
        <v>482.01496644490004</v>
      </c>
      <c r="V48" s="123">
        <f>населення!V48+льготи!V48+субсидии!V48+'держ.бюджет'!V48+'місц.-район.бюджет'!V48+обласной!V48+'госпрозрахунк.'!V48</f>
        <v>94009.10000000002</v>
      </c>
      <c r="W48" s="123">
        <f>населення!W48+льготи!W48+субсидии!W48+'держ.бюджет'!W48+'місц.-район.бюджет'!W48+обласной!W48+'госпрозрахунк.'!W48</f>
        <v>281312.19999999995</v>
      </c>
      <c r="X48" s="123">
        <f>W48/V48*100</f>
        <v>299.23932895857945</v>
      </c>
      <c r="Y48" s="123">
        <f>населення!Y48+льготи!Y48+субсидии!Y48+'держ.бюджет'!Y48+'місц.-район.бюджет'!Y48+обласной!Y48+'госпрозрахунк.'!Y48</f>
        <v>741943.47</v>
      </c>
      <c r="Z48" s="123">
        <f>населення!Z48+льготи!Z48+субсидии!Z48+'держ.бюджет'!Z48+'місц.-район.бюджет'!Z48+обласной!Z48+'госпрозрахунк.'!Z48</f>
        <v>2108045.71</v>
      </c>
      <c r="AA48" s="123">
        <f t="shared" si="14"/>
        <v>284.1248417483882</v>
      </c>
      <c r="AB48" s="123">
        <f>населення!AB48+льготи!AB48+субсидии!AB48+'держ.бюджет'!AB48+'місц.-район.бюджет'!AB48+обласной!AB48+'госпрозрахунк.'!AB48</f>
        <v>76428.90000000001</v>
      </c>
      <c r="AC48" s="123">
        <f>населення!AC48+льготи!AC48+субсидии!AC48+'держ.бюджет'!AC48+'місц.-район.бюджет'!AC48+обласной!AC48+'госпрозрахунк.'!AC48</f>
        <v>233665.4</v>
      </c>
      <c r="AD48" s="123">
        <f>AC48/AB48*100</f>
        <v>305.72911555707327</v>
      </c>
      <c r="AE48" s="123">
        <f>населення!AE48+льготи!AE48+субсидии!AE48+'держ.бюджет'!AE48+'місц.-район.бюджет'!AE48+обласной!AE48+'госпрозрахунк.'!AE48</f>
        <v>0</v>
      </c>
      <c r="AF48" s="123">
        <f>населення!AF48+льготи!AF48+субсидии!AF48+'держ.бюджет'!AF48+'місц.-район.бюджет'!AF48+обласной!AF48+'госпрозрахунк.'!AF48</f>
        <v>0</v>
      </c>
      <c r="AG48" s="123" t="e">
        <f t="shared" si="15"/>
        <v>#DIV/0!</v>
      </c>
      <c r="AH48" s="123">
        <f>населення!AH48+льготи!AH48+субсидии!AH48+'держ.бюджет'!AH48+'місц.-район.бюджет'!AH48+обласной!AH48+'госпрозрахунк.'!AH48</f>
        <v>0</v>
      </c>
      <c r="AI48" s="123">
        <f>населення!AI48+льготи!AI48+субсидии!AI48+'держ.бюджет'!AI48+'місц.-район.бюджет'!AI48+обласной!AI48+'госпрозрахунк.'!AI48</f>
        <v>0</v>
      </c>
      <c r="AJ48" s="123">
        <f>населення!AJ48+льготи!AJ48+субсидии!AJ48+'держ.бюджет'!AJ48+'місц.-район.бюджет'!AJ48+обласной!AJ48+'госпрозрахунк.'!AJ48</f>
        <v>76428.90000000001</v>
      </c>
      <c r="AK48" s="123">
        <f>населення!AK48+льготи!AK48+субсидии!AK48+'держ.бюджет'!AK48+'місц.-район.бюджет'!AK48+обласной!AK48+'госпрозрахунк.'!AK48</f>
        <v>233665.4</v>
      </c>
      <c r="AL48" s="123">
        <f t="shared" si="8"/>
        <v>305.72911555707327</v>
      </c>
      <c r="AM48" s="123">
        <f>населення!AM48+льготи!AM48+субсидии!AM48+'держ.бюджет'!AM48+'місц.-район.бюджет'!AM48+обласной!AM48+'госпрозрахунк.'!AM48</f>
        <v>0</v>
      </c>
      <c r="AN48" s="123">
        <f>населення!AN48+льготи!AN48+субсидии!AN48+'держ.бюджет'!AN48+'місц.-район.бюджет'!AN48+обласной!AN48+'госпрозрахунк.'!AN48</f>
        <v>0</v>
      </c>
      <c r="AO48" s="123">
        <f>населення!AO48+льготи!AO48+субсидии!AO48+'держ.бюджет'!AO48+'місц.-район.бюджет'!AO48+обласной!AO48+'госпрозрахунк.'!AO48</f>
        <v>0</v>
      </c>
      <c r="AP48" s="123">
        <f>населення!AP48+льготи!AP48+субсидии!AP48+'держ.бюджет'!AP48+'місц.-район.бюджет'!AP48+обласной!AP48+'госпрозрахунк.'!AP48</f>
        <v>0</v>
      </c>
      <c r="AQ48" s="123">
        <f>населення!AR48+льготи!AQ48+субсидии!AQ48+'держ.бюджет'!AQ48+'місц.-район.бюджет'!AQ48+обласной!AQ48+'госпрозрахунк.'!AQ48</f>
        <v>0</v>
      </c>
      <c r="AR48" s="123">
        <f>населення!AS48+льготи!AR48+субсидии!AR48+'держ.бюджет'!AR48+'місц.-район.бюджет'!AR48+обласной!AR48+'госпрозрахунк.'!AR48</f>
        <v>0</v>
      </c>
      <c r="AS48" s="123">
        <f>населення!AT48+льготи!AS48+субсидии!AS48+'держ.бюджет'!AS48+'місц.-район.бюджет'!AS48+обласной!AS48+'госпрозрахунк.'!AS48</f>
        <v>4829730.07</v>
      </c>
      <c r="AT48" s="123">
        <f>населення!AU48+льготи!AT48+субсидии!AT48+'держ.бюджет'!AT48+'місц.-район.бюджет'!AT48+обласной!AT48+'госпрозрахунк.'!AT48</f>
        <v>5110380.21</v>
      </c>
      <c r="AU48" s="123">
        <f t="shared" si="9"/>
        <v>105.81088665271928</v>
      </c>
      <c r="AV48" s="123">
        <f>населення!AW48+льготи!AV48+субсидии!AV48+'держ.бюджет'!AV48+'місц.-район.бюджет'!AV48+обласной!AV48+'госпрозрахунк.'!AV48</f>
        <v>-280650.14</v>
      </c>
      <c r="AW48" s="123">
        <f>населення!AX48+льготи!AW48+субсидии!AW48+'держ.бюджет'!AW48+'місц.-район.бюджет'!AW48+обласной!AW48+'госпрозрахунк.'!AW48</f>
        <v>2412056.86</v>
      </c>
      <c r="AX48" s="20">
        <f t="shared" si="11"/>
        <v>4829730.07</v>
      </c>
      <c r="AY48" s="20">
        <f t="shared" si="12"/>
        <v>5110380.21</v>
      </c>
      <c r="AZ48" s="20">
        <f>AX48-AY48</f>
        <v>-280650.13999999966</v>
      </c>
      <c r="BA48" s="20">
        <f t="shared" si="2"/>
        <v>2412056.8600000003</v>
      </c>
    </row>
    <row r="49" spans="2:53" ht="18.75">
      <c r="B49" s="10"/>
      <c r="C49" s="139"/>
      <c r="D49" s="134"/>
      <c r="E49" s="134"/>
      <c r="F49" s="17"/>
      <c r="G49" s="18"/>
      <c r="H49" s="18"/>
      <c r="I49" s="17"/>
      <c r="J49" s="18"/>
      <c r="K49" s="18"/>
      <c r="L49" s="17"/>
      <c r="M49" s="17"/>
      <c r="N49" s="17"/>
      <c r="O49" s="17"/>
      <c r="P49" s="18"/>
      <c r="Q49" s="18"/>
      <c r="R49" s="17"/>
      <c r="S49" s="18"/>
      <c r="T49" s="18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27"/>
      <c r="AW49" s="135">
        <f>SUM(AW8:AW44)+AW46+AW47</f>
        <v>2412056.86</v>
      </c>
      <c r="AX49" s="121">
        <f>AX45+AX7</f>
        <v>4066477.7600000002</v>
      </c>
      <c r="AY49" s="121">
        <f>AY45+AY7</f>
        <v>4615967.46</v>
      </c>
      <c r="AZ49" s="121">
        <f>AZ45+AZ7</f>
        <v>-549489.7000000002</v>
      </c>
      <c r="BA49" s="121">
        <f>BA45+BA7</f>
        <v>2143217.3</v>
      </c>
    </row>
    <row r="50" spans="48:52" ht="18.75">
      <c r="AV50" s="27"/>
      <c r="AX50" s="121"/>
      <c r="AZ50" s="121">
        <f>AZ49-AV48</f>
        <v>-268839.5600000002</v>
      </c>
    </row>
    <row r="51" spans="48:49" ht="18.75">
      <c r="AV51" s="27"/>
      <c r="AW51" s="121"/>
    </row>
    <row r="52" spans="48:49" ht="18.75">
      <c r="AV52" s="27"/>
      <c r="AW52" s="121"/>
    </row>
    <row r="53" ht="18.75">
      <c r="AV53" s="27"/>
    </row>
    <row r="54" ht="18.75">
      <c r="AV54" s="27"/>
    </row>
    <row r="55" ht="18.75">
      <c r="AV55" s="27"/>
    </row>
    <row r="56" ht="18.75">
      <c r="AV56" s="27"/>
    </row>
    <row r="57" ht="18.75">
      <c r="AV57" s="27"/>
    </row>
    <row r="58" ht="18.75">
      <c r="AV58" s="27"/>
    </row>
    <row r="59" ht="18.75">
      <c r="AV59" s="27"/>
    </row>
    <row r="60" ht="18.75">
      <c r="AV60" s="27"/>
    </row>
    <row r="61" ht="18.75">
      <c r="AV61" s="27"/>
    </row>
    <row r="62" ht="18.75">
      <c r="AV62" s="27"/>
    </row>
    <row r="63" ht="18.75">
      <c r="AV63" s="27"/>
    </row>
    <row r="64" ht="18.75">
      <c r="AV64" s="27"/>
    </row>
    <row r="65" ht="18.75">
      <c r="AV65" s="27"/>
    </row>
    <row r="66" ht="18.75">
      <c r="AV66" s="27"/>
    </row>
    <row r="67" ht="18.75">
      <c r="AV67" s="27"/>
    </row>
    <row r="68" ht="18.75">
      <c r="AV68" s="27"/>
    </row>
    <row r="69" ht="18.75">
      <c r="AV69" s="27"/>
    </row>
    <row r="70" ht="18.75">
      <c r="AV70" s="27"/>
    </row>
    <row r="71" ht="18.75">
      <c r="AV71" s="27"/>
    </row>
    <row r="72" ht="18.75">
      <c r="AV72" s="27"/>
    </row>
    <row r="73" ht="18.75">
      <c r="AV73" s="27"/>
    </row>
    <row r="74" ht="18.75">
      <c r="AV74" s="27"/>
    </row>
    <row r="75" ht="18.75">
      <c r="AV75" s="27"/>
    </row>
    <row r="76" ht="18.75">
      <c r="AV76" s="27"/>
    </row>
    <row r="77" ht="18.75">
      <c r="AV77" s="27"/>
    </row>
    <row r="78" ht="18.75">
      <c r="AV78" s="27"/>
    </row>
    <row r="79" ht="18.75">
      <c r="AV79" s="27"/>
    </row>
    <row r="80" ht="18.75">
      <c r="AV80" s="27"/>
    </row>
    <row r="81" ht="18.75">
      <c r="AV81" s="27"/>
    </row>
    <row r="82" ht="18.75">
      <c r="AV82" s="27"/>
    </row>
    <row r="83" ht="18.75">
      <c r="AV83" s="27"/>
    </row>
    <row r="84" ht="18.75">
      <c r="AV84" s="27"/>
    </row>
    <row r="85" ht="18.75">
      <c r="AV85" s="27"/>
    </row>
    <row r="86" ht="18.75">
      <c r="AV86" s="27"/>
    </row>
    <row r="87" ht="18.75">
      <c r="AV87" s="27"/>
    </row>
    <row r="88" ht="18.75">
      <c r="AV88" s="27"/>
    </row>
    <row r="89" ht="18.75">
      <c r="AV89" s="27"/>
    </row>
    <row r="90" ht="18.75">
      <c r="AV90" s="27"/>
    </row>
    <row r="91" ht="18.75">
      <c r="AV91" s="27"/>
    </row>
    <row r="92" ht="18.75">
      <c r="AV92" s="27"/>
    </row>
    <row r="93" ht="18.75">
      <c r="AV93" s="27"/>
    </row>
    <row r="94" ht="18.75">
      <c r="AV94" s="27"/>
    </row>
    <row r="95" ht="18.75">
      <c r="AV95" s="27"/>
    </row>
  </sheetData>
  <sheetProtection/>
  <autoFilter ref="F1:F95"/>
  <mergeCells count="21">
    <mergeCell ref="Y5:AA5"/>
    <mergeCell ref="AO5:AP5"/>
    <mergeCell ref="V5:X5"/>
    <mergeCell ref="AE5:AG5"/>
    <mergeCell ref="B2:AW2"/>
    <mergeCell ref="B3:AW3"/>
    <mergeCell ref="B4:C4"/>
    <mergeCell ref="D5:F5"/>
    <mergeCell ref="G5:I5"/>
    <mergeCell ref="AW5:AW6"/>
    <mergeCell ref="AV5:AV6"/>
    <mergeCell ref="J5:L5"/>
    <mergeCell ref="P5:R5"/>
    <mergeCell ref="M5:O5"/>
    <mergeCell ref="AH5:AI5"/>
    <mergeCell ref="S5:U5"/>
    <mergeCell ref="AS5:AU5"/>
    <mergeCell ref="AQ5:AR5"/>
    <mergeCell ref="AB5:AD5"/>
    <mergeCell ref="AJ5:AL5"/>
    <mergeCell ref="AM5:AN5"/>
  </mergeCells>
  <printOptions horizontalCentered="1"/>
  <pageMargins left="0" right="0" top="0" bottom="0" header="0" footer="0"/>
  <pageSetup fitToHeight="1" fitToWidth="1" horizontalDpi="600" verticalDpi="600" orientation="landscape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A104"/>
  <sheetViews>
    <sheetView view="pageBreakPreview" zoomScale="70" zoomScaleNormal="75" zoomScaleSheetLayoutView="70" zoomScalePageLayoutView="0" workbookViewId="0" topLeftCell="A2">
      <pane xSplit="3" ySplit="6" topLeftCell="M17" activePane="bottomRight" state="frozen"/>
      <selection pane="topLeft" activeCell="T8" sqref="T8"/>
      <selection pane="topRight" activeCell="T8" sqref="T8"/>
      <selection pane="bottomLeft" activeCell="T8" sqref="T8"/>
      <selection pane="bottomRight" activeCell="AC38" sqref="AC38"/>
    </sheetView>
  </sheetViews>
  <sheetFormatPr defaultColWidth="7.875" defaultRowHeight="12.75"/>
  <cols>
    <col min="1" max="1" width="7.75390625" style="7" customWidth="1"/>
    <col min="2" max="2" width="56.75390625" style="5" customWidth="1"/>
    <col min="3" max="3" width="16.75390625" style="39" customWidth="1"/>
    <col min="4" max="4" width="16.625" style="5" hidden="1" customWidth="1"/>
    <col min="5" max="5" width="15.75390625" style="5" hidden="1" customWidth="1"/>
    <col min="6" max="6" width="11.625" style="8" hidden="1" customWidth="1"/>
    <col min="7" max="8" width="14.75390625" style="5" hidden="1" customWidth="1"/>
    <col min="9" max="9" width="11.875" style="8" hidden="1" customWidth="1"/>
    <col min="10" max="11" width="14.75390625" style="5" hidden="1" customWidth="1"/>
    <col min="12" max="12" width="11.875" style="8" hidden="1" customWidth="1"/>
    <col min="13" max="13" width="14.25390625" style="8" customWidth="1"/>
    <col min="14" max="14" width="15.125" style="8" customWidth="1"/>
    <col min="15" max="15" width="11.875" style="8" customWidth="1"/>
    <col min="16" max="17" width="14.75390625" style="5" hidden="1" customWidth="1"/>
    <col min="18" max="18" width="11.875" style="8" hidden="1" customWidth="1"/>
    <col min="19" max="20" width="14.75390625" style="5" hidden="1" customWidth="1"/>
    <col min="21" max="21" width="11.875" style="8" hidden="1" customWidth="1"/>
    <col min="22" max="22" width="14.625" style="8" hidden="1" customWidth="1"/>
    <col min="23" max="23" width="14.25390625" style="8" hidden="1" customWidth="1"/>
    <col min="24" max="24" width="11.875" style="8" hidden="1" customWidth="1"/>
    <col min="25" max="25" width="14.25390625" style="8" customWidth="1"/>
    <col min="26" max="26" width="15.125" style="8" customWidth="1"/>
    <col min="27" max="27" width="11.875" style="8" hidden="1" customWidth="1"/>
    <col min="28" max="28" width="14.625" style="8" customWidth="1"/>
    <col min="29" max="29" width="14.25390625" style="8" customWidth="1"/>
    <col min="30" max="30" width="11.875" style="8" hidden="1" customWidth="1"/>
    <col min="31" max="31" width="14.625" style="8" hidden="1" customWidth="1"/>
    <col min="32" max="32" width="14.25390625" style="8" hidden="1" customWidth="1"/>
    <col min="33" max="33" width="11.875" style="8" hidden="1" customWidth="1"/>
    <col min="34" max="34" width="14.875" style="8" hidden="1" customWidth="1"/>
    <col min="35" max="35" width="13.75390625" style="8" hidden="1" customWidth="1"/>
    <col min="36" max="36" width="14.25390625" style="8" hidden="1" customWidth="1"/>
    <col min="37" max="37" width="15.125" style="8" hidden="1" customWidth="1"/>
    <col min="38" max="38" width="11.875" style="8" hidden="1" customWidth="1"/>
    <col min="39" max="39" width="14.875" style="8" hidden="1" customWidth="1"/>
    <col min="40" max="40" width="13.75390625" style="8" hidden="1" customWidth="1"/>
    <col min="41" max="41" width="14.875" style="8" hidden="1" customWidth="1"/>
    <col min="42" max="43" width="13.75390625" style="8" hidden="1" customWidth="1"/>
    <col min="44" max="44" width="14.875" style="8" hidden="1" customWidth="1"/>
    <col min="45" max="45" width="13.75390625" style="8" hidden="1" customWidth="1"/>
    <col min="46" max="46" width="14.625" style="5" customWidth="1"/>
    <col min="47" max="47" width="15.625" style="5" customWidth="1"/>
    <col min="48" max="48" width="13.75390625" style="8" customWidth="1"/>
    <col min="49" max="49" width="19.75390625" style="5" customWidth="1"/>
    <col min="50" max="50" width="24.00390625" style="5" customWidth="1"/>
    <col min="51" max="51" width="12.875" style="5" customWidth="1"/>
    <col min="52" max="52" width="13.00390625" style="5" bestFit="1" customWidth="1"/>
    <col min="53" max="53" width="15.125" style="5" bestFit="1" customWidth="1"/>
    <col min="54" max="16384" width="7.875" style="5" customWidth="1"/>
  </cols>
  <sheetData>
    <row r="1" spans="4:50" ht="18.75"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147"/>
      <c r="AM1" s="147"/>
      <c r="AN1" s="147"/>
      <c r="AO1" s="147"/>
      <c r="AP1" s="147"/>
      <c r="AQ1" s="147"/>
      <c r="AR1" s="147"/>
      <c r="AS1" s="147"/>
      <c r="AT1" s="147"/>
      <c r="AU1" s="147"/>
      <c r="AV1" s="147"/>
      <c r="AW1" s="147"/>
      <c r="AX1" s="147"/>
    </row>
    <row r="2" spans="1:50" s="30" customFormat="1" ht="42" customHeight="1">
      <c r="A2" s="29"/>
      <c r="B2" s="146" t="s">
        <v>52</v>
      </c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146"/>
      <c r="AP2" s="146"/>
      <c r="AQ2" s="146"/>
      <c r="AR2" s="146"/>
      <c r="AS2" s="146"/>
      <c r="AT2" s="146"/>
      <c r="AU2" s="146"/>
      <c r="AV2" s="146"/>
      <c r="AW2" s="146"/>
      <c r="AX2" s="146"/>
    </row>
    <row r="3" spans="1:50" s="30" customFormat="1" ht="42" customHeight="1">
      <c r="A3" s="29"/>
      <c r="B3" s="146" t="s">
        <v>126</v>
      </c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146"/>
      <c r="AK3" s="146"/>
      <c r="AL3" s="146"/>
      <c r="AM3" s="146"/>
      <c r="AN3" s="146"/>
      <c r="AO3" s="146"/>
      <c r="AP3" s="146"/>
      <c r="AQ3" s="146"/>
      <c r="AR3" s="146"/>
      <c r="AS3" s="146"/>
      <c r="AT3" s="146"/>
      <c r="AU3" s="146"/>
      <c r="AV3" s="146"/>
      <c r="AW3" s="146"/>
      <c r="AX3" s="146"/>
    </row>
    <row r="4" spans="2:50" ht="18.75">
      <c r="B4" s="147"/>
      <c r="C4" s="147"/>
      <c r="AX4" s="11" t="s">
        <v>20</v>
      </c>
    </row>
    <row r="5" spans="1:50" s="9" customFormat="1" ht="36.75" customHeight="1">
      <c r="A5" s="87" t="s">
        <v>8</v>
      </c>
      <c r="B5" s="87"/>
      <c r="C5" s="24" t="s">
        <v>1</v>
      </c>
      <c r="D5" s="143" t="s">
        <v>64</v>
      </c>
      <c r="E5" s="144"/>
      <c r="F5" s="145"/>
      <c r="G5" s="140" t="s">
        <v>66</v>
      </c>
      <c r="H5" s="141"/>
      <c r="I5" s="142"/>
      <c r="J5" s="140" t="s">
        <v>68</v>
      </c>
      <c r="K5" s="141"/>
      <c r="L5" s="142"/>
      <c r="M5" s="140" t="s">
        <v>81</v>
      </c>
      <c r="N5" s="141"/>
      <c r="O5" s="142"/>
      <c r="P5" s="140" t="s">
        <v>69</v>
      </c>
      <c r="Q5" s="141"/>
      <c r="R5" s="142"/>
      <c r="S5" s="140" t="s">
        <v>70</v>
      </c>
      <c r="T5" s="141"/>
      <c r="U5" s="142"/>
      <c r="V5" s="140" t="s">
        <v>71</v>
      </c>
      <c r="W5" s="141"/>
      <c r="X5" s="142"/>
      <c r="Y5" s="140" t="s">
        <v>72</v>
      </c>
      <c r="Z5" s="141"/>
      <c r="AA5" s="142"/>
      <c r="AB5" s="140" t="s">
        <v>73</v>
      </c>
      <c r="AC5" s="141"/>
      <c r="AD5" s="142"/>
      <c r="AE5" s="140" t="s">
        <v>74</v>
      </c>
      <c r="AF5" s="141"/>
      <c r="AG5" s="142"/>
      <c r="AH5" s="140" t="s">
        <v>75</v>
      </c>
      <c r="AI5" s="142"/>
      <c r="AJ5" s="140" t="s">
        <v>77</v>
      </c>
      <c r="AK5" s="141"/>
      <c r="AL5" s="142"/>
      <c r="AM5" s="140" t="s">
        <v>76</v>
      </c>
      <c r="AN5" s="142"/>
      <c r="AO5" s="140" t="s">
        <v>78</v>
      </c>
      <c r="AP5" s="142"/>
      <c r="AQ5" s="116"/>
      <c r="AR5" s="140" t="s">
        <v>79</v>
      </c>
      <c r="AS5" s="142"/>
      <c r="AT5" s="143" t="s">
        <v>82</v>
      </c>
      <c r="AU5" s="144"/>
      <c r="AV5" s="145"/>
      <c r="AW5" s="148" t="s">
        <v>127</v>
      </c>
      <c r="AX5" s="148" t="s">
        <v>128</v>
      </c>
    </row>
    <row r="6" spans="1:50" s="9" customFormat="1" ht="60" customHeight="1">
      <c r="A6" s="88" t="s">
        <v>5</v>
      </c>
      <c r="B6" s="40" t="s">
        <v>18</v>
      </c>
      <c r="C6" s="117" t="s">
        <v>80</v>
      </c>
      <c r="D6" s="26" t="s">
        <v>65</v>
      </c>
      <c r="E6" s="26" t="s">
        <v>19</v>
      </c>
      <c r="F6" s="12" t="s">
        <v>0</v>
      </c>
      <c r="G6" s="26" t="s">
        <v>65</v>
      </c>
      <c r="H6" s="26" t="s">
        <v>19</v>
      </c>
      <c r="I6" s="12" t="s">
        <v>0</v>
      </c>
      <c r="J6" s="26" t="s">
        <v>65</v>
      </c>
      <c r="K6" s="26" t="s">
        <v>19</v>
      </c>
      <c r="L6" s="12" t="s">
        <v>0</v>
      </c>
      <c r="M6" s="26" t="s">
        <v>65</v>
      </c>
      <c r="N6" s="26" t="s">
        <v>19</v>
      </c>
      <c r="O6" s="12" t="s">
        <v>0</v>
      </c>
      <c r="P6" s="26" t="s">
        <v>65</v>
      </c>
      <c r="Q6" s="26" t="s">
        <v>19</v>
      </c>
      <c r="R6" s="12" t="s">
        <v>0</v>
      </c>
      <c r="S6" s="26" t="s">
        <v>65</v>
      </c>
      <c r="T6" s="26" t="s">
        <v>19</v>
      </c>
      <c r="U6" s="12" t="s">
        <v>0</v>
      </c>
      <c r="V6" s="26" t="s">
        <v>65</v>
      </c>
      <c r="W6" s="26" t="s">
        <v>19</v>
      </c>
      <c r="X6" s="12" t="s">
        <v>0</v>
      </c>
      <c r="Y6" s="26" t="s">
        <v>65</v>
      </c>
      <c r="Z6" s="26" t="s">
        <v>19</v>
      </c>
      <c r="AA6" s="12" t="s">
        <v>0</v>
      </c>
      <c r="AB6" s="26" t="s">
        <v>65</v>
      </c>
      <c r="AC6" s="26" t="s">
        <v>19</v>
      </c>
      <c r="AD6" s="12" t="s">
        <v>0</v>
      </c>
      <c r="AE6" s="26" t="s">
        <v>65</v>
      </c>
      <c r="AF6" s="26" t="s">
        <v>19</v>
      </c>
      <c r="AG6" s="12" t="s">
        <v>0</v>
      </c>
      <c r="AH6" s="26" t="s">
        <v>65</v>
      </c>
      <c r="AI6" s="26" t="s">
        <v>19</v>
      </c>
      <c r="AJ6" s="26" t="s">
        <v>65</v>
      </c>
      <c r="AK6" s="26" t="s">
        <v>19</v>
      </c>
      <c r="AL6" s="12" t="s">
        <v>0</v>
      </c>
      <c r="AM6" s="26" t="s">
        <v>65</v>
      </c>
      <c r="AN6" s="26" t="s">
        <v>19</v>
      </c>
      <c r="AO6" s="26" t="s">
        <v>65</v>
      </c>
      <c r="AP6" s="26" t="s">
        <v>19</v>
      </c>
      <c r="AQ6" s="26" t="s">
        <v>0</v>
      </c>
      <c r="AR6" s="26" t="s">
        <v>65</v>
      </c>
      <c r="AS6" s="26" t="s">
        <v>19</v>
      </c>
      <c r="AT6" s="26" t="s">
        <v>65</v>
      </c>
      <c r="AU6" s="26" t="s">
        <v>19</v>
      </c>
      <c r="AV6" s="12" t="s">
        <v>0</v>
      </c>
      <c r="AW6" s="149"/>
      <c r="AX6" s="149"/>
    </row>
    <row r="7" spans="1:52" s="8" customFormat="1" ht="36" customHeight="1">
      <c r="A7" s="12"/>
      <c r="B7" s="13" t="s">
        <v>21</v>
      </c>
      <c r="C7" s="89">
        <f>SUM(C8:C44)</f>
        <v>183026</v>
      </c>
      <c r="D7" s="14">
        <f>SUM(D8:D44)</f>
        <v>79500.90000000001</v>
      </c>
      <c r="E7" s="14">
        <f>SUM(E8:E44)</f>
        <v>28325</v>
      </c>
      <c r="F7" s="14">
        <f>E7/D7*100</f>
        <v>35.62852747578958</v>
      </c>
      <c r="G7" s="14">
        <f>SUM(G8:G44)</f>
        <v>66136.7</v>
      </c>
      <c r="H7" s="14">
        <f>SUM(H8:H44)</f>
        <v>37830.3</v>
      </c>
      <c r="I7" s="14">
        <f>H7/G7*100</f>
        <v>57.20016269333064</v>
      </c>
      <c r="J7" s="14">
        <f>SUM(J8:J44)</f>
        <v>67936.9</v>
      </c>
      <c r="K7" s="14">
        <f>SUM(K8:K44)</f>
        <v>42085.899999999994</v>
      </c>
      <c r="L7" s="14">
        <f>K7/J7*100</f>
        <v>61.948513988715995</v>
      </c>
      <c r="M7" s="14">
        <f>SUM(M8:M44)</f>
        <v>213574.5</v>
      </c>
      <c r="N7" s="14">
        <f>SUM(N8:N44)</f>
        <v>108241.20000000001</v>
      </c>
      <c r="O7" s="14">
        <f>N7/M7*100</f>
        <v>50.68076947388383</v>
      </c>
      <c r="P7" s="14">
        <f>SUM(P8:P44)</f>
        <v>5417.700000000001</v>
      </c>
      <c r="Q7" s="14">
        <f>SUM(Q8:Q44)</f>
        <v>37050</v>
      </c>
      <c r="R7" s="14">
        <f>Q7/P7*100</f>
        <v>683.869538734149</v>
      </c>
      <c r="S7" s="14">
        <f>SUM(S8:S44)</f>
        <v>5422.65</v>
      </c>
      <c r="T7" s="14">
        <f>SUM(T8:T44)</f>
        <v>21097.609999999997</v>
      </c>
      <c r="U7" s="14">
        <f>T7/S7*100</f>
        <v>389.0645717499746</v>
      </c>
      <c r="V7" s="14">
        <f>SUM(V8:V44)</f>
        <v>1168.6</v>
      </c>
      <c r="W7" s="14">
        <f>SUM(W8:W44)</f>
        <v>12941.900000000003</v>
      </c>
      <c r="X7" s="14">
        <f>W7/V7*100</f>
        <v>1107.4704774944382</v>
      </c>
      <c r="Y7" s="14">
        <f>SUM(Y8:Y44)</f>
        <v>12008.95</v>
      </c>
      <c r="Z7" s="14">
        <f>SUM(Z8:Z44)</f>
        <v>71089.51000000001</v>
      </c>
      <c r="AA7" s="14">
        <f>Z7/Y7*100</f>
        <v>591.9710715757831</v>
      </c>
      <c r="AB7" s="14">
        <f>SUM(AB8:AB44)</f>
        <v>1536.9</v>
      </c>
      <c r="AC7" s="14">
        <f>SUM(AC8:AC44)</f>
        <v>12071.5</v>
      </c>
      <c r="AD7" s="28">
        <f>AC7/AB7*100</f>
        <v>785.4447263972932</v>
      </c>
      <c r="AE7" s="14">
        <f>SUM(AE8:AE44)</f>
        <v>0</v>
      </c>
      <c r="AF7" s="14">
        <f>SUM(AF8:AF44)</f>
        <v>0</v>
      </c>
      <c r="AG7" s="28" t="e">
        <f>AF7/AE7*100</f>
        <v>#DIV/0!</v>
      </c>
      <c r="AH7" s="14">
        <f>SUM(AH8:AH44)</f>
        <v>0</v>
      </c>
      <c r="AI7" s="14">
        <f>SUM(AI8:AI44)</f>
        <v>0</v>
      </c>
      <c r="AJ7" s="14">
        <f>SUM(AJ8:AJ44)</f>
        <v>1536.9</v>
      </c>
      <c r="AK7" s="14">
        <f>SUM(AK8:AK44)</f>
        <v>12071.5</v>
      </c>
      <c r="AL7" s="14">
        <f>AK7/AJ7*100</f>
        <v>785.4447263972932</v>
      </c>
      <c r="AM7" s="14">
        <f aca="true" t="shared" si="0" ref="AM7:AU7">SUM(AM8:AM44)</f>
        <v>0</v>
      </c>
      <c r="AN7" s="14">
        <f t="shared" si="0"/>
        <v>0</v>
      </c>
      <c r="AO7" s="14">
        <f t="shared" si="0"/>
        <v>0</v>
      </c>
      <c r="AP7" s="14">
        <f t="shared" si="0"/>
        <v>0</v>
      </c>
      <c r="AQ7" s="14" t="e">
        <f>AP7/AO7*100</f>
        <v>#DIV/0!</v>
      </c>
      <c r="AR7" s="14">
        <f>SUM(AR8:AR44)</f>
        <v>0</v>
      </c>
      <c r="AS7" s="14">
        <f>SUM(AS8:AS44)</f>
        <v>0</v>
      </c>
      <c r="AT7" s="14">
        <f t="shared" si="0"/>
        <v>227120.35</v>
      </c>
      <c r="AU7" s="14">
        <f t="shared" si="0"/>
        <v>191402.21000000002</v>
      </c>
      <c r="AV7" s="14">
        <f>AU7/AT7*100</f>
        <v>84.27347439364196</v>
      </c>
      <c r="AW7" s="42">
        <f>SUM(AW8:AW44)</f>
        <v>35718.14</v>
      </c>
      <c r="AX7" s="42">
        <f>SUM(AX8:AX44)</f>
        <v>218744.14</v>
      </c>
      <c r="AY7" s="20">
        <f>AT7-AU7</f>
        <v>35718.139999999985</v>
      </c>
      <c r="AZ7" s="20">
        <f aca="true" t="shared" si="1" ref="AZ7:AZ44">C7+AT7-AU7</f>
        <v>218744.13999999996</v>
      </c>
    </row>
    <row r="8" spans="1:52" ht="36.75" customHeight="1">
      <c r="A8" s="6">
        <v>1</v>
      </c>
      <c r="B8" s="1" t="s">
        <v>98</v>
      </c>
      <c r="C8" s="2">
        <v>15909.9</v>
      </c>
      <c r="D8" s="3">
        <v>8363.8</v>
      </c>
      <c r="E8" s="3">
        <v>3232.4</v>
      </c>
      <c r="F8" s="14">
        <f aca="true" t="shared" si="2" ref="F8:F27">E8/D8*100</f>
        <v>38.647504722733686</v>
      </c>
      <c r="G8" s="3">
        <v>8733.1</v>
      </c>
      <c r="H8" s="3">
        <v>3993.2</v>
      </c>
      <c r="I8" s="14">
        <f>H8/G8*100</f>
        <v>45.72488577939105</v>
      </c>
      <c r="J8" s="3">
        <v>7975.7</v>
      </c>
      <c r="K8" s="3">
        <v>4414.6</v>
      </c>
      <c r="L8" s="14">
        <f>K8/J8*100</f>
        <v>55.350627531125795</v>
      </c>
      <c r="M8" s="3">
        <f>D8+G8+J8</f>
        <v>25072.600000000002</v>
      </c>
      <c r="N8" s="3">
        <f>E8+H8+K8</f>
        <v>11640.2</v>
      </c>
      <c r="O8" s="14">
        <f aca="true" t="shared" si="3" ref="O8:O48">N8/M8*100</f>
        <v>46.425978957108555</v>
      </c>
      <c r="P8" s="3">
        <v>-116.8</v>
      </c>
      <c r="Q8" s="3">
        <v>4076.9</v>
      </c>
      <c r="R8" s="14">
        <f>Q8/P8*100</f>
        <v>-3490.4965753424663</v>
      </c>
      <c r="S8" s="3">
        <v>527.3</v>
      </c>
      <c r="T8" s="3">
        <v>2127.6</v>
      </c>
      <c r="U8" s="14">
        <f>T8/S8*100</f>
        <v>403.489474682344</v>
      </c>
      <c r="V8" s="3">
        <v>83.2</v>
      </c>
      <c r="W8" s="3">
        <v>1195.5</v>
      </c>
      <c r="X8" s="14">
        <f>W8/V8*100</f>
        <v>1436.8990384615383</v>
      </c>
      <c r="Y8" s="3">
        <f>P8+S8+V8</f>
        <v>493.69999999999993</v>
      </c>
      <c r="Z8" s="3">
        <f>Q8+T8+W8</f>
        <v>7400</v>
      </c>
      <c r="AA8" s="14">
        <f>Z8/Y8*100</f>
        <v>1498.8859631355076</v>
      </c>
      <c r="AB8" s="3">
        <v>-13.3</v>
      </c>
      <c r="AC8" s="3">
        <v>1075.1</v>
      </c>
      <c r="AD8" s="28">
        <f>AC8/AB8*100</f>
        <v>-8083.45864661654</v>
      </c>
      <c r="AE8" s="3"/>
      <c r="AF8" s="3"/>
      <c r="AG8" s="28" t="e">
        <f>AF8/AE8*100</f>
        <v>#DIV/0!</v>
      </c>
      <c r="AH8" s="3"/>
      <c r="AI8" s="3"/>
      <c r="AJ8" s="3">
        <f>AB8+AE8+AH8</f>
        <v>-13.3</v>
      </c>
      <c r="AK8" s="3">
        <f>AC8+AF8+AI8</f>
        <v>1075.1</v>
      </c>
      <c r="AL8" s="14">
        <f>AK8/AJ8*100</f>
        <v>-8083.45864661654</v>
      </c>
      <c r="AM8" s="3"/>
      <c r="AN8" s="3"/>
      <c r="AO8" s="3"/>
      <c r="AP8" s="3"/>
      <c r="AQ8" s="14" t="e">
        <f aca="true" t="shared" si="4" ref="AQ8:AQ48">AP8/AO8*100</f>
        <v>#DIV/0!</v>
      </c>
      <c r="AR8" s="3"/>
      <c r="AS8" s="3"/>
      <c r="AT8" s="3">
        <f>M8+Y8+AJ8+AM8+AO8+AR8</f>
        <v>25553.000000000004</v>
      </c>
      <c r="AU8" s="3">
        <f>N8+Z8+AK8+AN8+AP8+AS8</f>
        <v>20115.3</v>
      </c>
      <c r="AV8" s="14">
        <f>AU8/AT8*100</f>
        <v>78.71991546980783</v>
      </c>
      <c r="AW8" s="14">
        <f>AT8-AU8</f>
        <v>5437.700000000004</v>
      </c>
      <c r="AX8" s="4">
        <f>C8+AT8-AU8</f>
        <v>21347.600000000002</v>
      </c>
      <c r="AY8" s="20">
        <f aca="true" t="shared" si="5" ref="AY8:AY44">AT8-AU8</f>
        <v>5437.700000000004</v>
      </c>
      <c r="AZ8" s="20">
        <f t="shared" si="1"/>
        <v>21347.600000000002</v>
      </c>
    </row>
    <row r="9" spans="1:52" ht="27" customHeight="1">
      <c r="A9" s="6">
        <v>2</v>
      </c>
      <c r="B9" s="32" t="s">
        <v>99</v>
      </c>
      <c r="C9" s="2">
        <f>12.3+(-46.7)</f>
        <v>-34.400000000000006</v>
      </c>
      <c r="D9" s="3">
        <v>89.6</v>
      </c>
      <c r="E9" s="3">
        <v>23.1</v>
      </c>
      <c r="F9" s="14">
        <f t="shared" si="2"/>
        <v>25.781250000000007</v>
      </c>
      <c r="G9" s="3">
        <v>98.3</v>
      </c>
      <c r="H9" s="3">
        <v>25.7</v>
      </c>
      <c r="I9" s="14">
        <f aca="true" t="shared" si="6" ref="I9:I21">H9/G9*100</f>
        <v>26.14445574771109</v>
      </c>
      <c r="J9" s="3">
        <v>76.9</v>
      </c>
      <c r="K9" s="3">
        <v>43.3</v>
      </c>
      <c r="L9" s="14">
        <f aca="true" t="shared" si="7" ref="L9:L21">K9/J9*100</f>
        <v>56.306892067620275</v>
      </c>
      <c r="M9" s="3">
        <f aca="true" t="shared" si="8" ref="M9:M44">D9+G9+J9</f>
        <v>264.79999999999995</v>
      </c>
      <c r="N9" s="3">
        <f aca="true" t="shared" si="9" ref="N9:N44">E9+H9+K9</f>
        <v>92.1</v>
      </c>
      <c r="O9" s="14">
        <f t="shared" si="3"/>
        <v>34.78096676737161</v>
      </c>
      <c r="P9" s="3">
        <v>-39.7</v>
      </c>
      <c r="Q9" s="3">
        <v>39.9</v>
      </c>
      <c r="R9" s="14">
        <f aca="true" t="shared" si="10" ref="R9:R19">Q9/P9*100</f>
        <v>-100.50377833753149</v>
      </c>
      <c r="S9" s="3">
        <v>32.6</v>
      </c>
      <c r="T9" s="3">
        <v>18.6</v>
      </c>
      <c r="U9" s="14">
        <f aca="true" t="shared" si="11" ref="U9:U15">T9/S9*100</f>
        <v>57.05521472392638</v>
      </c>
      <c r="V9" s="3">
        <v>0</v>
      </c>
      <c r="W9" s="3">
        <v>15.2</v>
      </c>
      <c r="X9" s="14" t="e">
        <f aca="true" t="shared" si="12" ref="X9:X15">W9/V9*100</f>
        <v>#DIV/0!</v>
      </c>
      <c r="Y9" s="3">
        <f>P9+S9+V9</f>
        <v>-7.100000000000001</v>
      </c>
      <c r="Z9" s="3">
        <f>Q9+T9+W9</f>
        <v>73.7</v>
      </c>
      <c r="AA9" s="14">
        <f>Z9/Y9*100</f>
        <v>-1038.0281690140844</v>
      </c>
      <c r="AB9" s="3">
        <v>0</v>
      </c>
      <c r="AC9" s="3">
        <v>9.1</v>
      </c>
      <c r="AD9" s="28" t="e">
        <f aca="true" t="shared" si="13" ref="AD9:AD15">AC9/AB9*100</f>
        <v>#DIV/0!</v>
      </c>
      <c r="AE9" s="3"/>
      <c r="AF9" s="3"/>
      <c r="AG9" s="28" t="e">
        <f aca="true" t="shared" si="14" ref="AG9:AG15">AF9/AE9*100</f>
        <v>#DIV/0!</v>
      </c>
      <c r="AH9" s="3"/>
      <c r="AI9" s="3"/>
      <c r="AJ9" s="3">
        <f aca="true" t="shared" si="15" ref="AJ9:AJ44">AB9+AE9+AH9</f>
        <v>0</v>
      </c>
      <c r="AK9" s="3">
        <f aca="true" t="shared" si="16" ref="AK9:AK44">AC9+AF9+AI9</f>
        <v>9.1</v>
      </c>
      <c r="AL9" s="14" t="e">
        <f>AK9/AJ9*100</f>
        <v>#DIV/0!</v>
      </c>
      <c r="AM9" s="3"/>
      <c r="AN9" s="3"/>
      <c r="AO9" s="3"/>
      <c r="AP9" s="3"/>
      <c r="AQ9" s="14" t="e">
        <f t="shared" si="4"/>
        <v>#DIV/0!</v>
      </c>
      <c r="AR9" s="3"/>
      <c r="AS9" s="3"/>
      <c r="AT9" s="3">
        <f>M9+Y9+AJ9+AM9+AO9+AR9</f>
        <v>257.69999999999993</v>
      </c>
      <c r="AU9" s="3">
        <f>N9+Z9+AK9+AN9+AP9+AS9</f>
        <v>174.9</v>
      </c>
      <c r="AV9" s="14">
        <f>AU9/AT9*100</f>
        <v>67.86961583236322</v>
      </c>
      <c r="AW9" s="14">
        <f>AT9-AU9</f>
        <v>82.79999999999993</v>
      </c>
      <c r="AX9" s="4">
        <f>C9+AT9-AU9</f>
        <v>48.39999999999992</v>
      </c>
      <c r="AY9" s="20">
        <f t="shared" si="5"/>
        <v>82.79999999999993</v>
      </c>
      <c r="AZ9" s="20">
        <f t="shared" si="1"/>
        <v>48.39999999999992</v>
      </c>
    </row>
    <row r="10" spans="1:52" ht="27.75" customHeight="1">
      <c r="A10" s="6">
        <v>3</v>
      </c>
      <c r="B10" s="15" t="s">
        <v>83</v>
      </c>
      <c r="C10" s="2"/>
      <c r="D10" s="21"/>
      <c r="E10" s="21"/>
      <c r="F10" s="36" t="e">
        <f t="shared" si="2"/>
        <v>#DIV/0!</v>
      </c>
      <c r="G10" s="21"/>
      <c r="H10" s="21"/>
      <c r="I10" s="36" t="e">
        <f t="shared" si="6"/>
        <v>#DIV/0!</v>
      </c>
      <c r="J10" s="21"/>
      <c r="K10" s="21"/>
      <c r="L10" s="36" t="e">
        <f t="shared" si="7"/>
        <v>#DIV/0!</v>
      </c>
      <c r="M10" s="3"/>
      <c r="N10" s="3"/>
      <c r="O10" s="14"/>
      <c r="P10" s="21"/>
      <c r="Q10" s="21"/>
      <c r="R10" s="36" t="e">
        <f t="shared" si="10"/>
        <v>#DIV/0!</v>
      </c>
      <c r="S10" s="21"/>
      <c r="T10" s="21"/>
      <c r="U10" s="36" t="e">
        <f t="shared" si="11"/>
        <v>#DIV/0!</v>
      </c>
      <c r="V10" s="21"/>
      <c r="W10" s="21"/>
      <c r="X10" s="36" t="e">
        <f t="shared" si="12"/>
        <v>#DIV/0!</v>
      </c>
      <c r="Y10" s="3"/>
      <c r="Z10" s="3"/>
      <c r="AA10" s="14"/>
      <c r="AB10" s="21"/>
      <c r="AC10" s="21"/>
      <c r="AD10" s="28" t="e">
        <f t="shared" si="13"/>
        <v>#DIV/0!</v>
      </c>
      <c r="AE10" s="21"/>
      <c r="AF10" s="21"/>
      <c r="AG10" s="28" t="e">
        <f t="shared" si="14"/>
        <v>#DIV/0!</v>
      </c>
      <c r="AH10" s="21"/>
      <c r="AI10" s="21"/>
      <c r="AJ10" s="3"/>
      <c r="AK10" s="3"/>
      <c r="AL10" s="14"/>
      <c r="AM10" s="21"/>
      <c r="AN10" s="21"/>
      <c r="AO10" s="21"/>
      <c r="AP10" s="21"/>
      <c r="AQ10" s="14"/>
      <c r="AR10" s="21"/>
      <c r="AS10" s="21"/>
      <c r="AT10" s="3"/>
      <c r="AU10" s="3"/>
      <c r="AV10" s="36" t="e">
        <f>AU10/AT10*100</f>
        <v>#DIV/0!</v>
      </c>
      <c r="AW10" s="14"/>
      <c r="AX10" s="4"/>
      <c r="AY10" s="20">
        <f t="shared" si="5"/>
        <v>0</v>
      </c>
      <c r="AZ10" s="20">
        <f t="shared" si="1"/>
        <v>0</v>
      </c>
    </row>
    <row r="11" spans="1:52" ht="24" customHeight="1">
      <c r="A11" s="6">
        <v>4</v>
      </c>
      <c r="B11" s="1" t="s">
        <v>63</v>
      </c>
      <c r="C11" s="2"/>
      <c r="D11" s="3"/>
      <c r="E11" s="3"/>
      <c r="F11" s="36"/>
      <c r="G11" s="3"/>
      <c r="H11" s="3"/>
      <c r="I11" s="36" t="e">
        <f t="shared" si="6"/>
        <v>#DIV/0!</v>
      </c>
      <c r="J11" s="3"/>
      <c r="K11" s="3"/>
      <c r="L11" s="36" t="e">
        <f t="shared" si="7"/>
        <v>#DIV/0!</v>
      </c>
      <c r="M11" s="3"/>
      <c r="N11" s="3"/>
      <c r="O11" s="14"/>
      <c r="P11" s="3"/>
      <c r="Q11" s="3"/>
      <c r="R11" s="36" t="e">
        <f t="shared" si="10"/>
        <v>#DIV/0!</v>
      </c>
      <c r="S11" s="3"/>
      <c r="T11" s="3"/>
      <c r="U11" s="36" t="e">
        <f t="shared" si="11"/>
        <v>#DIV/0!</v>
      </c>
      <c r="V11" s="3"/>
      <c r="W11" s="3"/>
      <c r="X11" s="36" t="e">
        <f t="shared" si="12"/>
        <v>#DIV/0!</v>
      </c>
      <c r="Y11" s="3"/>
      <c r="Z11" s="3"/>
      <c r="AA11" s="14"/>
      <c r="AB11" s="3"/>
      <c r="AC11" s="3"/>
      <c r="AD11" s="28" t="e">
        <f t="shared" si="13"/>
        <v>#DIV/0!</v>
      </c>
      <c r="AE11" s="3"/>
      <c r="AF11" s="3"/>
      <c r="AG11" s="28" t="e">
        <f t="shared" si="14"/>
        <v>#DIV/0!</v>
      </c>
      <c r="AH11" s="3"/>
      <c r="AI11" s="3"/>
      <c r="AJ11" s="3"/>
      <c r="AK11" s="3"/>
      <c r="AL11" s="14"/>
      <c r="AM11" s="3"/>
      <c r="AN11" s="3"/>
      <c r="AO11" s="3"/>
      <c r="AP11" s="3"/>
      <c r="AQ11" s="14"/>
      <c r="AR11" s="3"/>
      <c r="AS11" s="3"/>
      <c r="AT11" s="3"/>
      <c r="AU11" s="3"/>
      <c r="AV11" s="36"/>
      <c r="AW11" s="14"/>
      <c r="AX11" s="4"/>
      <c r="AY11" s="20">
        <f t="shared" si="5"/>
        <v>0</v>
      </c>
      <c r="AZ11" s="20">
        <f t="shared" si="1"/>
        <v>0</v>
      </c>
    </row>
    <row r="12" spans="1:52" ht="24" customHeight="1">
      <c r="A12" s="6">
        <v>5</v>
      </c>
      <c r="B12" s="1" t="s">
        <v>100</v>
      </c>
      <c r="C12" s="2">
        <v>538.3</v>
      </c>
      <c r="D12" s="3">
        <v>852.5</v>
      </c>
      <c r="E12" s="3">
        <v>365.3</v>
      </c>
      <c r="F12" s="14">
        <f t="shared" si="2"/>
        <v>42.85043988269795</v>
      </c>
      <c r="G12" s="3">
        <v>729.8</v>
      </c>
      <c r="H12" s="3">
        <v>592.4</v>
      </c>
      <c r="I12" s="14">
        <f t="shared" si="6"/>
        <v>81.17292408879145</v>
      </c>
      <c r="J12" s="3">
        <v>870.1</v>
      </c>
      <c r="K12" s="3">
        <v>619.9</v>
      </c>
      <c r="L12" s="14">
        <f t="shared" si="7"/>
        <v>71.2446845190208</v>
      </c>
      <c r="M12" s="3">
        <f t="shared" si="8"/>
        <v>2452.4</v>
      </c>
      <c r="N12" s="3">
        <f t="shared" si="9"/>
        <v>1577.6</v>
      </c>
      <c r="O12" s="14">
        <f t="shared" si="3"/>
        <v>64.32882074702331</v>
      </c>
      <c r="P12" s="3">
        <v>-5.1</v>
      </c>
      <c r="Q12" s="3">
        <v>632.3</v>
      </c>
      <c r="R12" s="14">
        <f t="shared" si="10"/>
        <v>-12398.039215686274</v>
      </c>
      <c r="S12" s="3">
        <v>506</v>
      </c>
      <c r="T12" s="3">
        <v>202.4</v>
      </c>
      <c r="U12" s="14">
        <f t="shared" si="11"/>
        <v>40</v>
      </c>
      <c r="V12" s="3">
        <v>-0.9</v>
      </c>
      <c r="W12" s="3">
        <v>60.8</v>
      </c>
      <c r="X12" s="14">
        <f t="shared" si="12"/>
        <v>-6755.555555555556</v>
      </c>
      <c r="Y12" s="3">
        <f>P12+S12+V12</f>
        <v>500</v>
      </c>
      <c r="Z12" s="3">
        <f>Q12+T12+W12</f>
        <v>895.4999999999999</v>
      </c>
      <c r="AA12" s="14">
        <f>Z12/Y12*100</f>
        <v>179.09999999999997</v>
      </c>
      <c r="AB12" s="3">
        <v>0</v>
      </c>
      <c r="AC12" s="3">
        <v>97.1</v>
      </c>
      <c r="AD12" s="28" t="e">
        <f t="shared" si="13"/>
        <v>#DIV/0!</v>
      </c>
      <c r="AE12" s="3"/>
      <c r="AF12" s="3"/>
      <c r="AG12" s="28" t="e">
        <f t="shared" si="14"/>
        <v>#DIV/0!</v>
      </c>
      <c r="AH12" s="3"/>
      <c r="AI12" s="3"/>
      <c r="AJ12" s="3">
        <f t="shared" si="15"/>
        <v>0</v>
      </c>
      <c r="AK12" s="3">
        <f t="shared" si="16"/>
        <v>97.1</v>
      </c>
      <c r="AL12" s="14" t="e">
        <f>AK12/AJ12*100</f>
        <v>#DIV/0!</v>
      </c>
      <c r="AM12" s="3"/>
      <c r="AN12" s="3"/>
      <c r="AO12" s="3"/>
      <c r="AP12" s="3"/>
      <c r="AQ12" s="14" t="e">
        <f t="shared" si="4"/>
        <v>#DIV/0!</v>
      </c>
      <c r="AR12" s="3"/>
      <c r="AS12" s="3"/>
      <c r="AT12" s="3">
        <f aca="true" t="shared" si="17" ref="AT12:AU15">M12+Y12+AJ12+AM12+AO12+AR12</f>
        <v>2952.4</v>
      </c>
      <c r="AU12" s="3">
        <f t="shared" si="17"/>
        <v>2570.2</v>
      </c>
      <c r="AV12" s="14">
        <f aca="true" t="shared" si="18" ref="AV12:AV22">AU12/AT12*100</f>
        <v>87.0545996477442</v>
      </c>
      <c r="AW12" s="14">
        <f aca="true" t="shared" si="19" ref="AW12:AW44">AT12-AU12</f>
        <v>382.2000000000003</v>
      </c>
      <c r="AX12" s="4">
        <f>C12+AT12-AU12</f>
        <v>920.5</v>
      </c>
      <c r="AY12" s="20">
        <f t="shared" si="5"/>
        <v>382.2000000000003</v>
      </c>
      <c r="AZ12" s="20">
        <f t="shared" si="1"/>
        <v>920.5</v>
      </c>
    </row>
    <row r="13" spans="1:52" ht="24" customHeight="1">
      <c r="A13" s="6">
        <v>6</v>
      </c>
      <c r="B13" s="1" t="s">
        <v>101</v>
      </c>
      <c r="C13" s="2">
        <v>23.6</v>
      </c>
      <c r="D13" s="3">
        <v>32.5</v>
      </c>
      <c r="E13" s="3">
        <v>2.6</v>
      </c>
      <c r="F13" s="14">
        <f t="shared" si="2"/>
        <v>8</v>
      </c>
      <c r="G13" s="3">
        <v>9.4</v>
      </c>
      <c r="H13" s="3">
        <v>4</v>
      </c>
      <c r="I13" s="14">
        <f t="shared" si="6"/>
        <v>42.5531914893617</v>
      </c>
      <c r="J13" s="3">
        <v>-3.7</v>
      </c>
      <c r="K13" s="3">
        <v>2.2</v>
      </c>
      <c r="L13" s="14">
        <f t="shared" si="7"/>
        <v>-59.45945945945946</v>
      </c>
      <c r="M13" s="3">
        <f t="shared" si="8"/>
        <v>38.199999999999996</v>
      </c>
      <c r="N13" s="3">
        <f t="shared" si="9"/>
        <v>8.8</v>
      </c>
      <c r="O13" s="14">
        <f t="shared" si="3"/>
        <v>23.03664921465969</v>
      </c>
      <c r="P13" s="3">
        <v>-10.8</v>
      </c>
      <c r="Q13" s="3">
        <v>1.7</v>
      </c>
      <c r="R13" s="14">
        <f t="shared" si="10"/>
        <v>-15.740740740740739</v>
      </c>
      <c r="S13" s="3">
        <v>1.9</v>
      </c>
      <c r="T13" s="3">
        <v>6.6</v>
      </c>
      <c r="U13" s="14">
        <f t="shared" si="11"/>
        <v>347.3684210526316</v>
      </c>
      <c r="V13" s="3">
        <v>0</v>
      </c>
      <c r="W13" s="3">
        <v>2.7</v>
      </c>
      <c r="X13" s="28" t="e">
        <f t="shared" si="12"/>
        <v>#DIV/0!</v>
      </c>
      <c r="Y13" s="3">
        <f>P13+S13+V13</f>
        <v>-8.9</v>
      </c>
      <c r="Z13" s="3">
        <f>Q13+T13+W13</f>
        <v>11</v>
      </c>
      <c r="AA13" s="14">
        <f>Z13/Y13*100</f>
        <v>-123.59550561797752</v>
      </c>
      <c r="AB13" s="3">
        <v>0</v>
      </c>
      <c r="AC13" s="3">
        <v>2.9</v>
      </c>
      <c r="AD13" s="28" t="e">
        <f t="shared" si="13"/>
        <v>#DIV/0!</v>
      </c>
      <c r="AE13" s="3"/>
      <c r="AF13" s="3"/>
      <c r="AG13" s="28" t="e">
        <f t="shared" si="14"/>
        <v>#DIV/0!</v>
      </c>
      <c r="AH13" s="3"/>
      <c r="AI13" s="3"/>
      <c r="AJ13" s="3">
        <f t="shared" si="15"/>
        <v>0</v>
      </c>
      <c r="AK13" s="3">
        <f t="shared" si="16"/>
        <v>2.9</v>
      </c>
      <c r="AL13" s="14" t="e">
        <f>AK13/AJ13*100</f>
        <v>#DIV/0!</v>
      </c>
      <c r="AM13" s="3"/>
      <c r="AN13" s="3"/>
      <c r="AO13" s="3"/>
      <c r="AP13" s="3"/>
      <c r="AQ13" s="14" t="e">
        <f t="shared" si="4"/>
        <v>#DIV/0!</v>
      </c>
      <c r="AR13" s="3"/>
      <c r="AS13" s="3"/>
      <c r="AT13" s="3">
        <f t="shared" si="17"/>
        <v>29.299999999999997</v>
      </c>
      <c r="AU13" s="3">
        <f t="shared" si="17"/>
        <v>22.7</v>
      </c>
      <c r="AV13" s="14">
        <f>AU13/AT13*100</f>
        <v>77.47440273037543</v>
      </c>
      <c r="AW13" s="14">
        <f>AT13-AU13</f>
        <v>6.599999999999998</v>
      </c>
      <c r="AX13" s="4">
        <f>C13+AT13-AU13</f>
        <v>30.2</v>
      </c>
      <c r="AY13" s="20">
        <f>AT13-AU13</f>
        <v>6.599999999999998</v>
      </c>
      <c r="AZ13" s="20">
        <f>C13+AT13-AU13</f>
        <v>30.2</v>
      </c>
    </row>
    <row r="14" spans="1:52" ht="24" customHeight="1">
      <c r="A14" s="6">
        <v>7</v>
      </c>
      <c r="B14" s="1" t="s">
        <v>102</v>
      </c>
      <c r="C14" s="2">
        <v>-1.2</v>
      </c>
      <c r="D14" s="44">
        <v>0</v>
      </c>
      <c r="E14" s="3">
        <v>0</v>
      </c>
      <c r="F14" s="28" t="e">
        <f t="shared" si="2"/>
        <v>#DIV/0!</v>
      </c>
      <c r="G14" s="21"/>
      <c r="H14" s="21"/>
      <c r="I14" s="36" t="e">
        <f t="shared" si="6"/>
        <v>#DIV/0!</v>
      </c>
      <c r="J14" s="21"/>
      <c r="K14" s="21"/>
      <c r="L14" s="36" t="e">
        <f t="shared" si="7"/>
        <v>#DIV/0!</v>
      </c>
      <c r="M14" s="3"/>
      <c r="N14" s="3"/>
      <c r="O14" s="14"/>
      <c r="P14" s="21"/>
      <c r="Q14" s="21"/>
      <c r="R14" s="36" t="e">
        <f t="shared" si="10"/>
        <v>#DIV/0!</v>
      </c>
      <c r="S14" s="21"/>
      <c r="T14" s="21"/>
      <c r="U14" s="36" t="e">
        <f t="shared" si="11"/>
        <v>#DIV/0!</v>
      </c>
      <c r="V14" s="21"/>
      <c r="W14" s="21"/>
      <c r="X14" s="36" t="e">
        <f t="shared" si="12"/>
        <v>#DIV/0!</v>
      </c>
      <c r="Y14" s="3"/>
      <c r="Z14" s="3"/>
      <c r="AA14" s="14"/>
      <c r="AB14" s="21"/>
      <c r="AC14" s="21"/>
      <c r="AD14" s="28" t="e">
        <f t="shared" si="13"/>
        <v>#DIV/0!</v>
      </c>
      <c r="AE14" s="21"/>
      <c r="AF14" s="21"/>
      <c r="AG14" s="28" t="e">
        <f t="shared" si="14"/>
        <v>#DIV/0!</v>
      </c>
      <c r="AH14" s="21"/>
      <c r="AI14" s="21"/>
      <c r="AJ14" s="3"/>
      <c r="AK14" s="3"/>
      <c r="AL14" s="14"/>
      <c r="AM14" s="21"/>
      <c r="AN14" s="21"/>
      <c r="AO14" s="21"/>
      <c r="AP14" s="21"/>
      <c r="AQ14" s="14"/>
      <c r="AR14" s="44"/>
      <c r="AS14" s="44"/>
      <c r="AT14" s="3"/>
      <c r="AU14" s="3"/>
      <c r="AV14" s="28" t="e">
        <f>AU14/AT14*100</f>
        <v>#DIV/0!</v>
      </c>
      <c r="AW14" s="14">
        <f>AT14-AU14</f>
        <v>0</v>
      </c>
      <c r="AX14" s="4">
        <f>C14+AT14-AU14</f>
        <v>-1.2</v>
      </c>
      <c r="AY14" s="20">
        <f>AT14-AU14</f>
        <v>0</v>
      </c>
      <c r="AZ14" s="20">
        <f>C14+AT14-AU14</f>
        <v>-1.2</v>
      </c>
    </row>
    <row r="15" spans="1:52" ht="27" customHeight="1">
      <c r="A15" s="6">
        <v>8</v>
      </c>
      <c r="B15" s="1" t="s">
        <v>103</v>
      </c>
      <c r="C15" s="2">
        <v>1077.2</v>
      </c>
      <c r="D15" s="3">
        <v>1949.4</v>
      </c>
      <c r="E15" s="3">
        <v>809.4</v>
      </c>
      <c r="F15" s="14">
        <f t="shared" si="2"/>
        <v>41.52046783625731</v>
      </c>
      <c r="G15" s="3">
        <v>1757.6</v>
      </c>
      <c r="H15" s="3">
        <v>1100.7</v>
      </c>
      <c r="I15" s="14">
        <f t="shared" si="6"/>
        <v>62.625170687300866</v>
      </c>
      <c r="J15" s="3">
        <v>1624.6</v>
      </c>
      <c r="K15" s="3">
        <v>1215.6</v>
      </c>
      <c r="L15" s="14">
        <f t="shared" si="7"/>
        <v>74.82457220238828</v>
      </c>
      <c r="M15" s="3">
        <f t="shared" si="8"/>
        <v>5331.6</v>
      </c>
      <c r="N15" s="3">
        <f t="shared" si="9"/>
        <v>3125.7</v>
      </c>
      <c r="O15" s="14">
        <f t="shared" si="3"/>
        <v>58.62592842673868</v>
      </c>
      <c r="P15" s="3">
        <v>27.6</v>
      </c>
      <c r="Q15" s="3">
        <v>1086.3</v>
      </c>
      <c r="R15" s="14">
        <f t="shared" si="10"/>
        <v>3935.8695652173906</v>
      </c>
      <c r="S15" s="3">
        <v>177.8</v>
      </c>
      <c r="T15" s="3">
        <v>567.4</v>
      </c>
      <c r="U15" s="14">
        <f t="shared" si="11"/>
        <v>319.12260967379075</v>
      </c>
      <c r="V15" s="3">
        <v>0.2</v>
      </c>
      <c r="W15" s="3">
        <v>319.2</v>
      </c>
      <c r="X15" s="14">
        <f t="shared" si="12"/>
        <v>159599.99999999997</v>
      </c>
      <c r="Y15" s="3">
        <f>P15+S15+V15</f>
        <v>205.6</v>
      </c>
      <c r="Z15" s="3">
        <f>Q15+T15+W15</f>
        <v>1972.8999999999999</v>
      </c>
      <c r="AA15" s="14">
        <f>Z15/Y15*100</f>
        <v>959.5817120622568</v>
      </c>
      <c r="AB15" s="3">
        <v>0.3</v>
      </c>
      <c r="AC15" s="3">
        <v>235.9</v>
      </c>
      <c r="AD15" s="28">
        <f t="shared" si="13"/>
        <v>78633.33333333334</v>
      </c>
      <c r="AE15" s="3"/>
      <c r="AF15" s="3"/>
      <c r="AG15" s="28" t="e">
        <f t="shared" si="14"/>
        <v>#DIV/0!</v>
      </c>
      <c r="AH15" s="3"/>
      <c r="AI15" s="3"/>
      <c r="AJ15" s="3">
        <f t="shared" si="15"/>
        <v>0.3</v>
      </c>
      <c r="AK15" s="3">
        <f t="shared" si="16"/>
        <v>235.9</v>
      </c>
      <c r="AL15" s="14">
        <f>AK15/AJ15*100</f>
        <v>78633.33333333334</v>
      </c>
      <c r="AM15" s="3"/>
      <c r="AN15" s="3"/>
      <c r="AO15" s="3"/>
      <c r="AP15" s="3"/>
      <c r="AQ15" s="14" t="e">
        <f t="shared" si="4"/>
        <v>#DIV/0!</v>
      </c>
      <c r="AR15" s="3"/>
      <c r="AS15" s="3"/>
      <c r="AT15" s="3">
        <f t="shared" si="17"/>
        <v>5537.500000000001</v>
      </c>
      <c r="AU15" s="3">
        <f t="shared" si="17"/>
        <v>5334.499999999999</v>
      </c>
      <c r="AV15" s="14">
        <f t="shared" si="18"/>
        <v>96.334085778781</v>
      </c>
      <c r="AW15" s="14">
        <f t="shared" si="19"/>
        <v>203.00000000000182</v>
      </c>
      <c r="AX15" s="4">
        <f>C15+AT15-AU15</f>
        <v>1280.2000000000016</v>
      </c>
      <c r="AY15" s="20">
        <f t="shared" si="5"/>
        <v>203.00000000000182</v>
      </c>
      <c r="AZ15" s="20">
        <f t="shared" si="1"/>
        <v>1280.2000000000016</v>
      </c>
    </row>
    <row r="16" spans="1:52" ht="24" customHeight="1">
      <c r="A16" s="6">
        <v>9</v>
      </c>
      <c r="B16" s="1" t="s">
        <v>104</v>
      </c>
      <c r="C16" s="2"/>
      <c r="D16" s="21"/>
      <c r="E16" s="21"/>
      <c r="F16" s="36" t="e">
        <f t="shared" si="2"/>
        <v>#DIV/0!</v>
      </c>
      <c r="G16" s="21"/>
      <c r="H16" s="21"/>
      <c r="I16" s="36" t="e">
        <f t="shared" si="6"/>
        <v>#DIV/0!</v>
      </c>
      <c r="J16" s="21"/>
      <c r="K16" s="21"/>
      <c r="L16" s="36" t="e">
        <f t="shared" si="7"/>
        <v>#DIV/0!</v>
      </c>
      <c r="M16" s="3"/>
      <c r="N16" s="3"/>
      <c r="O16" s="14"/>
      <c r="P16" s="21"/>
      <c r="Q16" s="21"/>
      <c r="R16" s="36"/>
      <c r="S16" s="21"/>
      <c r="T16" s="21"/>
      <c r="U16" s="36"/>
      <c r="V16" s="21"/>
      <c r="W16" s="21"/>
      <c r="X16" s="36"/>
      <c r="Y16" s="3"/>
      <c r="Z16" s="3"/>
      <c r="AA16" s="14"/>
      <c r="AB16" s="21"/>
      <c r="AC16" s="21"/>
      <c r="AD16" s="28"/>
      <c r="AE16" s="21"/>
      <c r="AF16" s="21"/>
      <c r="AG16" s="28"/>
      <c r="AH16" s="21"/>
      <c r="AI16" s="21"/>
      <c r="AJ16" s="3"/>
      <c r="AK16" s="3"/>
      <c r="AL16" s="14"/>
      <c r="AM16" s="21"/>
      <c r="AN16" s="21"/>
      <c r="AO16" s="21"/>
      <c r="AP16" s="21"/>
      <c r="AQ16" s="14"/>
      <c r="AR16" s="21"/>
      <c r="AS16" s="21"/>
      <c r="AT16" s="3"/>
      <c r="AU16" s="3"/>
      <c r="AV16" s="36" t="e">
        <f t="shared" si="18"/>
        <v>#DIV/0!</v>
      </c>
      <c r="AW16" s="14"/>
      <c r="AX16" s="4"/>
      <c r="AY16" s="20">
        <f t="shared" si="5"/>
        <v>0</v>
      </c>
      <c r="AZ16" s="20">
        <f t="shared" si="1"/>
        <v>0</v>
      </c>
    </row>
    <row r="17" spans="1:52" ht="24" customHeight="1">
      <c r="A17" s="6">
        <v>10</v>
      </c>
      <c r="B17" s="15" t="s">
        <v>105</v>
      </c>
      <c r="C17" s="2">
        <f>5094.4+735</f>
        <v>5829.4</v>
      </c>
      <c r="D17" s="3">
        <v>959</v>
      </c>
      <c r="E17" s="3">
        <v>453.2</v>
      </c>
      <c r="F17" s="14">
        <f t="shared" si="2"/>
        <v>47.25755995828989</v>
      </c>
      <c r="G17" s="3">
        <v>1382.9</v>
      </c>
      <c r="H17" s="3">
        <v>373.5</v>
      </c>
      <c r="I17" s="14">
        <f t="shared" si="6"/>
        <v>27.008460481596643</v>
      </c>
      <c r="J17" s="3">
        <v>1535.2</v>
      </c>
      <c r="K17" s="3">
        <v>403.4</v>
      </c>
      <c r="L17" s="14">
        <f t="shared" si="7"/>
        <v>26.27670661803022</v>
      </c>
      <c r="M17" s="3">
        <f t="shared" si="8"/>
        <v>3877.1000000000004</v>
      </c>
      <c r="N17" s="3">
        <f t="shared" si="9"/>
        <v>1230.1</v>
      </c>
      <c r="O17" s="14">
        <f t="shared" si="3"/>
        <v>31.727321967449896</v>
      </c>
      <c r="P17" s="3">
        <v>-123.5</v>
      </c>
      <c r="Q17" s="3">
        <v>558.8</v>
      </c>
      <c r="R17" s="14">
        <f t="shared" si="10"/>
        <v>-452.4696356275303</v>
      </c>
      <c r="S17" s="3">
        <v>196.9</v>
      </c>
      <c r="T17" s="3">
        <v>367.9</v>
      </c>
      <c r="U17" s="14">
        <f>T17/S17*100</f>
        <v>186.84611477907563</v>
      </c>
      <c r="V17" s="3">
        <v>0.1</v>
      </c>
      <c r="W17" s="3">
        <v>206.4</v>
      </c>
      <c r="X17" s="14">
        <f>W17/V17*100</f>
        <v>206400</v>
      </c>
      <c r="Y17" s="3">
        <f aca="true" t="shared" si="20" ref="Y17:Z19">P17+S17+V17</f>
        <v>73.5</v>
      </c>
      <c r="Z17" s="3">
        <f t="shared" si="20"/>
        <v>1133.1</v>
      </c>
      <c r="AA17" s="14">
        <f>Z17/Y17*100</f>
        <v>1541.6326530612243</v>
      </c>
      <c r="AB17" s="3">
        <v>0.9</v>
      </c>
      <c r="AC17" s="3">
        <v>253.3</v>
      </c>
      <c r="AD17" s="28">
        <f>AC17/AB17*100</f>
        <v>28144.444444444445</v>
      </c>
      <c r="AE17" s="3"/>
      <c r="AF17" s="3"/>
      <c r="AG17" s="28" t="e">
        <f>AF17/AE17*100</f>
        <v>#DIV/0!</v>
      </c>
      <c r="AH17" s="3"/>
      <c r="AI17" s="3"/>
      <c r="AJ17" s="3">
        <f t="shared" si="15"/>
        <v>0.9</v>
      </c>
      <c r="AK17" s="3">
        <f t="shared" si="16"/>
        <v>253.3</v>
      </c>
      <c r="AL17" s="14">
        <f>AK17/AJ17*100</f>
        <v>28144.444444444445</v>
      </c>
      <c r="AM17" s="3"/>
      <c r="AN17" s="3"/>
      <c r="AO17" s="3"/>
      <c r="AP17" s="3"/>
      <c r="AQ17" s="14" t="e">
        <f t="shared" si="4"/>
        <v>#DIV/0!</v>
      </c>
      <c r="AR17" s="3"/>
      <c r="AS17" s="3"/>
      <c r="AT17" s="3">
        <f aca="true" t="shared" si="21" ref="AT17:AU19">M17+Y17+AJ17+AM17+AO17+AR17</f>
        <v>3951.5000000000005</v>
      </c>
      <c r="AU17" s="3">
        <f t="shared" si="21"/>
        <v>2616.5</v>
      </c>
      <c r="AV17" s="14">
        <f t="shared" si="18"/>
        <v>66.21536125521953</v>
      </c>
      <c r="AW17" s="14">
        <f t="shared" si="19"/>
        <v>1335.0000000000005</v>
      </c>
      <c r="AX17" s="4">
        <f>C17+AT17-AU17</f>
        <v>7164.4</v>
      </c>
      <c r="AY17" s="20">
        <f t="shared" si="5"/>
        <v>1335.0000000000005</v>
      </c>
      <c r="AZ17" s="20">
        <f t="shared" si="1"/>
        <v>7164.4</v>
      </c>
    </row>
    <row r="18" spans="1:52" ht="24" customHeight="1">
      <c r="A18" s="6">
        <v>11</v>
      </c>
      <c r="B18" s="15" t="s">
        <v>106</v>
      </c>
      <c r="C18" s="2">
        <v>-39.9</v>
      </c>
      <c r="D18" s="3">
        <v>52.7</v>
      </c>
      <c r="E18" s="3">
        <v>1.5</v>
      </c>
      <c r="F18" s="14">
        <f t="shared" si="2"/>
        <v>2.846299810246679</v>
      </c>
      <c r="G18" s="3">
        <v>12</v>
      </c>
      <c r="H18" s="3">
        <v>0</v>
      </c>
      <c r="I18" s="14">
        <f t="shared" si="6"/>
        <v>0</v>
      </c>
      <c r="J18" s="3">
        <v>-3.5</v>
      </c>
      <c r="K18" s="3">
        <v>0</v>
      </c>
      <c r="L18" s="14">
        <f t="shared" si="7"/>
        <v>0</v>
      </c>
      <c r="M18" s="3">
        <f t="shared" si="8"/>
        <v>61.2</v>
      </c>
      <c r="N18" s="3">
        <f t="shared" si="9"/>
        <v>1.5</v>
      </c>
      <c r="O18" s="14">
        <f t="shared" si="3"/>
        <v>2.450980392156863</v>
      </c>
      <c r="P18" s="3">
        <v>-28.4</v>
      </c>
      <c r="Q18" s="3">
        <v>0</v>
      </c>
      <c r="R18" s="14">
        <f t="shared" si="10"/>
        <v>0</v>
      </c>
      <c r="S18" s="3">
        <v>22.5</v>
      </c>
      <c r="T18" s="3">
        <v>0</v>
      </c>
      <c r="U18" s="14">
        <f>T18/S18*100</f>
        <v>0</v>
      </c>
      <c r="V18" s="3">
        <v>0</v>
      </c>
      <c r="W18" s="3">
        <v>13.3</v>
      </c>
      <c r="X18" s="28" t="e">
        <f>W18/V18*100</f>
        <v>#DIV/0!</v>
      </c>
      <c r="Y18" s="3">
        <f t="shared" si="20"/>
        <v>-5.899999999999999</v>
      </c>
      <c r="Z18" s="3">
        <f t="shared" si="20"/>
        <v>13.3</v>
      </c>
      <c r="AA18" s="14">
        <f>Z18/Y18*100</f>
        <v>-225.4237288135594</v>
      </c>
      <c r="AB18" s="3">
        <v>0</v>
      </c>
      <c r="AC18" s="3">
        <v>0.2</v>
      </c>
      <c r="AD18" s="28" t="e">
        <f>AC18/AB18*100</f>
        <v>#DIV/0!</v>
      </c>
      <c r="AE18" s="3"/>
      <c r="AF18" s="3"/>
      <c r="AG18" s="28" t="e">
        <f>AF18/AE18*100</f>
        <v>#DIV/0!</v>
      </c>
      <c r="AH18" s="3"/>
      <c r="AI18" s="3"/>
      <c r="AJ18" s="3">
        <f t="shared" si="15"/>
        <v>0</v>
      </c>
      <c r="AK18" s="3">
        <f t="shared" si="16"/>
        <v>0.2</v>
      </c>
      <c r="AL18" s="14" t="e">
        <f>AK18/AJ18*100</f>
        <v>#DIV/0!</v>
      </c>
      <c r="AM18" s="3"/>
      <c r="AN18" s="3"/>
      <c r="AO18" s="3"/>
      <c r="AP18" s="3"/>
      <c r="AQ18" s="14" t="e">
        <f t="shared" si="4"/>
        <v>#DIV/0!</v>
      </c>
      <c r="AR18" s="3"/>
      <c r="AS18" s="3"/>
      <c r="AT18" s="3">
        <f t="shared" si="21"/>
        <v>55.300000000000004</v>
      </c>
      <c r="AU18" s="3">
        <f t="shared" si="21"/>
        <v>15</v>
      </c>
      <c r="AV18" s="14">
        <f t="shared" si="18"/>
        <v>27.124773960217</v>
      </c>
      <c r="AW18" s="14">
        <f t="shared" si="19"/>
        <v>40.300000000000004</v>
      </c>
      <c r="AX18" s="4">
        <f>C18+AT18-AU18</f>
        <v>0.4000000000000057</v>
      </c>
      <c r="AY18" s="20">
        <f t="shared" si="5"/>
        <v>40.300000000000004</v>
      </c>
      <c r="AZ18" s="20">
        <f t="shared" si="1"/>
        <v>0.4000000000000057</v>
      </c>
    </row>
    <row r="19" spans="1:52" ht="24" customHeight="1">
      <c r="A19" s="6">
        <v>12</v>
      </c>
      <c r="B19" s="1" t="s">
        <v>107</v>
      </c>
      <c r="C19" s="2">
        <v>2270.1</v>
      </c>
      <c r="D19" s="3">
        <v>783.3</v>
      </c>
      <c r="E19" s="3">
        <v>320</v>
      </c>
      <c r="F19" s="14">
        <f t="shared" si="2"/>
        <v>40.852802246904126</v>
      </c>
      <c r="G19" s="3">
        <v>900.4</v>
      </c>
      <c r="H19" s="3">
        <v>357.1</v>
      </c>
      <c r="I19" s="14">
        <f t="shared" si="6"/>
        <v>39.660151043980456</v>
      </c>
      <c r="J19" s="3">
        <v>758.1</v>
      </c>
      <c r="K19" s="3">
        <v>492.3</v>
      </c>
      <c r="L19" s="14">
        <f t="shared" si="7"/>
        <v>64.93866244558765</v>
      </c>
      <c r="M19" s="3">
        <f t="shared" si="8"/>
        <v>2441.7999999999997</v>
      </c>
      <c r="N19" s="3">
        <f t="shared" si="9"/>
        <v>1169.4</v>
      </c>
      <c r="O19" s="14">
        <f t="shared" si="3"/>
        <v>47.89090015562291</v>
      </c>
      <c r="P19" s="3">
        <v>-28.4</v>
      </c>
      <c r="Q19" s="3">
        <v>392.2</v>
      </c>
      <c r="R19" s="14">
        <f t="shared" si="10"/>
        <v>-1380.9859154929577</v>
      </c>
      <c r="S19" s="3">
        <v>594.9</v>
      </c>
      <c r="T19" s="3">
        <v>179.9</v>
      </c>
      <c r="U19" s="14">
        <f>T19/S19*100</f>
        <v>30.24037653387124</v>
      </c>
      <c r="V19" s="3">
        <v>-366.5</v>
      </c>
      <c r="W19" s="3">
        <v>230.9</v>
      </c>
      <c r="X19" s="14">
        <f>W19/V19*100</f>
        <v>-63.001364256480215</v>
      </c>
      <c r="Y19" s="3">
        <f t="shared" si="20"/>
        <v>200</v>
      </c>
      <c r="Z19" s="3">
        <f t="shared" si="20"/>
        <v>803</v>
      </c>
      <c r="AA19" s="14">
        <f>Z19/Y19*100</f>
        <v>401.49999999999994</v>
      </c>
      <c r="AB19" s="3">
        <v>12.9</v>
      </c>
      <c r="AC19" s="3">
        <v>159.8</v>
      </c>
      <c r="AD19" s="28">
        <f>AC19/AB19*100</f>
        <v>1238.7596899224807</v>
      </c>
      <c r="AE19" s="3"/>
      <c r="AF19" s="3"/>
      <c r="AG19" s="28" t="e">
        <f>AF19/AE19*100</f>
        <v>#DIV/0!</v>
      </c>
      <c r="AH19" s="3"/>
      <c r="AI19" s="3"/>
      <c r="AJ19" s="3">
        <f t="shared" si="15"/>
        <v>12.9</v>
      </c>
      <c r="AK19" s="3">
        <f t="shared" si="16"/>
        <v>159.8</v>
      </c>
      <c r="AL19" s="14">
        <f>AK19/AJ19*100</f>
        <v>1238.7596899224807</v>
      </c>
      <c r="AM19" s="3"/>
      <c r="AN19" s="3"/>
      <c r="AO19" s="3"/>
      <c r="AP19" s="3"/>
      <c r="AQ19" s="14" t="e">
        <f t="shared" si="4"/>
        <v>#DIV/0!</v>
      </c>
      <c r="AR19" s="3"/>
      <c r="AS19" s="3"/>
      <c r="AT19" s="3">
        <f t="shared" si="21"/>
        <v>2654.7</v>
      </c>
      <c r="AU19" s="3">
        <f t="shared" si="21"/>
        <v>2132.2000000000003</v>
      </c>
      <c r="AV19" s="14">
        <f t="shared" si="18"/>
        <v>80.31792669604853</v>
      </c>
      <c r="AW19" s="14">
        <f t="shared" si="19"/>
        <v>522.4999999999995</v>
      </c>
      <c r="AX19" s="4">
        <f>C19+AT19-AU19</f>
        <v>2792.599999999999</v>
      </c>
      <c r="AY19" s="20">
        <f t="shared" si="5"/>
        <v>522.4999999999995</v>
      </c>
      <c r="AZ19" s="20">
        <f t="shared" si="1"/>
        <v>2792.599999999999</v>
      </c>
    </row>
    <row r="20" spans="1:52" ht="24" customHeight="1">
      <c r="A20" s="6">
        <v>13</v>
      </c>
      <c r="B20" s="15" t="s">
        <v>108</v>
      </c>
      <c r="C20" s="2"/>
      <c r="D20" s="21"/>
      <c r="E20" s="21"/>
      <c r="F20" s="36" t="e">
        <f t="shared" si="2"/>
        <v>#DIV/0!</v>
      </c>
      <c r="G20" s="21"/>
      <c r="H20" s="21"/>
      <c r="I20" s="36" t="e">
        <f t="shared" si="6"/>
        <v>#DIV/0!</v>
      </c>
      <c r="J20" s="21"/>
      <c r="K20" s="21"/>
      <c r="L20" s="36" t="e">
        <f t="shared" si="7"/>
        <v>#DIV/0!</v>
      </c>
      <c r="M20" s="3"/>
      <c r="N20" s="3"/>
      <c r="O20" s="14"/>
      <c r="P20" s="21"/>
      <c r="Q20" s="21"/>
      <c r="R20" s="36"/>
      <c r="S20" s="21"/>
      <c r="T20" s="21"/>
      <c r="U20" s="36"/>
      <c r="V20" s="21"/>
      <c r="W20" s="21"/>
      <c r="X20" s="36"/>
      <c r="Y20" s="3"/>
      <c r="Z20" s="3"/>
      <c r="AA20" s="14"/>
      <c r="AB20" s="21"/>
      <c r="AC20" s="21"/>
      <c r="AD20" s="28"/>
      <c r="AE20" s="21"/>
      <c r="AF20" s="21"/>
      <c r="AG20" s="28"/>
      <c r="AH20" s="21"/>
      <c r="AI20" s="21"/>
      <c r="AJ20" s="3"/>
      <c r="AK20" s="3"/>
      <c r="AL20" s="14"/>
      <c r="AM20" s="21"/>
      <c r="AN20" s="21"/>
      <c r="AO20" s="21"/>
      <c r="AP20" s="21"/>
      <c r="AQ20" s="14"/>
      <c r="AR20" s="21"/>
      <c r="AS20" s="21"/>
      <c r="AT20" s="3"/>
      <c r="AU20" s="3"/>
      <c r="AV20" s="36" t="e">
        <f t="shared" si="18"/>
        <v>#DIV/0!</v>
      </c>
      <c r="AW20" s="14"/>
      <c r="AX20" s="4"/>
      <c r="AY20" s="20">
        <f t="shared" si="5"/>
        <v>0</v>
      </c>
      <c r="AZ20" s="20">
        <f t="shared" si="1"/>
        <v>0</v>
      </c>
    </row>
    <row r="21" spans="1:52" ht="24" customHeight="1">
      <c r="A21" s="6">
        <v>14</v>
      </c>
      <c r="B21" s="15" t="s">
        <v>109</v>
      </c>
      <c r="C21" s="2">
        <v>3.1</v>
      </c>
      <c r="D21" s="21"/>
      <c r="E21" s="21"/>
      <c r="F21" s="36" t="e">
        <f t="shared" si="2"/>
        <v>#DIV/0!</v>
      </c>
      <c r="G21" s="21"/>
      <c r="H21" s="21"/>
      <c r="I21" s="36" t="e">
        <f t="shared" si="6"/>
        <v>#DIV/0!</v>
      </c>
      <c r="J21" s="21"/>
      <c r="K21" s="21"/>
      <c r="L21" s="36" t="e">
        <f t="shared" si="7"/>
        <v>#DIV/0!</v>
      </c>
      <c r="M21" s="3"/>
      <c r="N21" s="3"/>
      <c r="O21" s="14"/>
      <c r="P21" s="21"/>
      <c r="Q21" s="21"/>
      <c r="R21" s="36"/>
      <c r="S21" s="21"/>
      <c r="T21" s="21"/>
      <c r="U21" s="36"/>
      <c r="V21" s="21"/>
      <c r="W21" s="21"/>
      <c r="X21" s="36"/>
      <c r="Y21" s="3"/>
      <c r="Z21" s="3"/>
      <c r="AA21" s="14"/>
      <c r="AB21" s="21"/>
      <c r="AC21" s="21"/>
      <c r="AD21" s="28"/>
      <c r="AE21" s="21"/>
      <c r="AF21" s="21"/>
      <c r="AG21" s="28"/>
      <c r="AH21" s="21"/>
      <c r="AI21" s="21"/>
      <c r="AJ21" s="3"/>
      <c r="AK21" s="3"/>
      <c r="AL21" s="14"/>
      <c r="AM21" s="21"/>
      <c r="AN21" s="21"/>
      <c r="AO21" s="21"/>
      <c r="AP21" s="21"/>
      <c r="AQ21" s="14"/>
      <c r="AR21" s="21"/>
      <c r="AS21" s="21"/>
      <c r="AT21" s="3"/>
      <c r="AU21" s="3"/>
      <c r="AV21" s="36" t="e">
        <f t="shared" si="18"/>
        <v>#DIV/0!</v>
      </c>
      <c r="AW21" s="14">
        <f t="shared" si="19"/>
        <v>0</v>
      </c>
      <c r="AX21" s="4">
        <f>C21+AT21-AU21</f>
        <v>3.1</v>
      </c>
      <c r="AY21" s="20">
        <f t="shared" si="5"/>
        <v>0</v>
      </c>
      <c r="AZ21" s="20">
        <f t="shared" si="1"/>
        <v>3.1</v>
      </c>
    </row>
    <row r="22" spans="1:52" ht="29.25" customHeight="1">
      <c r="A22" s="6">
        <v>15</v>
      </c>
      <c r="B22" s="15" t="s">
        <v>110</v>
      </c>
      <c r="C22" s="2"/>
      <c r="D22" s="21"/>
      <c r="E22" s="21"/>
      <c r="F22" s="36" t="e">
        <f t="shared" si="2"/>
        <v>#DIV/0!</v>
      </c>
      <c r="G22" s="21"/>
      <c r="H22" s="21"/>
      <c r="I22" s="36" t="e">
        <f>H22/G22*100</f>
        <v>#DIV/0!</v>
      </c>
      <c r="J22" s="21"/>
      <c r="K22" s="21"/>
      <c r="L22" s="36" t="e">
        <f>K22/J22*100</f>
        <v>#DIV/0!</v>
      </c>
      <c r="M22" s="3"/>
      <c r="N22" s="3"/>
      <c r="O22" s="14"/>
      <c r="P22" s="21"/>
      <c r="Q22" s="21"/>
      <c r="R22" s="36"/>
      <c r="S22" s="21"/>
      <c r="T22" s="21"/>
      <c r="U22" s="36"/>
      <c r="V22" s="21"/>
      <c r="W22" s="21"/>
      <c r="X22" s="36"/>
      <c r="Y22" s="3"/>
      <c r="Z22" s="3"/>
      <c r="AA22" s="14"/>
      <c r="AB22" s="21"/>
      <c r="AC22" s="21"/>
      <c r="AD22" s="28"/>
      <c r="AE22" s="21"/>
      <c r="AF22" s="21"/>
      <c r="AG22" s="28"/>
      <c r="AH22" s="21"/>
      <c r="AI22" s="21"/>
      <c r="AJ22" s="3"/>
      <c r="AK22" s="3"/>
      <c r="AL22" s="14"/>
      <c r="AM22" s="21"/>
      <c r="AN22" s="21"/>
      <c r="AO22" s="21"/>
      <c r="AP22" s="21"/>
      <c r="AQ22" s="14"/>
      <c r="AR22" s="21"/>
      <c r="AS22" s="21"/>
      <c r="AT22" s="3"/>
      <c r="AU22" s="3"/>
      <c r="AV22" s="36" t="e">
        <f t="shared" si="18"/>
        <v>#DIV/0!</v>
      </c>
      <c r="AW22" s="14"/>
      <c r="AX22" s="4"/>
      <c r="AY22" s="20">
        <f t="shared" si="5"/>
        <v>0</v>
      </c>
      <c r="AZ22" s="20">
        <f t="shared" si="1"/>
        <v>0</v>
      </c>
    </row>
    <row r="23" spans="1:52" ht="24" customHeight="1">
      <c r="A23" s="6">
        <v>16</v>
      </c>
      <c r="B23" s="15" t="s">
        <v>29</v>
      </c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3"/>
      <c r="N23" s="3"/>
      <c r="O23" s="14"/>
      <c r="P23" s="90"/>
      <c r="Q23" s="90"/>
      <c r="R23" s="90"/>
      <c r="S23" s="90"/>
      <c r="T23" s="90"/>
      <c r="U23" s="90"/>
      <c r="V23" s="90"/>
      <c r="W23" s="90"/>
      <c r="X23" s="90"/>
      <c r="Y23" s="3"/>
      <c r="Z23" s="3"/>
      <c r="AA23" s="14"/>
      <c r="AB23" s="90"/>
      <c r="AC23" s="90"/>
      <c r="AD23" s="110"/>
      <c r="AE23" s="90"/>
      <c r="AF23" s="90"/>
      <c r="AG23" s="110"/>
      <c r="AH23" s="90"/>
      <c r="AI23" s="90"/>
      <c r="AJ23" s="3"/>
      <c r="AK23" s="3"/>
      <c r="AL23" s="14"/>
      <c r="AM23" s="90"/>
      <c r="AN23" s="90"/>
      <c r="AO23" s="90"/>
      <c r="AP23" s="90"/>
      <c r="AQ23" s="14"/>
      <c r="AR23" s="90"/>
      <c r="AS23" s="90"/>
      <c r="AT23" s="3"/>
      <c r="AU23" s="3"/>
      <c r="AV23" s="90"/>
      <c r="AW23" s="14"/>
      <c r="AX23" s="4"/>
      <c r="AY23" s="20">
        <f t="shared" si="5"/>
        <v>0</v>
      </c>
      <c r="AZ23" s="20">
        <f t="shared" si="1"/>
        <v>0</v>
      </c>
    </row>
    <row r="24" spans="1:52" ht="27" customHeight="1">
      <c r="A24" s="6">
        <v>17</v>
      </c>
      <c r="B24" s="15" t="s">
        <v>111</v>
      </c>
      <c r="C24" s="2">
        <v>5165.6</v>
      </c>
      <c r="D24" s="3">
        <v>5190.1</v>
      </c>
      <c r="E24" s="3">
        <v>2226.3</v>
      </c>
      <c r="F24" s="14">
        <f t="shared" si="2"/>
        <v>42.89512726151712</v>
      </c>
      <c r="G24" s="3">
        <v>4767.6</v>
      </c>
      <c r="H24" s="3">
        <v>2638.8</v>
      </c>
      <c r="I24" s="14">
        <f>H24/G24*100</f>
        <v>55.34860307072741</v>
      </c>
      <c r="J24" s="3">
        <v>4410.7</v>
      </c>
      <c r="K24" s="3">
        <v>3167.5</v>
      </c>
      <c r="L24" s="14">
        <f>K24/J24*100</f>
        <v>71.81399777813046</v>
      </c>
      <c r="M24" s="3">
        <f t="shared" si="8"/>
        <v>14368.400000000001</v>
      </c>
      <c r="N24" s="3">
        <f t="shared" si="9"/>
        <v>8032.6</v>
      </c>
      <c r="O24" s="14">
        <f t="shared" si="3"/>
        <v>55.90462403607918</v>
      </c>
      <c r="P24" s="3">
        <v>-11.8</v>
      </c>
      <c r="Q24" s="3">
        <v>2393</v>
      </c>
      <c r="R24" s="14">
        <f>Q24/P24*100</f>
        <v>-20279.66101694915</v>
      </c>
      <c r="S24" s="3">
        <v>168.1</v>
      </c>
      <c r="T24" s="3">
        <v>1824.3</v>
      </c>
      <c r="U24" s="14">
        <f>T24/S24*100</f>
        <v>1085.2468768590124</v>
      </c>
      <c r="V24" s="3">
        <v>-1.3</v>
      </c>
      <c r="W24" s="3">
        <v>864.8</v>
      </c>
      <c r="X24" s="14">
        <f>W24/V24*100</f>
        <v>-66523.07692307692</v>
      </c>
      <c r="Y24" s="3">
        <f>P24+S24+V24</f>
        <v>154.99999999999997</v>
      </c>
      <c r="Z24" s="3">
        <f>Q24+T24+W24</f>
        <v>5082.1</v>
      </c>
      <c r="AA24" s="14">
        <f>Z24/Y24*100</f>
        <v>3278.7741935483878</v>
      </c>
      <c r="AB24" s="3">
        <v>-0.8</v>
      </c>
      <c r="AC24" s="3">
        <v>839</v>
      </c>
      <c r="AD24" s="28">
        <f>AC24/AB24*100</f>
        <v>-104875</v>
      </c>
      <c r="AE24" s="3"/>
      <c r="AF24" s="3"/>
      <c r="AG24" s="28" t="e">
        <f>AF24/AE24*100</f>
        <v>#DIV/0!</v>
      </c>
      <c r="AH24" s="3"/>
      <c r="AI24" s="3"/>
      <c r="AJ24" s="3">
        <f t="shared" si="15"/>
        <v>-0.8</v>
      </c>
      <c r="AK24" s="3">
        <f t="shared" si="16"/>
        <v>839</v>
      </c>
      <c r="AL24" s="14">
        <f>AK24/AJ24*100</f>
        <v>-104875</v>
      </c>
      <c r="AM24" s="3"/>
      <c r="AN24" s="3"/>
      <c r="AO24" s="3"/>
      <c r="AP24" s="3"/>
      <c r="AQ24" s="14" t="e">
        <f t="shared" si="4"/>
        <v>#DIV/0!</v>
      </c>
      <c r="AR24" s="3"/>
      <c r="AS24" s="3"/>
      <c r="AT24" s="3">
        <f>M24+Y24+AJ24+AM24+AO24+AR24</f>
        <v>14522.600000000002</v>
      </c>
      <c r="AU24" s="3">
        <f>N24+Z24+AK24+AN24+AP24+AS24</f>
        <v>13953.7</v>
      </c>
      <c r="AV24" s="14">
        <f>AU24/AT24*100</f>
        <v>96.0826573754011</v>
      </c>
      <c r="AW24" s="14">
        <f t="shared" si="19"/>
        <v>568.9000000000015</v>
      </c>
      <c r="AX24" s="4">
        <f>C24+AT24-AU24</f>
        <v>5734.500000000004</v>
      </c>
      <c r="AY24" s="20">
        <f t="shared" si="5"/>
        <v>568.9000000000015</v>
      </c>
      <c r="AZ24" s="20">
        <f t="shared" si="1"/>
        <v>5734.500000000004</v>
      </c>
    </row>
    <row r="25" spans="1:52" ht="27" customHeight="1">
      <c r="A25" s="6">
        <v>18</v>
      </c>
      <c r="B25" s="1" t="s">
        <v>112</v>
      </c>
      <c r="C25" s="2"/>
      <c r="D25" s="21"/>
      <c r="E25" s="21"/>
      <c r="F25" s="36" t="e">
        <f t="shared" si="2"/>
        <v>#DIV/0!</v>
      </c>
      <c r="G25" s="21"/>
      <c r="H25" s="21"/>
      <c r="I25" s="36" t="e">
        <f>H25/G25*100</f>
        <v>#DIV/0!</v>
      </c>
      <c r="J25" s="21"/>
      <c r="K25" s="21"/>
      <c r="L25" s="36" t="e">
        <f>K25/J25*100</f>
        <v>#DIV/0!</v>
      </c>
      <c r="M25" s="3"/>
      <c r="N25" s="3"/>
      <c r="O25" s="14"/>
      <c r="P25" s="21"/>
      <c r="Q25" s="21"/>
      <c r="R25" s="36"/>
      <c r="S25" s="21"/>
      <c r="T25" s="21"/>
      <c r="U25" s="36"/>
      <c r="V25" s="21"/>
      <c r="W25" s="21"/>
      <c r="X25" s="36"/>
      <c r="Y25" s="3"/>
      <c r="Z25" s="3"/>
      <c r="AA25" s="14"/>
      <c r="AB25" s="21"/>
      <c r="AC25" s="21"/>
      <c r="AD25" s="28"/>
      <c r="AE25" s="21"/>
      <c r="AF25" s="21"/>
      <c r="AG25" s="28"/>
      <c r="AH25" s="21"/>
      <c r="AI25" s="21"/>
      <c r="AJ25" s="3"/>
      <c r="AK25" s="3"/>
      <c r="AL25" s="14"/>
      <c r="AM25" s="21"/>
      <c r="AN25" s="21"/>
      <c r="AO25" s="21"/>
      <c r="AP25" s="21"/>
      <c r="AQ25" s="14"/>
      <c r="AR25" s="21"/>
      <c r="AS25" s="21"/>
      <c r="AT25" s="3"/>
      <c r="AU25" s="3"/>
      <c r="AV25" s="36"/>
      <c r="AW25" s="14"/>
      <c r="AX25" s="4"/>
      <c r="AY25" s="20">
        <f t="shared" si="5"/>
        <v>0</v>
      </c>
      <c r="AZ25" s="20">
        <f t="shared" si="1"/>
        <v>0</v>
      </c>
    </row>
    <row r="26" spans="1:52" ht="24" customHeight="1">
      <c r="A26" s="6">
        <v>19</v>
      </c>
      <c r="B26" s="15" t="s">
        <v>113</v>
      </c>
      <c r="C26" s="2">
        <f>1615.9+187</f>
        <v>1802.9</v>
      </c>
      <c r="D26" s="3">
        <v>385.9</v>
      </c>
      <c r="E26" s="3">
        <v>91.5</v>
      </c>
      <c r="F26" s="14">
        <f t="shared" si="2"/>
        <v>23.71080590826639</v>
      </c>
      <c r="G26" s="3">
        <v>407.9</v>
      </c>
      <c r="H26" s="3">
        <v>133.2</v>
      </c>
      <c r="I26" s="14">
        <f>H26/G26*100</f>
        <v>32.65506251532238</v>
      </c>
      <c r="J26" s="3">
        <v>319.9</v>
      </c>
      <c r="K26" s="3">
        <v>155.5</v>
      </c>
      <c r="L26" s="14">
        <f>K26/J26*100</f>
        <v>48.608940293841826</v>
      </c>
      <c r="M26" s="3">
        <f t="shared" si="8"/>
        <v>1113.6999999999998</v>
      </c>
      <c r="N26" s="3">
        <f t="shared" si="9"/>
        <v>380.2</v>
      </c>
      <c r="O26" s="14">
        <f t="shared" si="3"/>
        <v>34.138457394271356</v>
      </c>
      <c r="P26" s="3">
        <v>16.3</v>
      </c>
      <c r="Q26" s="3">
        <v>128.6</v>
      </c>
      <c r="R26" s="14">
        <f>Q26/P26*100</f>
        <v>788.9570552147239</v>
      </c>
      <c r="S26" s="3">
        <v>5.7</v>
      </c>
      <c r="T26" s="3">
        <v>64.8</v>
      </c>
      <c r="U26" s="14">
        <f>T26/S26*100</f>
        <v>1136.842105263158</v>
      </c>
      <c r="V26" s="3">
        <v>-0.4</v>
      </c>
      <c r="W26" s="3">
        <v>59.8</v>
      </c>
      <c r="X26" s="28">
        <f>W26/V26*100</f>
        <v>-14949.999999999996</v>
      </c>
      <c r="Y26" s="3">
        <f>P26+S26+V26</f>
        <v>21.6</v>
      </c>
      <c r="Z26" s="3">
        <f>Q26+T26+W26</f>
        <v>253.2</v>
      </c>
      <c r="AA26" s="14">
        <f>Z26/Y26*100</f>
        <v>1172.2222222222222</v>
      </c>
      <c r="AB26" s="3">
        <v>0</v>
      </c>
      <c r="AC26" s="3">
        <v>49.5</v>
      </c>
      <c r="AD26" s="28" t="e">
        <f>AC26/AB26*100</f>
        <v>#DIV/0!</v>
      </c>
      <c r="AE26" s="3"/>
      <c r="AF26" s="3"/>
      <c r="AG26" s="28" t="e">
        <f>AF26/AE26*100</f>
        <v>#DIV/0!</v>
      </c>
      <c r="AH26" s="3"/>
      <c r="AI26" s="3"/>
      <c r="AJ26" s="3">
        <f t="shared" si="15"/>
        <v>0</v>
      </c>
      <c r="AK26" s="3">
        <f t="shared" si="16"/>
        <v>49.5</v>
      </c>
      <c r="AL26" s="14" t="e">
        <f aca="true" t="shared" si="22" ref="AL26:AL36">AK26/AJ26*100</f>
        <v>#DIV/0!</v>
      </c>
      <c r="AM26" s="3"/>
      <c r="AN26" s="3"/>
      <c r="AO26" s="3"/>
      <c r="AP26" s="3"/>
      <c r="AQ26" s="14" t="e">
        <f t="shared" si="4"/>
        <v>#DIV/0!</v>
      </c>
      <c r="AR26" s="3"/>
      <c r="AS26" s="3"/>
      <c r="AT26" s="3">
        <f>M26+Y26+AJ26+AM26+AO26+AR26</f>
        <v>1135.2999999999997</v>
      </c>
      <c r="AU26" s="3">
        <f>N26+Z26+AK26+AN26+AP26+AS26</f>
        <v>682.9</v>
      </c>
      <c r="AV26" s="14">
        <f>AU26/AT26*100</f>
        <v>60.15150180569013</v>
      </c>
      <c r="AW26" s="14">
        <f t="shared" si="19"/>
        <v>452.39999999999975</v>
      </c>
      <c r="AX26" s="4">
        <f>C26+AT26-AU26</f>
        <v>2255.2999999999997</v>
      </c>
      <c r="AY26" s="20">
        <f t="shared" si="5"/>
        <v>452.39999999999975</v>
      </c>
      <c r="AZ26" s="20">
        <f t="shared" si="1"/>
        <v>2255.2999999999997</v>
      </c>
    </row>
    <row r="27" spans="1:52" ht="25.5" customHeight="1">
      <c r="A27" s="6">
        <v>20</v>
      </c>
      <c r="B27" s="15" t="s">
        <v>114</v>
      </c>
      <c r="C27" s="2">
        <v>2228.5</v>
      </c>
      <c r="D27" s="3">
        <v>1406.9</v>
      </c>
      <c r="E27" s="3">
        <v>381.9</v>
      </c>
      <c r="F27" s="14">
        <f t="shared" si="2"/>
        <v>27.14478640983723</v>
      </c>
      <c r="G27" s="3">
        <v>1067.9</v>
      </c>
      <c r="H27" s="3">
        <v>465.4</v>
      </c>
      <c r="I27" s="14">
        <f>H27/G27*100</f>
        <v>43.58085963105159</v>
      </c>
      <c r="J27" s="3">
        <v>1637.8</v>
      </c>
      <c r="K27" s="3">
        <v>393.1</v>
      </c>
      <c r="L27" s="14">
        <f>K27/J27*100</f>
        <v>24.001709610453048</v>
      </c>
      <c r="M27" s="3">
        <f t="shared" si="8"/>
        <v>4112.6</v>
      </c>
      <c r="N27" s="3">
        <f t="shared" si="9"/>
        <v>1240.4</v>
      </c>
      <c r="O27" s="14">
        <f t="shared" si="3"/>
        <v>30.160968730243642</v>
      </c>
      <c r="P27" s="3">
        <v>636</v>
      </c>
      <c r="Q27" s="3">
        <v>373.8</v>
      </c>
      <c r="R27" s="14">
        <f>Q27/P27*100</f>
        <v>58.77358490566038</v>
      </c>
      <c r="S27" s="3">
        <v>0</v>
      </c>
      <c r="T27" s="3">
        <v>682.1</v>
      </c>
      <c r="U27" s="28" t="e">
        <f>T27/S27*100</f>
        <v>#DIV/0!</v>
      </c>
      <c r="V27" s="3">
        <v>0</v>
      </c>
      <c r="W27" s="3">
        <v>97.9</v>
      </c>
      <c r="X27" s="28" t="e">
        <f>W27/V27*100</f>
        <v>#DIV/0!</v>
      </c>
      <c r="Y27" s="3">
        <f>P27+S27+V27</f>
        <v>636</v>
      </c>
      <c r="Z27" s="3">
        <f>Q27+T27+W27</f>
        <v>1153.8000000000002</v>
      </c>
      <c r="AA27" s="14">
        <f>Z27/Y27*100</f>
        <v>181.41509433962267</v>
      </c>
      <c r="AB27" s="3">
        <v>0</v>
      </c>
      <c r="AC27" s="3">
        <v>124.7</v>
      </c>
      <c r="AD27" s="28" t="e">
        <f>AC27/AB27*100</f>
        <v>#DIV/0!</v>
      </c>
      <c r="AE27" s="3"/>
      <c r="AF27" s="3"/>
      <c r="AG27" s="28" t="e">
        <f>AF27/AE27*100</f>
        <v>#DIV/0!</v>
      </c>
      <c r="AH27" s="3"/>
      <c r="AI27" s="3"/>
      <c r="AJ27" s="3">
        <f t="shared" si="15"/>
        <v>0</v>
      </c>
      <c r="AK27" s="3">
        <f t="shared" si="16"/>
        <v>124.7</v>
      </c>
      <c r="AL27" s="14" t="e">
        <f t="shared" si="22"/>
        <v>#DIV/0!</v>
      </c>
      <c r="AM27" s="3"/>
      <c r="AN27" s="3"/>
      <c r="AO27" s="3"/>
      <c r="AP27" s="3"/>
      <c r="AQ27" s="14" t="e">
        <f t="shared" si="4"/>
        <v>#DIV/0!</v>
      </c>
      <c r="AR27" s="3"/>
      <c r="AS27" s="3"/>
      <c r="AT27" s="3">
        <f>M27+Y27+AJ27+AM27+AO27+AR27</f>
        <v>4748.6</v>
      </c>
      <c r="AU27" s="3">
        <f>N27+Z27+AK27+AN27+AP27+AS27</f>
        <v>2518.9</v>
      </c>
      <c r="AV27" s="14">
        <f>AU27/AT27*100</f>
        <v>53.04510803184096</v>
      </c>
      <c r="AW27" s="14">
        <f t="shared" si="19"/>
        <v>2229.7000000000003</v>
      </c>
      <c r="AX27" s="4">
        <f>C27+AT27-AU27</f>
        <v>4458.200000000001</v>
      </c>
      <c r="AY27" s="20">
        <f t="shared" si="5"/>
        <v>2229.7000000000003</v>
      </c>
      <c r="AZ27" s="20">
        <f t="shared" si="1"/>
        <v>4458.200000000001</v>
      </c>
    </row>
    <row r="28" spans="1:52" ht="28.5" customHeight="1">
      <c r="A28" s="6">
        <v>21</v>
      </c>
      <c r="B28" s="1" t="s">
        <v>97</v>
      </c>
      <c r="C28" s="37"/>
      <c r="D28" s="44"/>
      <c r="E28" s="44"/>
      <c r="F28" s="14"/>
      <c r="G28" s="21"/>
      <c r="H28" s="21"/>
      <c r="I28" s="36" t="e">
        <f>H28/G28*100</f>
        <v>#DIV/0!</v>
      </c>
      <c r="J28" s="21"/>
      <c r="K28" s="21"/>
      <c r="L28" s="36" t="e">
        <f>K28/J28*100</f>
        <v>#DIV/0!</v>
      </c>
      <c r="M28" s="3"/>
      <c r="N28" s="3"/>
      <c r="O28" s="14"/>
      <c r="P28" s="21"/>
      <c r="Q28" s="21"/>
      <c r="R28" s="36"/>
      <c r="S28" s="21"/>
      <c r="T28" s="21"/>
      <c r="U28" s="36"/>
      <c r="V28" s="21"/>
      <c r="W28" s="21"/>
      <c r="X28" s="36"/>
      <c r="Y28" s="3"/>
      <c r="Z28" s="3"/>
      <c r="AA28" s="14"/>
      <c r="AB28" s="21"/>
      <c r="AC28" s="21"/>
      <c r="AD28" s="28"/>
      <c r="AE28" s="21"/>
      <c r="AF28" s="21"/>
      <c r="AG28" s="28"/>
      <c r="AH28" s="21"/>
      <c r="AI28" s="21"/>
      <c r="AJ28" s="3">
        <f aca="true" t="shared" si="23" ref="AJ28:AK32">AB28+AE28+AH28</f>
        <v>0</v>
      </c>
      <c r="AK28" s="3">
        <f t="shared" si="23"/>
        <v>0</v>
      </c>
      <c r="AL28" s="14" t="e">
        <f t="shared" si="22"/>
        <v>#DIV/0!</v>
      </c>
      <c r="AM28" s="21"/>
      <c r="AN28" s="21"/>
      <c r="AO28" s="21"/>
      <c r="AP28" s="21"/>
      <c r="AQ28" s="14"/>
      <c r="AR28" s="21"/>
      <c r="AS28" s="21"/>
      <c r="AT28" s="3"/>
      <c r="AU28" s="3"/>
      <c r="AV28" s="14"/>
      <c r="AW28" s="14"/>
      <c r="AX28" s="4"/>
      <c r="AY28" s="20">
        <f t="shared" si="5"/>
        <v>0</v>
      </c>
      <c r="AZ28" s="20">
        <f t="shared" si="1"/>
        <v>0</v>
      </c>
    </row>
    <row r="29" spans="1:52" ht="24" customHeight="1">
      <c r="A29" s="6">
        <v>22</v>
      </c>
      <c r="B29" s="1" t="s">
        <v>31</v>
      </c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3"/>
      <c r="N29" s="3"/>
      <c r="O29" s="14"/>
      <c r="P29" s="46"/>
      <c r="Q29" s="46"/>
      <c r="R29" s="46"/>
      <c r="S29" s="46"/>
      <c r="T29" s="46"/>
      <c r="U29" s="46"/>
      <c r="V29" s="46"/>
      <c r="W29" s="46"/>
      <c r="X29" s="46"/>
      <c r="Y29" s="3"/>
      <c r="Z29" s="3"/>
      <c r="AA29" s="14"/>
      <c r="AB29" s="46"/>
      <c r="AC29" s="46"/>
      <c r="AD29" s="111"/>
      <c r="AE29" s="46"/>
      <c r="AF29" s="46"/>
      <c r="AG29" s="111"/>
      <c r="AH29" s="46"/>
      <c r="AI29" s="46"/>
      <c r="AJ29" s="3">
        <f t="shared" si="23"/>
        <v>0</v>
      </c>
      <c r="AK29" s="3">
        <f t="shared" si="23"/>
        <v>0</v>
      </c>
      <c r="AL29" s="14" t="e">
        <f t="shared" si="22"/>
        <v>#DIV/0!</v>
      </c>
      <c r="AM29" s="46"/>
      <c r="AN29" s="46"/>
      <c r="AO29" s="46"/>
      <c r="AP29" s="46"/>
      <c r="AQ29" s="14"/>
      <c r="AR29" s="46"/>
      <c r="AS29" s="46"/>
      <c r="AT29" s="3"/>
      <c r="AU29" s="3"/>
      <c r="AV29" s="46"/>
      <c r="AW29" s="14"/>
      <c r="AX29" s="4"/>
      <c r="AY29" s="20">
        <f t="shared" si="5"/>
        <v>0</v>
      </c>
      <c r="AZ29" s="20">
        <f t="shared" si="1"/>
        <v>0</v>
      </c>
    </row>
    <row r="30" spans="1:52" ht="24" customHeight="1">
      <c r="A30" s="6">
        <v>23</v>
      </c>
      <c r="B30" s="15" t="s">
        <v>32</v>
      </c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3"/>
      <c r="N30" s="3"/>
      <c r="O30" s="14"/>
      <c r="P30" s="46"/>
      <c r="Q30" s="46"/>
      <c r="R30" s="46"/>
      <c r="S30" s="46"/>
      <c r="T30" s="46"/>
      <c r="U30" s="46"/>
      <c r="V30" s="46"/>
      <c r="W30" s="46"/>
      <c r="X30" s="46"/>
      <c r="Y30" s="3"/>
      <c r="Z30" s="3"/>
      <c r="AA30" s="14"/>
      <c r="AB30" s="46"/>
      <c r="AC30" s="46"/>
      <c r="AD30" s="111"/>
      <c r="AE30" s="46"/>
      <c r="AF30" s="46"/>
      <c r="AG30" s="111"/>
      <c r="AH30" s="46"/>
      <c r="AI30" s="46"/>
      <c r="AJ30" s="3">
        <f t="shared" si="23"/>
        <v>0</v>
      </c>
      <c r="AK30" s="3">
        <f t="shared" si="23"/>
        <v>0</v>
      </c>
      <c r="AL30" s="14" t="e">
        <f t="shared" si="22"/>
        <v>#DIV/0!</v>
      </c>
      <c r="AM30" s="46"/>
      <c r="AN30" s="46"/>
      <c r="AO30" s="46"/>
      <c r="AP30" s="46"/>
      <c r="AQ30" s="14"/>
      <c r="AR30" s="46"/>
      <c r="AS30" s="46"/>
      <c r="AT30" s="3"/>
      <c r="AU30" s="3"/>
      <c r="AV30" s="46"/>
      <c r="AW30" s="14"/>
      <c r="AX30" s="4"/>
      <c r="AY30" s="20">
        <f t="shared" si="5"/>
        <v>0</v>
      </c>
      <c r="AZ30" s="20">
        <f t="shared" si="1"/>
        <v>0</v>
      </c>
    </row>
    <row r="31" spans="1:52" ht="24" customHeight="1">
      <c r="A31" s="6">
        <v>24</v>
      </c>
      <c r="B31" s="15" t="s">
        <v>33</v>
      </c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3"/>
      <c r="N31" s="3"/>
      <c r="O31" s="14"/>
      <c r="P31" s="46"/>
      <c r="Q31" s="46"/>
      <c r="R31" s="46"/>
      <c r="S31" s="46"/>
      <c r="T31" s="46"/>
      <c r="U31" s="46"/>
      <c r="V31" s="46"/>
      <c r="W31" s="46"/>
      <c r="X31" s="46"/>
      <c r="Y31" s="3"/>
      <c r="Z31" s="3"/>
      <c r="AA31" s="14"/>
      <c r="AB31" s="46"/>
      <c r="AC31" s="46"/>
      <c r="AD31" s="111"/>
      <c r="AE31" s="46"/>
      <c r="AF31" s="46"/>
      <c r="AG31" s="111"/>
      <c r="AH31" s="46"/>
      <c r="AI31" s="46"/>
      <c r="AJ31" s="3">
        <f t="shared" si="23"/>
        <v>0</v>
      </c>
      <c r="AK31" s="3">
        <f t="shared" si="23"/>
        <v>0</v>
      </c>
      <c r="AL31" s="14" t="e">
        <f t="shared" si="22"/>
        <v>#DIV/0!</v>
      </c>
      <c r="AM31" s="46"/>
      <c r="AN31" s="46"/>
      <c r="AO31" s="46"/>
      <c r="AP31" s="46"/>
      <c r="AQ31" s="14"/>
      <c r="AR31" s="46"/>
      <c r="AS31" s="46"/>
      <c r="AT31" s="3"/>
      <c r="AU31" s="3"/>
      <c r="AV31" s="46"/>
      <c r="AW31" s="14"/>
      <c r="AX31" s="4"/>
      <c r="AY31" s="20">
        <f t="shared" si="5"/>
        <v>0</v>
      </c>
      <c r="AZ31" s="20">
        <f t="shared" si="1"/>
        <v>0</v>
      </c>
    </row>
    <row r="32" spans="1:52" ht="24" customHeight="1">
      <c r="A32" s="6">
        <v>25</v>
      </c>
      <c r="B32" s="15" t="s">
        <v>34</v>
      </c>
      <c r="C32" s="2"/>
      <c r="D32" s="21"/>
      <c r="E32" s="21"/>
      <c r="F32" s="36"/>
      <c r="G32" s="21"/>
      <c r="H32" s="21"/>
      <c r="I32" s="36"/>
      <c r="J32" s="21"/>
      <c r="K32" s="21"/>
      <c r="L32" s="36"/>
      <c r="M32" s="3"/>
      <c r="N32" s="3"/>
      <c r="O32" s="14"/>
      <c r="P32" s="21"/>
      <c r="Q32" s="21"/>
      <c r="R32" s="36"/>
      <c r="S32" s="21"/>
      <c r="T32" s="21"/>
      <c r="U32" s="36"/>
      <c r="V32" s="21"/>
      <c r="W32" s="21"/>
      <c r="X32" s="36"/>
      <c r="Y32" s="3"/>
      <c r="Z32" s="3"/>
      <c r="AA32" s="14"/>
      <c r="AB32" s="21"/>
      <c r="AC32" s="21"/>
      <c r="AD32" s="28"/>
      <c r="AE32" s="21"/>
      <c r="AF32" s="21"/>
      <c r="AG32" s="28"/>
      <c r="AH32" s="21"/>
      <c r="AI32" s="21"/>
      <c r="AJ32" s="3">
        <f t="shared" si="23"/>
        <v>0</v>
      </c>
      <c r="AK32" s="3">
        <f t="shared" si="23"/>
        <v>0</v>
      </c>
      <c r="AL32" s="14" t="e">
        <f t="shared" si="22"/>
        <v>#DIV/0!</v>
      </c>
      <c r="AM32" s="21"/>
      <c r="AN32" s="21"/>
      <c r="AO32" s="21"/>
      <c r="AP32" s="21"/>
      <c r="AQ32" s="14"/>
      <c r="AR32" s="21"/>
      <c r="AS32" s="21"/>
      <c r="AT32" s="3"/>
      <c r="AU32" s="3"/>
      <c r="AV32" s="36"/>
      <c r="AW32" s="14"/>
      <c r="AX32" s="4"/>
      <c r="AY32" s="20">
        <f t="shared" si="5"/>
        <v>0</v>
      </c>
      <c r="AZ32" s="20">
        <f t="shared" si="1"/>
        <v>0</v>
      </c>
    </row>
    <row r="33" spans="1:52" ht="24" customHeight="1">
      <c r="A33" s="6"/>
      <c r="B33" s="15" t="s">
        <v>115</v>
      </c>
      <c r="C33" s="2">
        <v>18549.5</v>
      </c>
      <c r="D33" s="3">
        <v>176.9</v>
      </c>
      <c r="E33" s="3">
        <v>-122.6</v>
      </c>
      <c r="F33" s="14">
        <f>E33/D33*100</f>
        <v>-69.3046919163369</v>
      </c>
      <c r="G33" s="3">
        <v>0</v>
      </c>
      <c r="H33" s="3">
        <v>0</v>
      </c>
      <c r="I33" s="28" t="e">
        <f aca="true" t="shared" si="24" ref="I33:I47">H33/G33*100</f>
        <v>#DIV/0!</v>
      </c>
      <c r="J33" s="3">
        <v>0</v>
      </c>
      <c r="K33" s="3">
        <v>0</v>
      </c>
      <c r="L33" s="28" t="e">
        <f aca="true" t="shared" si="25" ref="L33:L44">K33/J33*100</f>
        <v>#DIV/0!</v>
      </c>
      <c r="M33" s="3">
        <f t="shared" si="8"/>
        <v>176.9</v>
      </c>
      <c r="N33" s="3">
        <f t="shared" si="9"/>
        <v>-122.6</v>
      </c>
      <c r="O33" s="14">
        <f t="shared" si="3"/>
        <v>-69.3046919163369</v>
      </c>
      <c r="P33" s="3">
        <v>0</v>
      </c>
      <c r="Q33" s="3">
        <v>0</v>
      </c>
      <c r="R33" s="28" t="e">
        <f aca="true" t="shared" si="26" ref="R33:R44">Q33/P33*100</f>
        <v>#DIV/0!</v>
      </c>
      <c r="S33" s="3"/>
      <c r="T33" s="3"/>
      <c r="U33" s="28" t="e">
        <f>T33/S33*100</f>
        <v>#DIV/0!</v>
      </c>
      <c r="V33" s="3"/>
      <c r="W33" s="3"/>
      <c r="X33" s="14" t="e">
        <f>W33/V33*100</f>
        <v>#DIV/0!</v>
      </c>
      <c r="Y33" s="3">
        <f aca="true" t="shared" si="27" ref="Y33:Z36">P33+S33+V33</f>
        <v>0</v>
      </c>
      <c r="Z33" s="3">
        <f t="shared" si="27"/>
        <v>0</v>
      </c>
      <c r="AA33" s="28" t="e">
        <f>Z33/Y33*100</f>
        <v>#DIV/0!</v>
      </c>
      <c r="AB33" s="3">
        <v>0</v>
      </c>
      <c r="AC33" s="3">
        <v>0</v>
      </c>
      <c r="AD33" s="28" t="e">
        <f>AC33/AB33*100</f>
        <v>#DIV/0!</v>
      </c>
      <c r="AE33" s="3"/>
      <c r="AF33" s="3"/>
      <c r="AG33" s="28" t="e">
        <f>AF33/AE33*100</f>
        <v>#DIV/0!</v>
      </c>
      <c r="AH33" s="3"/>
      <c r="AI33" s="3"/>
      <c r="AJ33" s="3">
        <f t="shared" si="15"/>
        <v>0</v>
      </c>
      <c r="AK33" s="3">
        <f t="shared" si="16"/>
        <v>0</v>
      </c>
      <c r="AL33" s="14" t="e">
        <f t="shared" si="22"/>
        <v>#DIV/0!</v>
      </c>
      <c r="AM33" s="3"/>
      <c r="AN33" s="3"/>
      <c r="AO33" s="3"/>
      <c r="AP33" s="3"/>
      <c r="AQ33" s="14" t="e">
        <f t="shared" si="4"/>
        <v>#DIV/0!</v>
      </c>
      <c r="AR33" s="3"/>
      <c r="AS33" s="3"/>
      <c r="AT33" s="3">
        <f aca="true" t="shared" si="28" ref="AT33:AU36">M33+Y33+AJ33+AM33+AO33+AR33</f>
        <v>176.9</v>
      </c>
      <c r="AU33" s="3">
        <f t="shared" si="28"/>
        <v>-122.6</v>
      </c>
      <c r="AV33" s="14">
        <f>AU33/AT33*100</f>
        <v>-69.3046919163369</v>
      </c>
      <c r="AW33" s="14">
        <f t="shared" si="19"/>
        <v>299.5</v>
      </c>
      <c r="AX33" s="4">
        <f aca="true" t="shared" si="29" ref="AX33:AX44">C33+AT33-AU33</f>
        <v>18849</v>
      </c>
      <c r="AY33" s="20">
        <f t="shared" si="5"/>
        <v>299.5</v>
      </c>
      <c r="AZ33" s="20">
        <f t="shared" si="1"/>
        <v>18849</v>
      </c>
    </row>
    <row r="34" spans="1:52" ht="24" customHeight="1">
      <c r="A34" s="6"/>
      <c r="B34" s="15" t="s">
        <v>116</v>
      </c>
      <c r="C34" s="2">
        <v>2003.6</v>
      </c>
      <c r="D34" s="3">
        <v>3908.4</v>
      </c>
      <c r="E34" s="3">
        <v>1686.5</v>
      </c>
      <c r="F34" s="14">
        <f>E34/D34*100</f>
        <v>43.150649882304776</v>
      </c>
      <c r="G34" s="3">
        <v>2762.7</v>
      </c>
      <c r="H34" s="3">
        <v>1808.1</v>
      </c>
      <c r="I34" s="14">
        <f>H34/G34*100</f>
        <v>65.44684547725052</v>
      </c>
      <c r="J34" s="3">
        <v>2998.4</v>
      </c>
      <c r="K34" s="3">
        <v>1839.5</v>
      </c>
      <c r="L34" s="14">
        <f>K34/J34*100</f>
        <v>61.349386339381006</v>
      </c>
      <c r="M34" s="3">
        <f t="shared" si="8"/>
        <v>9669.5</v>
      </c>
      <c r="N34" s="3">
        <f t="shared" si="9"/>
        <v>5334.1</v>
      </c>
      <c r="O34" s="14">
        <f t="shared" si="3"/>
        <v>55.164176017374224</v>
      </c>
      <c r="P34" s="3">
        <v>143.2</v>
      </c>
      <c r="Q34" s="3">
        <v>1589</v>
      </c>
      <c r="R34" s="14">
        <f t="shared" si="26"/>
        <v>1109.63687150838</v>
      </c>
      <c r="S34" s="3">
        <v>771.1</v>
      </c>
      <c r="T34" s="3">
        <v>521.8</v>
      </c>
      <c r="U34" s="14">
        <f>T34/S34*100</f>
        <v>67.66956296200233</v>
      </c>
      <c r="V34" s="3">
        <v>-1.4</v>
      </c>
      <c r="W34" s="3">
        <v>672.1</v>
      </c>
      <c r="X34" s="14"/>
      <c r="Y34" s="3">
        <f t="shared" si="27"/>
        <v>912.9</v>
      </c>
      <c r="Z34" s="3">
        <f t="shared" si="27"/>
        <v>2782.9</v>
      </c>
      <c r="AA34" s="14">
        <f>Z34/Y34*100</f>
        <v>304.84171322160154</v>
      </c>
      <c r="AB34" s="3">
        <v>-127.9</v>
      </c>
      <c r="AC34" s="3">
        <v>656</v>
      </c>
      <c r="AD34" s="28"/>
      <c r="AE34" s="3"/>
      <c r="AF34" s="3"/>
      <c r="AG34" s="28"/>
      <c r="AH34" s="3"/>
      <c r="AI34" s="3"/>
      <c r="AJ34" s="3">
        <f aca="true" t="shared" si="30" ref="AJ34:AK36">AB34+AE34+AH34</f>
        <v>-127.9</v>
      </c>
      <c r="AK34" s="3">
        <f t="shared" si="30"/>
        <v>656</v>
      </c>
      <c r="AL34" s="14">
        <f t="shared" si="22"/>
        <v>-512.9007036747458</v>
      </c>
      <c r="AM34" s="3"/>
      <c r="AN34" s="3"/>
      <c r="AO34" s="3"/>
      <c r="AP34" s="3"/>
      <c r="AQ34" s="14"/>
      <c r="AR34" s="3"/>
      <c r="AS34" s="3"/>
      <c r="AT34" s="3">
        <f t="shared" si="28"/>
        <v>10454.5</v>
      </c>
      <c r="AU34" s="3">
        <f t="shared" si="28"/>
        <v>8773</v>
      </c>
      <c r="AV34" s="14">
        <f>AU34/AT34*100</f>
        <v>83.91601702616099</v>
      </c>
      <c r="AW34" s="14">
        <f>AT34-AU34</f>
        <v>1681.5</v>
      </c>
      <c r="AX34" s="4">
        <f>C34+AT34-AU34</f>
        <v>3685.1000000000004</v>
      </c>
      <c r="AY34" s="20">
        <f>AT34-AU34</f>
        <v>1681.5</v>
      </c>
      <c r="AZ34" s="20">
        <f>C34+AT34-AU34</f>
        <v>3685.1000000000004</v>
      </c>
    </row>
    <row r="35" spans="1:52" ht="30" customHeight="1">
      <c r="A35" s="6"/>
      <c r="B35" s="15" t="s">
        <v>117</v>
      </c>
      <c r="C35" s="2">
        <v>710.9</v>
      </c>
      <c r="D35" s="3">
        <v>461.5</v>
      </c>
      <c r="E35" s="3">
        <v>132</v>
      </c>
      <c r="F35" s="14">
        <f>E35/D35*100</f>
        <v>28.602383531960996</v>
      </c>
      <c r="G35" s="3">
        <v>217</v>
      </c>
      <c r="H35" s="3">
        <v>191.3</v>
      </c>
      <c r="I35" s="14">
        <f t="shared" si="24"/>
        <v>88.15668202764978</v>
      </c>
      <c r="J35" s="3">
        <v>362.1</v>
      </c>
      <c r="K35" s="3">
        <v>203</v>
      </c>
      <c r="L35" s="14">
        <f t="shared" si="25"/>
        <v>56.06186136426401</v>
      </c>
      <c r="M35" s="3">
        <f t="shared" si="8"/>
        <v>1040.6</v>
      </c>
      <c r="N35" s="3">
        <f t="shared" si="9"/>
        <v>526.3</v>
      </c>
      <c r="O35" s="14">
        <f t="shared" si="3"/>
        <v>50.57659042859889</v>
      </c>
      <c r="P35" s="3">
        <v>43.1</v>
      </c>
      <c r="Q35" s="3">
        <v>136.2</v>
      </c>
      <c r="R35" s="14">
        <f t="shared" si="26"/>
        <v>316.00928074245934</v>
      </c>
      <c r="S35" s="3">
        <v>0</v>
      </c>
      <c r="T35" s="3">
        <v>49.4</v>
      </c>
      <c r="U35" s="28" t="e">
        <f>T35/S35*100</f>
        <v>#DIV/0!</v>
      </c>
      <c r="V35" s="3">
        <v>0</v>
      </c>
      <c r="W35" s="3">
        <v>69.3</v>
      </c>
      <c r="X35" s="14"/>
      <c r="Y35" s="3">
        <f t="shared" si="27"/>
        <v>43.1</v>
      </c>
      <c r="Z35" s="3">
        <f t="shared" si="27"/>
        <v>254.89999999999998</v>
      </c>
      <c r="AA35" s="14">
        <f>Z35/Y35*100</f>
        <v>591.415313225058</v>
      </c>
      <c r="AB35" s="3">
        <v>131.2</v>
      </c>
      <c r="AC35" s="3">
        <v>130.7</v>
      </c>
      <c r="AD35" s="28"/>
      <c r="AE35" s="3"/>
      <c r="AF35" s="3"/>
      <c r="AG35" s="28"/>
      <c r="AH35" s="3"/>
      <c r="AI35" s="3"/>
      <c r="AJ35" s="3">
        <f t="shared" si="30"/>
        <v>131.2</v>
      </c>
      <c r="AK35" s="3">
        <f t="shared" si="30"/>
        <v>130.7</v>
      </c>
      <c r="AL35" s="14">
        <f t="shared" si="22"/>
        <v>99.6189024390244</v>
      </c>
      <c r="AM35" s="3"/>
      <c r="AN35" s="3"/>
      <c r="AO35" s="3"/>
      <c r="AP35" s="3"/>
      <c r="AQ35" s="14"/>
      <c r="AR35" s="3"/>
      <c r="AS35" s="3"/>
      <c r="AT35" s="3">
        <f t="shared" si="28"/>
        <v>1214.8999999999999</v>
      </c>
      <c r="AU35" s="3">
        <f t="shared" si="28"/>
        <v>911.8999999999999</v>
      </c>
      <c r="AV35" s="14">
        <f>AU35/AT35*100</f>
        <v>75.05967569347271</v>
      </c>
      <c r="AW35" s="14">
        <f t="shared" si="19"/>
        <v>303</v>
      </c>
      <c r="AX35" s="4">
        <f t="shared" si="29"/>
        <v>1013.8999999999999</v>
      </c>
      <c r="AY35" s="20">
        <f>AT35-AU35</f>
        <v>303</v>
      </c>
      <c r="AZ35" s="20">
        <f>C35+AT35-AU35</f>
        <v>1013.8999999999999</v>
      </c>
    </row>
    <row r="36" spans="1:52" ht="24.75" customHeight="1">
      <c r="A36" s="19"/>
      <c r="B36" s="15" t="s">
        <v>35</v>
      </c>
      <c r="C36" s="2">
        <v>84.4</v>
      </c>
      <c r="D36" s="3"/>
      <c r="E36" s="3"/>
      <c r="F36" s="14"/>
      <c r="G36" s="3"/>
      <c r="H36" s="3"/>
      <c r="I36" s="36" t="e">
        <f t="shared" si="24"/>
        <v>#DIV/0!</v>
      </c>
      <c r="J36" s="3"/>
      <c r="K36" s="3"/>
      <c r="L36" s="36" t="e">
        <f t="shared" si="25"/>
        <v>#DIV/0!</v>
      </c>
      <c r="M36" s="3"/>
      <c r="N36" s="3"/>
      <c r="O36" s="14"/>
      <c r="P36" s="3"/>
      <c r="Q36" s="3"/>
      <c r="R36" s="36"/>
      <c r="S36" s="3"/>
      <c r="T36" s="3"/>
      <c r="U36" s="36"/>
      <c r="V36" s="3">
        <v>-84.4</v>
      </c>
      <c r="W36" s="3"/>
      <c r="X36" s="36"/>
      <c r="Y36" s="3">
        <f t="shared" si="27"/>
        <v>-84.4</v>
      </c>
      <c r="Z36" s="3">
        <f t="shared" si="27"/>
        <v>0</v>
      </c>
      <c r="AA36" s="14">
        <f>Z36/Y36*100</f>
        <v>0</v>
      </c>
      <c r="AB36" s="3">
        <v>131.2</v>
      </c>
      <c r="AC36" s="3">
        <v>130.7</v>
      </c>
      <c r="AD36" s="28"/>
      <c r="AE36" s="3"/>
      <c r="AF36" s="3"/>
      <c r="AG36" s="28"/>
      <c r="AH36" s="3"/>
      <c r="AI36" s="3"/>
      <c r="AJ36" s="3">
        <f t="shared" si="30"/>
        <v>131.2</v>
      </c>
      <c r="AK36" s="3">
        <f t="shared" si="30"/>
        <v>130.7</v>
      </c>
      <c r="AL36" s="14">
        <f t="shared" si="22"/>
        <v>99.6189024390244</v>
      </c>
      <c r="AM36" s="3"/>
      <c r="AN36" s="3"/>
      <c r="AO36" s="3"/>
      <c r="AP36" s="3"/>
      <c r="AQ36" s="14"/>
      <c r="AR36" s="3"/>
      <c r="AS36" s="3"/>
      <c r="AT36" s="3">
        <f t="shared" si="28"/>
        <v>46.79999999999998</v>
      </c>
      <c r="AU36" s="3">
        <f t="shared" si="28"/>
        <v>130.7</v>
      </c>
      <c r="AV36" s="28">
        <f>AU36/AT36*100</f>
        <v>279.27350427350433</v>
      </c>
      <c r="AW36" s="14">
        <f t="shared" si="19"/>
        <v>-83.9</v>
      </c>
      <c r="AX36" s="4">
        <f t="shared" si="29"/>
        <v>0.5</v>
      </c>
      <c r="AY36" s="20">
        <f t="shared" si="5"/>
        <v>-83.9</v>
      </c>
      <c r="AZ36" s="20">
        <f t="shared" si="1"/>
        <v>0.5</v>
      </c>
    </row>
    <row r="37" spans="1:52" ht="27" customHeight="1">
      <c r="A37" s="6">
        <v>26</v>
      </c>
      <c r="B37" s="15" t="s">
        <v>118</v>
      </c>
      <c r="C37" s="2">
        <f>5479.1+2640</f>
        <v>8119.1</v>
      </c>
      <c r="D37" s="3">
        <v>4003.4</v>
      </c>
      <c r="E37" s="3">
        <v>859.7</v>
      </c>
      <c r="F37" s="14">
        <f aca="true" t="shared" si="31" ref="F37:F48">E37/D37*100</f>
        <v>21.474246890143377</v>
      </c>
      <c r="G37" s="3">
        <v>2578.1</v>
      </c>
      <c r="H37" s="3">
        <v>1287.1</v>
      </c>
      <c r="I37" s="14">
        <f t="shared" si="24"/>
        <v>49.924362902912996</v>
      </c>
      <c r="J37" s="3">
        <f>589.3+1294.3</f>
        <v>1883.6</v>
      </c>
      <c r="K37" s="3">
        <f>404+1112.3</f>
        <v>1516.3</v>
      </c>
      <c r="L37" s="14">
        <f t="shared" si="25"/>
        <v>80.50010617965599</v>
      </c>
      <c r="M37" s="3">
        <f t="shared" si="8"/>
        <v>8465.1</v>
      </c>
      <c r="N37" s="3">
        <f t="shared" si="9"/>
        <v>3663.1000000000004</v>
      </c>
      <c r="O37" s="14">
        <f t="shared" si="3"/>
        <v>43.27296783263045</v>
      </c>
      <c r="P37" s="3">
        <v>-718.1</v>
      </c>
      <c r="Q37" s="3">
        <v>1095.4</v>
      </c>
      <c r="R37" s="14">
        <f t="shared" si="26"/>
        <v>-152.54142877036625</v>
      </c>
      <c r="S37" s="3">
        <v>639</v>
      </c>
      <c r="T37" s="3">
        <v>497.2</v>
      </c>
      <c r="U37" s="14">
        <f aca="true" t="shared" si="32" ref="U37:U44">T37/S37*100</f>
        <v>77.80907668231612</v>
      </c>
      <c r="V37" s="3">
        <v>0</v>
      </c>
      <c r="W37" s="3">
        <v>654.3</v>
      </c>
      <c r="X37" s="14" t="e">
        <f aca="true" t="shared" si="33" ref="X37:X44">W37/V37*100</f>
        <v>#DIV/0!</v>
      </c>
      <c r="Y37" s="3">
        <f aca="true" t="shared" si="34" ref="Y37:Z44">P37+S37+V37</f>
        <v>-79.10000000000002</v>
      </c>
      <c r="Z37" s="3">
        <f t="shared" si="34"/>
        <v>2246.9</v>
      </c>
      <c r="AA37" s="14">
        <f aca="true" t="shared" si="35" ref="AA37:AA46">Z37/Y37*100</f>
        <v>-2840.581542351453</v>
      </c>
      <c r="AB37" s="3">
        <f>-3+108.8</f>
        <v>105.8</v>
      </c>
      <c r="AC37" s="3">
        <f>310.6+121.4</f>
        <v>432</v>
      </c>
      <c r="AD37" s="28">
        <f aca="true" t="shared" si="36" ref="AD37:AD44">AC37/AB37*100</f>
        <v>408.3175803402646</v>
      </c>
      <c r="AE37" s="3"/>
      <c r="AF37" s="3"/>
      <c r="AG37" s="28" t="e">
        <f>AF37/AE37*100</f>
        <v>#DIV/0!</v>
      </c>
      <c r="AH37" s="3"/>
      <c r="AI37" s="3"/>
      <c r="AJ37" s="3">
        <f t="shared" si="15"/>
        <v>105.8</v>
      </c>
      <c r="AK37" s="3">
        <f t="shared" si="16"/>
        <v>432</v>
      </c>
      <c r="AL37" s="14">
        <f aca="true" t="shared" si="37" ref="AL37:AL46">AK37/AJ37*100</f>
        <v>408.3175803402646</v>
      </c>
      <c r="AM37" s="3"/>
      <c r="AN37" s="3"/>
      <c r="AO37" s="3"/>
      <c r="AP37" s="3"/>
      <c r="AQ37" s="14" t="e">
        <f t="shared" si="4"/>
        <v>#DIV/0!</v>
      </c>
      <c r="AR37" s="3"/>
      <c r="AS37" s="3"/>
      <c r="AT37" s="3">
        <f>M37+Y37+AJ37+AM37+AO37+AR37</f>
        <v>8491.8</v>
      </c>
      <c r="AU37" s="3">
        <f>N37+Z37+AK37+AN37+AP37+AS37</f>
        <v>6342</v>
      </c>
      <c r="AV37" s="14">
        <f aca="true" t="shared" si="38" ref="AV37:AV46">AU37/AT37*100</f>
        <v>74.68381261923268</v>
      </c>
      <c r="AW37" s="14">
        <f t="shared" si="19"/>
        <v>2149.7999999999993</v>
      </c>
      <c r="AX37" s="4">
        <f t="shared" si="29"/>
        <v>10268.900000000001</v>
      </c>
      <c r="AY37" s="20">
        <f t="shared" si="5"/>
        <v>2149.7999999999993</v>
      </c>
      <c r="AZ37" s="20">
        <f t="shared" si="1"/>
        <v>10268.900000000001</v>
      </c>
    </row>
    <row r="38" spans="1:52" ht="24" customHeight="1">
      <c r="A38" s="6">
        <v>27</v>
      </c>
      <c r="B38" s="1" t="s">
        <v>90</v>
      </c>
      <c r="C38" s="2">
        <v>50</v>
      </c>
      <c r="D38" s="3">
        <v>0</v>
      </c>
      <c r="E38" s="3">
        <v>0</v>
      </c>
      <c r="F38" s="28" t="e">
        <f t="shared" si="31"/>
        <v>#DIV/0!</v>
      </c>
      <c r="G38" s="3"/>
      <c r="H38" s="3"/>
      <c r="I38" s="28" t="e">
        <f t="shared" si="24"/>
        <v>#DIV/0!</v>
      </c>
      <c r="J38" s="3"/>
      <c r="K38" s="3"/>
      <c r="L38" s="14"/>
      <c r="M38" s="3">
        <f>D38+G38+J38</f>
        <v>0</v>
      </c>
      <c r="N38" s="3">
        <f>E38+H38+K38</f>
        <v>0</v>
      </c>
      <c r="O38" s="28" t="e">
        <f>N38/M38*100</f>
        <v>#DIV/0!</v>
      </c>
      <c r="P38" s="3"/>
      <c r="Q38" s="3"/>
      <c r="R38" s="28" t="e">
        <f t="shared" si="26"/>
        <v>#DIV/0!</v>
      </c>
      <c r="S38" s="3"/>
      <c r="T38" s="3"/>
      <c r="U38" s="28" t="e">
        <f t="shared" si="32"/>
        <v>#DIV/0!</v>
      </c>
      <c r="V38" s="3"/>
      <c r="W38" s="3"/>
      <c r="X38" s="28" t="e">
        <f t="shared" si="33"/>
        <v>#DIV/0!</v>
      </c>
      <c r="Y38" s="3">
        <f t="shared" si="34"/>
        <v>0</v>
      </c>
      <c r="Z38" s="3">
        <f t="shared" si="34"/>
        <v>0</v>
      </c>
      <c r="AA38" s="28" t="e">
        <f t="shared" si="35"/>
        <v>#DIV/0!</v>
      </c>
      <c r="AB38" s="3"/>
      <c r="AC38" s="3"/>
      <c r="AD38" s="28">
        <v>0</v>
      </c>
      <c r="AE38" s="3"/>
      <c r="AF38" s="3"/>
      <c r="AG38" s="28">
        <v>0</v>
      </c>
      <c r="AH38" s="3"/>
      <c r="AI38" s="3"/>
      <c r="AJ38" s="3">
        <f t="shared" si="15"/>
        <v>0</v>
      </c>
      <c r="AK38" s="3">
        <f t="shared" si="16"/>
        <v>0</v>
      </c>
      <c r="AL38" s="28" t="e">
        <f t="shared" si="37"/>
        <v>#DIV/0!</v>
      </c>
      <c r="AM38" s="3"/>
      <c r="AN38" s="3"/>
      <c r="AO38" s="3"/>
      <c r="AP38" s="3"/>
      <c r="AQ38" s="14"/>
      <c r="AR38" s="3"/>
      <c r="AS38" s="3"/>
      <c r="AT38" s="3">
        <f>M38+Y38+AJ38+AM38+AO38+AR38</f>
        <v>0</v>
      </c>
      <c r="AU38" s="3">
        <f>N38+Z38+AK38+AN38+AP38+AS38</f>
        <v>0</v>
      </c>
      <c r="AV38" s="28" t="e">
        <f>AU38/AT38*100</f>
        <v>#DIV/0!</v>
      </c>
      <c r="AW38" s="14">
        <f t="shared" si="19"/>
        <v>0</v>
      </c>
      <c r="AX38" s="4">
        <f t="shared" si="29"/>
        <v>50</v>
      </c>
      <c r="AY38" s="20">
        <f t="shared" si="5"/>
        <v>0</v>
      </c>
      <c r="AZ38" s="20">
        <f t="shared" si="1"/>
        <v>50</v>
      </c>
    </row>
    <row r="39" spans="1:52" ht="24" customHeight="1">
      <c r="A39" s="6">
        <v>28</v>
      </c>
      <c r="B39" s="15" t="s">
        <v>119</v>
      </c>
      <c r="C39" s="2">
        <f>13941.7-3.1</f>
        <v>13938.6</v>
      </c>
      <c r="D39" s="3">
        <v>7010.8</v>
      </c>
      <c r="E39" s="3">
        <v>2728.4</v>
      </c>
      <c r="F39" s="14">
        <f t="shared" si="31"/>
        <v>38.91709933245849</v>
      </c>
      <c r="G39" s="3">
        <v>4322.4</v>
      </c>
      <c r="H39" s="3">
        <v>3459.3</v>
      </c>
      <c r="I39" s="14">
        <f t="shared" si="24"/>
        <v>80.0319267073848</v>
      </c>
      <c r="J39" s="3">
        <v>4978.3</v>
      </c>
      <c r="K39" s="3">
        <v>3191.2</v>
      </c>
      <c r="L39" s="14">
        <f t="shared" si="25"/>
        <v>64.10220356346544</v>
      </c>
      <c r="M39" s="3">
        <f t="shared" si="8"/>
        <v>16311.5</v>
      </c>
      <c r="N39" s="3">
        <f t="shared" si="9"/>
        <v>9378.900000000001</v>
      </c>
      <c r="O39" s="14">
        <f t="shared" si="3"/>
        <v>57.49869723814488</v>
      </c>
      <c r="P39" s="3">
        <v>1450.3</v>
      </c>
      <c r="Q39" s="3">
        <v>3128.5</v>
      </c>
      <c r="R39" s="14">
        <f t="shared" si="26"/>
        <v>215.71399020892227</v>
      </c>
      <c r="S39" s="3">
        <v>1835.55</v>
      </c>
      <c r="T39" s="3">
        <v>2513.51</v>
      </c>
      <c r="U39" s="14">
        <f t="shared" si="32"/>
        <v>136.93497861676337</v>
      </c>
      <c r="V39" s="3">
        <v>95</v>
      </c>
      <c r="W39" s="3">
        <v>1250.6</v>
      </c>
      <c r="X39" s="28">
        <f t="shared" si="33"/>
        <v>1316.4210526315787</v>
      </c>
      <c r="Y39" s="3">
        <f t="shared" si="34"/>
        <v>3380.85</v>
      </c>
      <c r="Z39" s="3">
        <f t="shared" si="34"/>
        <v>6892.610000000001</v>
      </c>
      <c r="AA39" s="14">
        <f t="shared" si="35"/>
        <v>203.87210316932135</v>
      </c>
      <c r="AB39" s="3">
        <v>308.7</v>
      </c>
      <c r="AC39" s="3">
        <v>1101.2</v>
      </c>
      <c r="AD39" s="28">
        <f t="shared" si="36"/>
        <v>356.72173631357305</v>
      </c>
      <c r="AE39" s="3"/>
      <c r="AF39" s="3"/>
      <c r="AG39" s="28" t="e">
        <f aca="true" t="shared" si="39" ref="AG39:AG44">AF39/AE39*100</f>
        <v>#DIV/0!</v>
      </c>
      <c r="AH39" s="3"/>
      <c r="AI39" s="3"/>
      <c r="AJ39" s="3">
        <f t="shared" si="15"/>
        <v>308.7</v>
      </c>
      <c r="AK39" s="3">
        <f t="shared" si="16"/>
        <v>1101.2</v>
      </c>
      <c r="AL39" s="14">
        <f t="shared" si="37"/>
        <v>356.72173631357305</v>
      </c>
      <c r="AM39" s="3"/>
      <c r="AN39" s="3"/>
      <c r="AO39" s="3"/>
      <c r="AP39" s="3"/>
      <c r="AQ39" s="14" t="e">
        <f t="shared" si="4"/>
        <v>#DIV/0!</v>
      </c>
      <c r="AR39" s="3"/>
      <c r="AS39" s="3"/>
      <c r="AT39" s="3">
        <f aca="true" t="shared" si="40" ref="AT39:AU41">M39+Y39+AJ39+AM39+AO39+AR39</f>
        <v>20001.05</v>
      </c>
      <c r="AU39" s="3">
        <f t="shared" si="40"/>
        <v>17372.710000000003</v>
      </c>
      <c r="AV39" s="14">
        <f t="shared" si="38"/>
        <v>86.8589899030301</v>
      </c>
      <c r="AW39" s="14">
        <f t="shared" si="19"/>
        <v>2628.3399999999965</v>
      </c>
      <c r="AX39" s="4">
        <f t="shared" si="29"/>
        <v>16566.94</v>
      </c>
      <c r="AY39" s="20">
        <f t="shared" si="5"/>
        <v>2628.3399999999965</v>
      </c>
      <c r="AZ39" s="20">
        <f t="shared" si="1"/>
        <v>16566.94</v>
      </c>
    </row>
    <row r="40" spans="1:52" ht="24" customHeight="1">
      <c r="A40" s="6">
        <v>29</v>
      </c>
      <c r="B40" s="15" t="s">
        <v>120</v>
      </c>
      <c r="C40" s="2">
        <f>18342.8+927.9</f>
        <v>19270.7</v>
      </c>
      <c r="D40" s="3">
        <v>7469</v>
      </c>
      <c r="E40" s="3">
        <v>1347.7</v>
      </c>
      <c r="F40" s="14">
        <f t="shared" si="31"/>
        <v>18.043914848038558</v>
      </c>
      <c r="G40" s="3">
        <v>7400.8</v>
      </c>
      <c r="H40" s="3">
        <v>2390</v>
      </c>
      <c r="I40" s="14">
        <f t="shared" si="24"/>
        <v>32.293806075018914</v>
      </c>
      <c r="J40" s="3">
        <v>7130.7</v>
      </c>
      <c r="K40" s="3">
        <v>2743.3</v>
      </c>
      <c r="L40" s="14">
        <f t="shared" si="25"/>
        <v>38.47167879731303</v>
      </c>
      <c r="M40" s="3">
        <f t="shared" si="8"/>
        <v>22000.5</v>
      </c>
      <c r="N40" s="3">
        <f t="shared" si="9"/>
        <v>6481</v>
      </c>
      <c r="O40" s="14">
        <f t="shared" si="3"/>
        <v>29.458421399513647</v>
      </c>
      <c r="P40" s="3">
        <v>2212.3</v>
      </c>
      <c r="Q40" s="3">
        <v>2670.6</v>
      </c>
      <c r="R40" s="14">
        <f t="shared" si="26"/>
        <v>120.71599692627582</v>
      </c>
      <c r="S40" s="3">
        <v>906.8</v>
      </c>
      <c r="T40" s="3">
        <v>1984.8</v>
      </c>
      <c r="U40" s="14">
        <f t="shared" si="32"/>
        <v>218.87957653286284</v>
      </c>
      <c r="V40" s="3">
        <v>-147.9</v>
      </c>
      <c r="W40" s="3">
        <v>1104.8</v>
      </c>
      <c r="X40" s="14">
        <f t="shared" si="33"/>
        <v>-746.9912102772142</v>
      </c>
      <c r="Y40" s="3">
        <f t="shared" si="34"/>
        <v>2971.2000000000003</v>
      </c>
      <c r="Z40" s="3">
        <f t="shared" si="34"/>
        <v>5760.2</v>
      </c>
      <c r="AA40" s="14">
        <f t="shared" si="35"/>
        <v>193.86779752288635</v>
      </c>
      <c r="AB40" s="3">
        <v>-9.5</v>
      </c>
      <c r="AC40" s="3">
        <v>850.1</v>
      </c>
      <c r="AD40" s="28">
        <f t="shared" si="36"/>
        <v>-8948.42105263158</v>
      </c>
      <c r="AE40" s="3"/>
      <c r="AF40" s="3"/>
      <c r="AG40" s="28" t="e">
        <f t="shared" si="39"/>
        <v>#DIV/0!</v>
      </c>
      <c r="AH40" s="3"/>
      <c r="AI40" s="3"/>
      <c r="AJ40" s="3">
        <f t="shared" si="15"/>
        <v>-9.5</v>
      </c>
      <c r="AK40" s="3">
        <f t="shared" si="16"/>
        <v>850.1</v>
      </c>
      <c r="AL40" s="14">
        <f t="shared" si="37"/>
        <v>-8948.42105263158</v>
      </c>
      <c r="AM40" s="3"/>
      <c r="AN40" s="3"/>
      <c r="AO40" s="3"/>
      <c r="AP40" s="3"/>
      <c r="AQ40" s="14" t="e">
        <f t="shared" si="4"/>
        <v>#DIV/0!</v>
      </c>
      <c r="AR40" s="3"/>
      <c r="AS40" s="3"/>
      <c r="AT40" s="3">
        <f t="shared" si="40"/>
        <v>24962.2</v>
      </c>
      <c r="AU40" s="3">
        <f t="shared" si="40"/>
        <v>13091.300000000001</v>
      </c>
      <c r="AV40" s="14">
        <f t="shared" si="38"/>
        <v>52.444496078070046</v>
      </c>
      <c r="AW40" s="14">
        <f t="shared" si="19"/>
        <v>11870.9</v>
      </c>
      <c r="AX40" s="4">
        <f t="shared" si="29"/>
        <v>31141.6</v>
      </c>
      <c r="AY40" s="20">
        <f t="shared" si="5"/>
        <v>11870.9</v>
      </c>
      <c r="AZ40" s="20">
        <f t="shared" si="1"/>
        <v>31141.6</v>
      </c>
    </row>
    <row r="41" spans="1:52" ht="28.5" customHeight="1">
      <c r="A41" s="6">
        <v>30</v>
      </c>
      <c r="B41" s="15" t="s">
        <v>121</v>
      </c>
      <c r="C41" s="2">
        <v>58387.5</v>
      </c>
      <c r="D41" s="3">
        <v>20394.1</v>
      </c>
      <c r="E41" s="3">
        <v>6305.2</v>
      </c>
      <c r="F41" s="14">
        <f t="shared" si="31"/>
        <v>30.91678475637562</v>
      </c>
      <c r="G41" s="3">
        <v>12376.5</v>
      </c>
      <c r="H41" s="3">
        <v>9410.1</v>
      </c>
      <c r="I41" s="14">
        <f t="shared" si="24"/>
        <v>76.03199612168223</v>
      </c>
      <c r="J41" s="3">
        <v>16859.5</v>
      </c>
      <c r="K41" s="3">
        <v>10700</v>
      </c>
      <c r="L41" s="14">
        <f t="shared" si="25"/>
        <v>63.46570182982888</v>
      </c>
      <c r="M41" s="3">
        <f t="shared" si="8"/>
        <v>49630.1</v>
      </c>
      <c r="N41" s="3">
        <f t="shared" si="9"/>
        <v>26415.3</v>
      </c>
      <c r="O41" s="14">
        <f t="shared" si="3"/>
        <v>53.22435376918443</v>
      </c>
      <c r="P41" s="3">
        <v>239.4</v>
      </c>
      <c r="Q41" s="3">
        <v>9663.6</v>
      </c>
      <c r="R41" s="14">
        <f t="shared" si="26"/>
        <v>4036.5914786967414</v>
      </c>
      <c r="S41" s="3">
        <v>-2592.4</v>
      </c>
      <c r="T41" s="3">
        <v>5291.2</v>
      </c>
      <c r="U41" s="14">
        <f t="shared" si="32"/>
        <v>-204.10430489122047</v>
      </c>
      <c r="V41" s="3">
        <v>341.6</v>
      </c>
      <c r="W41" s="3">
        <v>2939</v>
      </c>
      <c r="X41" s="14">
        <f t="shared" si="33"/>
        <v>860.3629976580796</v>
      </c>
      <c r="Y41" s="3">
        <f t="shared" si="34"/>
        <v>-2011.4</v>
      </c>
      <c r="Z41" s="3">
        <f t="shared" si="34"/>
        <v>17893.8</v>
      </c>
      <c r="AA41" s="14">
        <f t="shared" si="35"/>
        <v>-889.6191707268569</v>
      </c>
      <c r="AB41" s="3">
        <v>-6.8</v>
      </c>
      <c r="AC41" s="3">
        <v>2643.6</v>
      </c>
      <c r="AD41" s="28">
        <f t="shared" si="36"/>
        <v>-38876.470588235294</v>
      </c>
      <c r="AE41" s="3"/>
      <c r="AF41" s="3"/>
      <c r="AG41" s="28" t="e">
        <f t="shared" si="39"/>
        <v>#DIV/0!</v>
      </c>
      <c r="AH41" s="3"/>
      <c r="AI41" s="3"/>
      <c r="AJ41" s="3">
        <f t="shared" si="15"/>
        <v>-6.8</v>
      </c>
      <c r="AK41" s="3">
        <f t="shared" si="16"/>
        <v>2643.6</v>
      </c>
      <c r="AL41" s="14">
        <f t="shared" si="37"/>
        <v>-38876.470588235294</v>
      </c>
      <c r="AM41" s="3"/>
      <c r="AN41" s="3"/>
      <c r="AO41" s="3"/>
      <c r="AP41" s="3"/>
      <c r="AQ41" s="14" t="e">
        <f t="shared" si="4"/>
        <v>#DIV/0!</v>
      </c>
      <c r="AR41" s="3"/>
      <c r="AS41" s="3"/>
      <c r="AT41" s="3">
        <f t="shared" si="40"/>
        <v>47611.899999999994</v>
      </c>
      <c r="AU41" s="3">
        <f t="shared" si="40"/>
        <v>46952.7</v>
      </c>
      <c r="AV41" s="14">
        <f t="shared" si="38"/>
        <v>98.61547218237457</v>
      </c>
      <c r="AW41" s="14">
        <f t="shared" si="19"/>
        <v>659.1999999999971</v>
      </c>
      <c r="AX41" s="4">
        <f t="shared" si="29"/>
        <v>59046.7</v>
      </c>
      <c r="AY41" s="20">
        <f t="shared" si="5"/>
        <v>659.1999999999971</v>
      </c>
      <c r="AZ41" s="20">
        <f t="shared" si="1"/>
        <v>59046.7</v>
      </c>
    </row>
    <row r="42" spans="1:52" ht="24" customHeight="1">
      <c r="A42" s="6">
        <v>31</v>
      </c>
      <c r="B42" s="15" t="s">
        <v>122</v>
      </c>
      <c r="C42" s="2">
        <v>296.7</v>
      </c>
      <c r="D42" s="3">
        <v>0</v>
      </c>
      <c r="E42" s="3">
        <v>0</v>
      </c>
      <c r="F42" s="28" t="e">
        <f t="shared" si="31"/>
        <v>#DIV/0!</v>
      </c>
      <c r="G42" s="3"/>
      <c r="H42" s="3"/>
      <c r="I42" s="14"/>
      <c r="J42" s="3"/>
      <c r="K42" s="3"/>
      <c r="L42" s="14"/>
      <c r="M42" s="3"/>
      <c r="N42" s="3"/>
      <c r="O42" s="14"/>
      <c r="P42" s="3"/>
      <c r="Q42" s="3"/>
      <c r="R42" s="14"/>
      <c r="S42" s="3"/>
      <c r="T42" s="3"/>
      <c r="U42" s="14"/>
      <c r="V42" s="3"/>
      <c r="W42" s="3"/>
      <c r="X42" s="28"/>
      <c r="Y42" s="3"/>
      <c r="Z42" s="3"/>
      <c r="AA42" s="14"/>
      <c r="AB42" s="3"/>
      <c r="AC42" s="3"/>
      <c r="AD42" s="28"/>
      <c r="AE42" s="3"/>
      <c r="AF42" s="3"/>
      <c r="AG42" s="28"/>
      <c r="AH42" s="3"/>
      <c r="AI42" s="3"/>
      <c r="AJ42" s="3"/>
      <c r="AK42" s="3"/>
      <c r="AL42" s="14"/>
      <c r="AM42" s="3"/>
      <c r="AN42" s="3"/>
      <c r="AO42" s="3"/>
      <c r="AP42" s="3"/>
      <c r="AQ42" s="14"/>
      <c r="AR42" s="3"/>
      <c r="AS42" s="3"/>
      <c r="AT42" s="3"/>
      <c r="AU42" s="3"/>
      <c r="AV42" s="14"/>
      <c r="AW42" s="14">
        <f t="shared" si="19"/>
        <v>0</v>
      </c>
      <c r="AX42" s="4">
        <f t="shared" si="29"/>
        <v>296.7</v>
      </c>
      <c r="AY42" s="20">
        <f t="shared" si="5"/>
        <v>0</v>
      </c>
      <c r="AZ42" s="20">
        <f t="shared" si="1"/>
        <v>296.7</v>
      </c>
    </row>
    <row r="43" spans="1:52" ht="24" customHeight="1">
      <c r="A43" s="6">
        <v>32</v>
      </c>
      <c r="B43" s="1" t="s">
        <v>123</v>
      </c>
      <c r="C43" s="2">
        <v>18152.1</v>
      </c>
      <c r="D43" s="3">
        <v>8169.7</v>
      </c>
      <c r="E43" s="3">
        <v>3500.2</v>
      </c>
      <c r="F43" s="14">
        <f t="shared" si="31"/>
        <v>42.84367847044567</v>
      </c>
      <c r="G43" s="3">
        <v>9256.1</v>
      </c>
      <c r="H43" s="3">
        <v>4471.9</v>
      </c>
      <c r="I43" s="14">
        <f t="shared" si="24"/>
        <v>48.313004397100286</v>
      </c>
      <c r="J43" s="3">
        <v>7967.6</v>
      </c>
      <c r="K43" s="3">
        <v>5544</v>
      </c>
      <c r="L43" s="14">
        <f t="shared" si="25"/>
        <v>69.58180631557809</v>
      </c>
      <c r="M43" s="3">
        <f t="shared" si="8"/>
        <v>25393.4</v>
      </c>
      <c r="N43" s="3">
        <f t="shared" si="9"/>
        <v>13516.099999999999</v>
      </c>
      <c r="O43" s="14">
        <f t="shared" si="3"/>
        <v>53.22682271771404</v>
      </c>
      <c r="P43" s="3">
        <v>335.4</v>
      </c>
      <c r="Q43" s="3">
        <v>4539.7</v>
      </c>
      <c r="R43" s="14">
        <f t="shared" si="26"/>
        <v>1353.5181872391177</v>
      </c>
      <c r="S43" s="3">
        <v>0</v>
      </c>
      <c r="T43" s="3">
        <v>2121</v>
      </c>
      <c r="U43" s="28" t="e">
        <f t="shared" si="32"/>
        <v>#DIV/0!</v>
      </c>
      <c r="V43" s="3">
        <v>0</v>
      </c>
      <c r="W43" s="3">
        <v>1198.6</v>
      </c>
      <c r="X43" s="28" t="e">
        <f t="shared" si="33"/>
        <v>#DIV/0!</v>
      </c>
      <c r="Y43" s="3">
        <f t="shared" si="34"/>
        <v>335.4</v>
      </c>
      <c r="Z43" s="3">
        <f t="shared" si="34"/>
        <v>7859.299999999999</v>
      </c>
      <c r="AA43" s="28">
        <f t="shared" si="35"/>
        <v>2343.261776982707</v>
      </c>
      <c r="AB43" s="3">
        <v>0</v>
      </c>
      <c r="AC43" s="3">
        <v>1249.6</v>
      </c>
      <c r="AD43" s="28" t="e">
        <f t="shared" si="36"/>
        <v>#DIV/0!</v>
      </c>
      <c r="AE43" s="3"/>
      <c r="AF43" s="3"/>
      <c r="AG43" s="28" t="e">
        <f t="shared" si="39"/>
        <v>#DIV/0!</v>
      </c>
      <c r="AH43" s="3"/>
      <c r="AI43" s="3"/>
      <c r="AJ43" s="3">
        <f t="shared" si="15"/>
        <v>0</v>
      </c>
      <c r="AK43" s="3">
        <f t="shared" si="16"/>
        <v>1249.6</v>
      </c>
      <c r="AL43" s="28" t="e">
        <f t="shared" si="37"/>
        <v>#DIV/0!</v>
      </c>
      <c r="AM43" s="3"/>
      <c r="AN43" s="3"/>
      <c r="AO43" s="3"/>
      <c r="AP43" s="3"/>
      <c r="AQ43" s="14" t="e">
        <f t="shared" si="4"/>
        <v>#DIV/0!</v>
      </c>
      <c r="AR43" s="3"/>
      <c r="AS43" s="3"/>
      <c r="AT43" s="3">
        <f>M43+Y43+AJ43+AM43+AO43+AR43</f>
        <v>25728.800000000003</v>
      </c>
      <c r="AU43" s="3">
        <f>N43+Z43+AK43+AN43+AP43+AS43</f>
        <v>22624.999999999996</v>
      </c>
      <c r="AV43" s="14">
        <f t="shared" si="38"/>
        <v>87.93647585585023</v>
      </c>
      <c r="AW43" s="14">
        <f t="shared" si="19"/>
        <v>3103.8000000000065</v>
      </c>
      <c r="AX43" s="4">
        <f t="shared" si="29"/>
        <v>21255.900000000005</v>
      </c>
      <c r="AY43" s="20">
        <f t="shared" si="5"/>
        <v>3103.8000000000065</v>
      </c>
      <c r="AZ43" s="20">
        <f t="shared" si="1"/>
        <v>21255.900000000005</v>
      </c>
    </row>
    <row r="44" spans="1:52" ht="24" customHeight="1">
      <c r="A44" s="6">
        <v>33</v>
      </c>
      <c r="B44" s="15" t="s">
        <v>124</v>
      </c>
      <c r="C44" s="2">
        <v>8689.8</v>
      </c>
      <c r="D44" s="3">
        <v>7841.4</v>
      </c>
      <c r="E44" s="3">
        <v>3980.7</v>
      </c>
      <c r="F44" s="14">
        <f t="shared" si="31"/>
        <v>50.76516948504094</v>
      </c>
      <c r="G44" s="3">
        <v>7356.2</v>
      </c>
      <c r="H44" s="3">
        <v>5128.5</v>
      </c>
      <c r="I44" s="14">
        <f t="shared" si="24"/>
        <v>69.71670155786956</v>
      </c>
      <c r="J44" s="3">
        <v>6554.9</v>
      </c>
      <c r="K44" s="3">
        <v>5441.2</v>
      </c>
      <c r="L44" s="14">
        <f t="shared" si="25"/>
        <v>83.00965689789318</v>
      </c>
      <c r="M44" s="3">
        <f t="shared" si="8"/>
        <v>21752.5</v>
      </c>
      <c r="N44" s="3">
        <f t="shared" si="9"/>
        <v>14550.400000000001</v>
      </c>
      <c r="O44" s="14">
        <f t="shared" si="3"/>
        <v>66.89070221813586</v>
      </c>
      <c r="P44" s="3">
        <v>1396.7</v>
      </c>
      <c r="Q44" s="3">
        <v>4543.5</v>
      </c>
      <c r="R44" s="14">
        <f t="shared" si="26"/>
        <v>325.3024987470466</v>
      </c>
      <c r="S44" s="3">
        <v>1628.9</v>
      </c>
      <c r="T44" s="3">
        <v>2077.1</v>
      </c>
      <c r="U44" s="14">
        <f t="shared" si="32"/>
        <v>127.515501258518</v>
      </c>
      <c r="V44" s="3">
        <v>1251.3</v>
      </c>
      <c r="W44" s="3">
        <v>1986.7</v>
      </c>
      <c r="X44" s="14">
        <f t="shared" si="33"/>
        <v>158.77087828658196</v>
      </c>
      <c r="Y44" s="3">
        <f t="shared" si="34"/>
        <v>4276.900000000001</v>
      </c>
      <c r="Z44" s="3">
        <f t="shared" si="34"/>
        <v>8607.300000000001</v>
      </c>
      <c r="AA44" s="14">
        <f t="shared" si="35"/>
        <v>201.2509060300685</v>
      </c>
      <c r="AB44" s="3">
        <v>1004.2</v>
      </c>
      <c r="AC44" s="3">
        <v>2031</v>
      </c>
      <c r="AD44" s="28">
        <f t="shared" si="36"/>
        <v>202.2505476996614</v>
      </c>
      <c r="AE44" s="3"/>
      <c r="AF44" s="3"/>
      <c r="AG44" s="28" t="e">
        <f t="shared" si="39"/>
        <v>#DIV/0!</v>
      </c>
      <c r="AH44" s="3"/>
      <c r="AI44" s="3"/>
      <c r="AJ44" s="3">
        <f t="shared" si="15"/>
        <v>1004.2</v>
      </c>
      <c r="AK44" s="3">
        <f t="shared" si="16"/>
        <v>2031</v>
      </c>
      <c r="AL44" s="14">
        <f t="shared" si="37"/>
        <v>202.2505476996614</v>
      </c>
      <c r="AM44" s="3"/>
      <c r="AN44" s="3"/>
      <c r="AO44" s="3"/>
      <c r="AP44" s="3"/>
      <c r="AQ44" s="14" t="e">
        <f t="shared" si="4"/>
        <v>#DIV/0!</v>
      </c>
      <c r="AR44" s="3"/>
      <c r="AS44" s="3"/>
      <c r="AT44" s="3">
        <f>M44+Y44+AJ44+AM44+AO44+AR44</f>
        <v>27033.600000000002</v>
      </c>
      <c r="AU44" s="3">
        <f>N44+Z44+AK44+AN44+AP44+AS44</f>
        <v>25188.700000000004</v>
      </c>
      <c r="AV44" s="14">
        <f t="shared" si="38"/>
        <v>93.17552971117425</v>
      </c>
      <c r="AW44" s="14">
        <f t="shared" si="19"/>
        <v>1844.8999999999978</v>
      </c>
      <c r="AX44" s="4">
        <f t="shared" si="29"/>
        <v>10534.699999999997</v>
      </c>
      <c r="AY44" s="20">
        <f t="shared" si="5"/>
        <v>1844.8999999999978</v>
      </c>
      <c r="AZ44" s="20">
        <f t="shared" si="1"/>
        <v>10534.699999999997</v>
      </c>
    </row>
    <row r="45" spans="1:50" s="8" customFormat="1" ht="24.75" customHeight="1">
      <c r="A45" s="38">
        <v>34</v>
      </c>
      <c r="B45" s="16" t="s">
        <v>40</v>
      </c>
      <c r="C45" s="48">
        <f>C46</f>
        <v>1710893</v>
      </c>
      <c r="D45" s="48">
        <f>D46</f>
        <v>610156</v>
      </c>
      <c r="E45" s="48">
        <f>E46</f>
        <v>360139</v>
      </c>
      <c r="F45" s="14">
        <f t="shared" si="31"/>
        <v>59.024085643671455</v>
      </c>
      <c r="G45" s="48">
        <f>G46</f>
        <v>647070</v>
      </c>
      <c r="H45" s="48">
        <f>H46</f>
        <v>394348</v>
      </c>
      <c r="I45" s="14">
        <f>H45/G45*100</f>
        <v>60.943638246248476</v>
      </c>
      <c r="J45" s="48">
        <f>J46</f>
        <v>629922</v>
      </c>
      <c r="K45" s="48">
        <f>K46</f>
        <v>447268</v>
      </c>
      <c r="L45" s="48">
        <f>L46</f>
        <v>71.0037115706389</v>
      </c>
      <c r="M45" s="48">
        <f>M46</f>
        <v>1887148</v>
      </c>
      <c r="N45" s="48">
        <f>N46</f>
        <v>1201755</v>
      </c>
      <c r="O45" s="14">
        <f t="shared" si="3"/>
        <v>63.68101494954291</v>
      </c>
      <c r="P45" s="48">
        <f>P46</f>
        <v>312250</v>
      </c>
      <c r="Q45" s="48">
        <f>Q46</f>
        <v>406534</v>
      </c>
      <c r="R45" s="14">
        <f>Q45/P45*100</f>
        <v>130.19503602882304</v>
      </c>
      <c r="S45" s="48">
        <f>S46</f>
        <v>142381</v>
      </c>
      <c r="T45" s="48">
        <f>T46</f>
        <v>336508</v>
      </c>
      <c r="U45" s="14">
        <f>T45/S45*100</f>
        <v>236.3433323266447</v>
      </c>
      <c r="V45" s="48">
        <f>V46</f>
        <v>67852</v>
      </c>
      <c r="W45" s="48">
        <f>W46</f>
        <v>186030</v>
      </c>
      <c r="X45" s="14">
        <f>W45/V45*100</f>
        <v>274.17025290337796</v>
      </c>
      <c r="Y45" s="48">
        <f>Y46</f>
        <v>522483</v>
      </c>
      <c r="Z45" s="48">
        <f>Z46</f>
        <v>929072</v>
      </c>
      <c r="AA45" s="14">
        <f t="shared" si="35"/>
        <v>177.81860845233243</v>
      </c>
      <c r="AB45" s="48">
        <f>AB46</f>
        <v>52989</v>
      </c>
      <c r="AC45" s="48">
        <f>AC46</f>
        <v>167584</v>
      </c>
      <c r="AD45" s="28">
        <f>AC45/AB45*100</f>
        <v>316.2618656702334</v>
      </c>
      <c r="AE45" s="48">
        <f>AE46</f>
        <v>0</v>
      </c>
      <c r="AF45" s="48">
        <f>AF46</f>
        <v>0</v>
      </c>
      <c r="AG45" s="28" t="e">
        <f>AF45/AE45*100</f>
        <v>#DIV/0!</v>
      </c>
      <c r="AH45" s="48">
        <f>AH46</f>
        <v>0</v>
      </c>
      <c r="AI45" s="48">
        <f>AI46</f>
        <v>0</v>
      </c>
      <c r="AJ45" s="48">
        <f>AJ46</f>
        <v>52989</v>
      </c>
      <c r="AK45" s="48">
        <f>AK46</f>
        <v>167584</v>
      </c>
      <c r="AL45" s="14">
        <f t="shared" si="37"/>
        <v>316.2618656702334</v>
      </c>
      <c r="AM45" s="48">
        <f aca="true" t="shared" si="41" ref="AM45:AU45">AM46</f>
        <v>0</v>
      </c>
      <c r="AN45" s="48">
        <f t="shared" si="41"/>
        <v>0</v>
      </c>
      <c r="AO45" s="48">
        <f t="shared" si="41"/>
        <v>0</v>
      </c>
      <c r="AP45" s="48">
        <f t="shared" si="41"/>
        <v>0</v>
      </c>
      <c r="AQ45" s="14" t="e">
        <f t="shared" si="4"/>
        <v>#DIV/0!</v>
      </c>
      <c r="AR45" s="48">
        <f t="shared" si="41"/>
        <v>0</v>
      </c>
      <c r="AS45" s="48">
        <f t="shared" si="41"/>
        <v>0</v>
      </c>
      <c r="AT45" s="48">
        <f t="shared" si="41"/>
        <v>2462620</v>
      </c>
      <c r="AU45" s="48">
        <f t="shared" si="41"/>
        <v>2298411</v>
      </c>
      <c r="AV45" s="14">
        <f t="shared" si="38"/>
        <v>93.3319391542341</v>
      </c>
      <c r="AW45" s="49">
        <f>AW46</f>
        <v>164209</v>
      </c>
      <c r="AX45" s="49">
        <f>AX46</f>
        <v>1875102</v>
      </c>
    </row>
    <row r="46" spans="1:50" s="8" customFormat="1" ht="24.75" customHeight="1">
      <c r="A46" s="38"/>
      <c r="B46" s="1" t="s">
        <v>41</v>
      </c>
      <c r="C46" s="2">
        <f>1689551+21342</f>
        <v>1710893</v>
      </c>
      <c r="D46" s="3">
        <f>607649+2507</f>
        <v>610156</v>
      </c>
      <c r="E46" s="3">
        <f>360139</f>
        <v>360139</v>
      </c>
      <c r="F46" s="14">
        <f t="shared" si="31"/>
        <v>59.024085643671455</v>
      </c>
      <c r="G46" s="3">
        <f>643723+3347</f>
        <v>647070</v>
      </c>
      <c r="H46" s="3">
        <f>392847+1501</f>
        <v>394348</v>
      </c>
      <c r="I46" s="14">
        <f t="shared" si="24"/>
        <v>60.943638246248476</v>
      </c>
      <c r="J46" s="3">
        <f>626549+3373</f>
        <v>629922</v>
      </c>
      <c r="K46" s="3">
        <f>445334+1934</f>
        <v>447268</v>
      </c>
      <c r="L46" s="14">
        <f>K46/J46*100</f>
        <v>71.0037115706389</v>
      </c>
      <c r="M46" s="3">
        <f>D46+G46+J46</f>
        <v>1887148</v>
      </c>
      <c r="N46" s="3">
        <f>E46+H46+K46</f>
        <v>1201755</v>
      </c>
      <c r="O46" s="14">
        <f t="shared" si="3"/>
        <v>63.68101494954291</v>
      </c>
      <c r="P46" s="3">
        <f>310812+1438</f>
        <v>312250</v>
      </c>
      <c r="Q46" s="3">
        <f>401920+4614</f>
        <v>406534</v>
      </c>
      <c r="R46" s="14">
        <f>Q46/P46*100</f>
        <v>130.19503602882304</v>
      </c>
      <c r="S46" s="3">
        <f>142045+336</f>
        <v>142381</v>
      </c>
      <c r="T46" s="3">
        <f>335198+1310</f>
        <v>336508</v>
      </c>
      <c r="U46" s="14">
        <f>T46/S46*100</f>
        <v>236.3433323266447</v>
      </c>
      <c r="V46" s="3">
        <f>67590+262</f>
        <v>67852</v>
      </c>
      <c r="W46" s="3">
        <f>185846+184</f>
        <v>186030</v>
      </c>
      <c r="X46" s="14">
        <f>W46/V46*100</f>
        <v>274.17025290337796</v>
      </c>
      <c r="Y46" s="3">
        <f>P46+S46+V46</f>
        <v>522483</v>
      </c>
      <c r="Z46" s="3">
        <f>Q46+T46+W46</f>
        <v>929072</v>
      </c>
      <c r="AA46" s="14">
        <f t="shared" si="35"/>
        <v>177.81860845233243</v>
      </c>
      <c r="AB46" s="3">
        <f>52760+229</f>
        <v>52989</v>
      </c>
      <c r="AC46" s="3">
        <f>167455+129</f>
        <v>167584</v>
      </c>
      <c r="AD46" s="28">
        <f>AC46/AB46*100</f>
        <v>316.2618656702334</v>
      </c>
      <c r="AE46" s="3"/>
      <c r="AF46" s="3"/>
      <c r="AG46" s="28" t="e">
        <f>AF46/AE46*100</f>
        <v>#DIV/0!</v>
      </c>
      <c r="AH46" s="3"/>
      <c r="AI46" s="3"/>
      <c r="AJ46" s="3">
        <f>AB46+AE46+AH46</f>
        <v>52989</v>
      </c>
      <c r="AK46" s="3">
        <f>AC46+AF46+AI46</f>
        <v>167584</v>
      </c>
      <c r="AL46" s="14">
        <f t="shared" si="37"/>
        <v>316.2618656702334</v>
      </c>
      <c r="AM46" s="3"/>
      <c r="AN46" s="3"/>
      <c r="AO46" s="3"/>
      <c r="AP46" s="3"/>
      <c r="AQ46" s="14" t="e">
        <f t="shared" si="4"/>
        <v>#DIV/0!</v>
      </c>
      <c r="AR46" s="3"/>
      <c r="AS46" s="3"/>
      <c r="AT46" s="3">
        <f>M46+Y46+AJ46+AM46+AO46+AR46</f>
        <v>2462620</v>
      </c>
      <c r="AU46" s="3">
        <f>N46+Z46+AK46+AN46+AP46+AS46</f>
        <v>2298411</v>
      </c>
      <c r="AV46" s="14">
        <f t="shared" si="38"/>
        <v>93.3319391542341</v>
      </c>
      <c r="AW46" s="14">
        <f>AT46-AU46</f>
        <v>164209</v>
      </c>
      <c r="AX46" s="4">
        <f>C46+AT46-AU46</f>
        <v>1875102</v>
      </c>
    </row>
    <row r="47" spans="1:50" s="8" customFormat="1" ht="24.75" customHeight="1">
      <c r="A47" s="38"/>
      <c r="B47" s="1" t="s">
        <v>35</v>
      </c>
      <c r="C47" s="2"/>
      <c r="D47" s="21"/>
      <c r="E47" s="21"/>
      <c r="F47" s="36" t="e">
        <f t="shared" si="31"/>
        <v>#DIV/0!</v>
      </c>
      <c r="G47" s="21"/>
      <c r="H47" s="21"/>
      <c r="I47" s="36" t="e">
        <f t="shared" si="24"/>
        <v>#DIV/0!</v>
      </c>
      <c r="J47" s="21"/>
      <c r="K47" s="21"/>
      <c r="L47" s="36" t="e">
        <f>K47/J47*100</f>
        <v>#DIV/0!</v>
      </c>
      <c r="M47" s="36"/>
      <c r="N47" s="36"/>
      <c r="O47" s="14"/>
      <c r="P47" s="21"/>
      <c r="Q47" s="21"/>
      <c r="R47" s="36" t="e">
        <f>Q47/P47*100</f>
        <v>#DIV/0!</v>
      </c>
      <c r="S47" s="21"/>
      <c r="T47" s="21"/>
      <c r="U47" s="36" t="e">
        <f>T47/S47*100</f>
        <v>#DIV/0!</v>
      </c>
      <c r="V47" s="21"/>
      <c r="W47" s="21"/>
      <c r="X47" s="36" t="e">
        <f>W47/V47*100</f>
        <v>#DIV/0!</v>
      </c>
      <c r="Y47" s="36"/>
      <c r="Z47" s="36"/>
      <c r="AA47" s="14"/>
      <c r="AB47" s="21"/>
      <c r="AC47" s="21"/>
      <c r="AD47" s="28" t="e">
        <f>AC47/AB47*100</f>
        <v>#DIV/0!</v>
      </c>
      <c r="AE47" s="21"/>
      <c r="AF47" s="21"/>
      <c r="AG47" s="28" t="e">
        <f>AF47/AE47*100</f>
        <v>#DIV/0!</v>
      </c>
      <c r="AH47" s="21"/>
      <c r="AI47" s="21"/>
      <c r="AJ47" s="36"/>
      <c r="AK47" s="36"/>
      <c r="AL47" s="14"/>
      <c r="AM47" s="21"/>
      <c r="AN47" s="21"/>
      <c r="AO47" s="21"/>
      <c r="AP47" s="21"/>
      <c r="AQ47" s="28" t="e">
        <f t="shared" si="4"/>
        <v>#DIV/0!</v>
      </c>
      <c r="AR47" s="21"/>
      <c r="AS47" s="21"/>
      <c r="AT47" s="21"/>
      <c r="AU47" s="21"/>
      <c r="AV47" s="36" t="e">
        <f>AU47/AT47*100</f>
        <v>#DIV/0!</v>
      </c>
      <c r="AW47" s="36"/>
      <c r="AX47" s="69">
        <f>C47+D47-E47</f>
        <v>0</v>
      </c>
    </row>
    <row r="48" spans="1:53" s="8" customFormat="1" ht="24.75" customHeight="1">
      <c r="A48" s="38"/>
      <c r="B48" s="16" t="s">
        <v>42</v>
      </c>
      <c r="C48" s="48">
        <f>C7+C45</f>
        <v>1893919</v>
      </c>
      <c r="D48" s="4">
        <f>D7+D45</f>
        <v>689656.9</v>
      </c>
      <c r="E48" s="4">
        <f>E7+E45</f>
        <v>388464</v>
      </c>
      <c r="F48" s="14">
        <f t="shared" si="31"/>
        <v>56.32713890051705</v>
      </c>
      <c r="G48" s="4">
        <f>G7+G45</f>
        <v>713206.7</v>
      </c>
      <c r="H48" s="4">
        <f>H7+H45</f>
        <v>432178.3</v>
      </c>
      <c r="I48" s="14">
        <f>H48/G48*100</f>
        <v>60.59650028526092</v>
      </c>
      <c r="J48" s="4">
        <f>J7+J45</f>
        <v>697858.9</v>
      </c>
      <c r="K48" s="4">
        <f>K7+K45</f>
        <v>489353.9</v>
      </c>
      <c r="L48" s="4">
        <f>K48/J48*100</f>
        <v>70.12218372510546</v>
      </c>
      <c r="M48" s="4">
        <f>M7+M45</f>
        <v>2100722.5</v>
      </c>
      <c r="N48" s="4">
        <f>N7+N45</f>
        <v>1309996.2</v>
      </c>
      <c r="O48" s="14">
        <f t="shared" si="3"/>
        <v>62.359316854082344</v>
      </c>
      <c r="P48" s="4">
        <f>P7+P45</f>
        <v>317667.7</v>
      </c>
      <c r="Q48" s="4">
        <f>Q7+Q45</f>
        <v>443584</v>
      </c>
      <c r="R48" s="14">
        <f>Q48/P48*100</f>
        <v>139.6377409475373</v>
      </c>
      <c r="S48" s="4">
        <f>S7+S45</f>
        <v>147803.65</v>
      </c>
      <c r="T48" s="4">
        <f>T7+T45</f>
        <v>357605.61</v>
      </c>
      <c r="U48" s="14">
        <f>T48/S48*100</f>
        <v>241.94639983518672</v>
      </c>
      <c r="V48" s="4">
        <f>V7+V45</f>
        <v>69020.6</v>
      </c>
      <c r="W48" s="4">
        <f>W7+W45</f>
        <v>198971.9</v>
      </c>
      <c r="X48" s="14">
        <f>W48/V48*100</f>
        <v>288.27900655746254</v>
      </c>
      <c r="Y48" s="4">
        <f>Y7+Y45</f>
        <v>534491.95</v>
      </c>
      <c r="Z48" s="4">
        <f>Z7+Z45</f>
        <v>1000161.51</v>
      </c>
      <c r="AA48" s="14">
        <f>Z48/Y48*100</f>
        <v>187.12377426825606</v>
      </c>
      <c r="AB48" s="4">
        <f>AB7+AB45</f>
        <v>54525.9</v>
      </c>
      <c r="AC48" s="4">
        <f>AC7+AC45</f>
        <v>179655.5</v>
      </c>
      <c r="AD48" s="28">
        <f>AC48/AB48*100</f>
        <v>329.4865375903928</v>
      </c>
      <c r="AE48" s="4">
        <f>AE7+AE45</f>
        <v>0</v>
      </c>
      <c r="AF48" s="4">
        <f>AF7+AF45</f>
        <v>0</v>
      </c>
      <c r="AG48" s="28" t="e">
        <f>AF48/AE48*100</f>
        <v>#DIV/0!</v>
      </c>
      <c r="AH48" s="4">
        <f>AH7+AH45</f>
        <v>0</v>
      </c>
      <c r="AI48" s="4">
        <f>AI7+AI45</f>
        <v>0</v>
      </c>
      <c r="AJ48" s="4">
        <f>AJ7+AJ45</f>
        <v>54525.9</v>
      </c>
      <c r="AK48" s="4">
        <f>AK7+AK45</f>
        <v>179655.5</v>
      </c>
      <c r="AL48" s="14">
        <f>AK48/AJ48*100</f>
        <v>329.4865375903928</v>
      </c>
      <c r="AM48" s="4">
        <f aca="true" t="shared" si="42" ref="AM48:AU48">AM7+AM45</f>
        <v>0</v>
      </c>
      <c r="AN48" s="4">
        <f t="shared" si="42"/>
        <v>0</v>
      </c>
      <c r="AO48" s="4">
        <f t="shared" si="42"/>
        <v>0</v>
      </c>
      <c r="AP48" s="4">
        <f t="shared" si="42"/>
        <v>0</v>
      </c>
      <c r="AQ48" s="14" t="e">
        <f t="shared" si="4"/>
        <v>#DIV/0!</v>
      </c>
      <c r="AR48" s="4">
        <f>AR7+AR45</f>
        <v>0</v>
      </c>
      <c r="AS48" s="4">
        <f>AS7+AS45</f>
        <v>0</v>
      </c>
      <c r="AT48" s="4">
        <f t="shared" si="42"/>
        <v>2689740.35</v>
      </c>
      <c r="AU48" s="4">
        <f t="shared" si="42"/>
        <v>2489813.21</v>
      </c>
      <c r="AV48" s="14">
        <f>AU48/AT48*100</f>
        <v>92.56704685268227</v>
      </c>
      <c r="AW48" s="49">
        <f>AW7+AW45</f>
        <v>199927.14</v>
      </c>
      <c r="AX48" s="49">
        <f>AX7+AX45</f>
        <v>2093846.1400000001</v>
      </c>
      <c r="AY48" s="20">
        <f>AT48-AU48</f>
        <v>199927.14000000013</v>
      </c>
      <c r="BA48" s="20">
        <f>C48+AT48-AU48</f>
        <v>2093846.1399999997</v>
      </c>
    </row>
    <row r="49" spans="1:50" s="8" customFormat="1" ht="24.75" customHeight="1">
      <c r="A49" s="79"/>
      <c r="B49" s="80"/>
      <c r="C49" s="81"/>
      <c r="D49" s="75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75"/>
      <c r="AU49" s="17"/>
      <c r="AV49" s="17"/>
      <c r="AW49" s="17"/>
      <c r="AX49" s="31"/>
    </row>
    <row r="50" spans="1:50" s="8" customFormat="1" ht="15.75" customHeight="1" hidden="1">
      <c r="A50" s="38"/>
      <c r="B50" s="8" t="s">
        <v>45</v>
      </c>
      <c r="C50" s="81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8"/>
    </row>
    <row r="51" spans="1:50" s="8" customFormat="1" ht="6" customHeight="1" hidden="1">
      <c r="A51" s="79"/>
      <c r="C51" s="81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8"/>
    </row>
    <row r="52" spans="1:50" s="8" customFormat="1" ht="18" customHeight="1" hidden="1">
      <c r="A52" s="38"/>
      <c r="B52" s="8" t="s">
        <v>46</v>
      </c>
      <c r="C52" s="81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8"/>
    </row>
    <row r="53" spans="1:52" ht="73.5" customHeight="1" hidden="1">
      <c r="A53" s="151" t="s">
        <v>59</v>
      </c>
      <c r="B53" s="151"/>
      <c r="C53" s="151"/>
      <c r="D53" s="56"/>
      <c r="E53" s="56"/>
      <c r="F53" s="55"/>
      <c r="G53" s="31"/>
      <c r="H53" s="31"/>
      <c r="I53" s="55"/>
      <c r="J53" s="31"/>
      <c r="K53" s="31"/>
      <c r="L53" s="55"/>
      <c r="M53" s="55"/>
      <c r="N53" s="55"/>
      <c r="O53" s="55"/>
      <c r="P53" s="31"/>
      <c r="Q53" s="31"/>
      <c r="R53" s="55"/>
      <c r="S53" s="31"/>
      <c r="T53" s="31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6"/>
      <c r="AU53" s="56"/>
      <c r="AV53" s="55"/>
      <c r="AW53" s="31"/>
      <c r="AX53" s="57" t="s">
        <v>57</v>
      </c>
      <c r="AY53" s="55"/>
      <c r="AZ53" s="57" t="s">
        <v>57</v>
      </c>
    </row>
    <row r="54" spans="3:50" ht="24.75" customHeight="1" hidden="1">
      <c r="C54" s="66"/>
      <c r="D54" s="31"/>
      <c r="E54" s="31"/>
      <c r="F54" s="55"/>
      <c r="G54" s="31"/>
      <c r="H54" s="31"/>
      <c r="I54" s="55"/>
      <c r="J54" s="31"/>
      <c r="K54" s="31"/>
      <c r="L54" s="55"/>
      <c r="M54" s="55"/>
      <c r="N54" s="55"/>
      <c r="O54" s="55"/>
      <c r="P54" s="31"/>
      <c r="Q54" s="31"/>
      <c r="R54" s="55"/>
      <c r="S54" s="31"/>
      <c r="T54" s="31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31"/>
      <c r="AU54" s="31"/>
      <c r="AV54" s="55"/>
      <c r="AW54" s="31"/>
      <c r="AX54" s="31"/>
    </row>
    <row r="55" spans="1:50" s="64" customFormat="1" ht="80.25" customHeight="1">
      <c r="A55" s="59"/>
      <c r="B55" s="150" t="s">
        <v>61</v>
      </c>
      <c r="C55" s="150"/>
      <c r="D55" s="60"/>
      <c r="E55" s="60"/>
      <c r="F55" s="61"/>
      <c r="G55" s="62"/>
      <c r="H55" s="62"/>
      <c r="I55" s="61"/>
      <c r="J55" s="62"/>
      <c r="K55" s="62"/>
      <c r="L55" s="61"/>
      <c r="M55" s="61"/>
      <c r="N55" s="61"/>
      <c r="O55" s="61"/>
      <c r="P55" s="62"/>
      <c r="Q55" s="62"/>
      <c r="R55" s="61"/>
      <c r="S55" s="62"/>
      <c r="T55" s="62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0"/>
      <c r="AU55" s="60"/>
      <c r="AV55" s="61"/>
      <c r="AW55" s="62"/>
      <c r="AX55" s="63" t="s">
        <v>60</v>
      </c>
    </row>
    <row r="56" spans="3:50" ht="18.75">
      <c r="C56" s="91"/>
      <c r="D56" s="27"/>
      <c r="E56" s="27"/>
      <c r="F56" s="65"/>
      <c r="G56" s="27"/>
      <c r="H56" s="27"/>
      <c r="I56" s="65"/>
      <c r="J56" s="27"/>
      <c r="K56" s="27"/>
      <c r="L56" s="65"/>
      <c r="M56" s="65"/>
      <c r="N56" s="65"/>
      <c r="O56" s="65"/>
      <c r="P56" s="27"/>
      <c r="Q56" s="27"/>
      <c r="R56" s="65"/>
      <c r="S56" s="27"/>
      <c r="T56" s="27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65"/>
      <c r="AK56" s="65"/>
      <c r="AL56" s="65"/>
      <c r="AM56" s="65"/>
      <c r="AN56" s="65"/>
      <c r="AO56" s="65"/>
      <c r="AP56" s="65"/>
      <c r="AQ56" s="65"/>
      <c r="AR56" s="65"/>
      <c r="AS56" s="65"/>
      <c r="AT56" s="27"/>
      <c r="AU56" s="27"/>
      <c r="AV56" s="65"/>
      <c r="AW56" s="27"/>
      <c r="AX56" s="27"/>
    </row>
    <row r="57" spans="2:50" ht="18.75">
      <c r="B57" s="5" t="s">
        <v>11</v>
      </c>
      <c r="C57" s="77">
        <v>1256.9</v>
      </c>
      <c r="D57" s="3">
        <v>1154.2</v>
      </c>
      <c r="E57" s="3">
        <v>1213.3</v>
      </c>
      <c r="F57" s="14"/>
      <c r="G57" s="3">
        <v>142.7</v>
      </c>
      <c r="H57" s="3">
        <v>103.3</v>
      </c>
      <c r="I57" s="14"/>
      <c r="J57" s="3">
        <v>142.7</v>
      </c>
      <c r="K57" s="3">
        <v>103.3</v>
      </c>
      <c r="L57" s="14"/>
      <c r="M57" s="14"/>
      <c r="N57" s="14"/>
      <c r="O57" s="14"/>
      <c r="P57" s="3">
        <v>142.7</v>
      </c>
      <c r="Q57" s="3">
        <v>103.3</v>
      </c>
      <c r="R57" s="14"/>
      <c r="S57" s="3">
        <v>142.7</v>
      </c>
      <c r="T57" s="3">
        <v>103.3</v>
      </c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3">
        <v>1154.2</v>
      </c>
      <c r="AU57" s="3">
        <v>1213.3</v>
      </c>
      <c r="AV57" s="14"/>
      <c r="AW57" s="3"/>
      <c r="AX57" s="4">
        <f>C57+D57-E57</f>
        <v>1197.8000000000004</v>
      </c>
    </row>
    <row r="58" spans="2:50" ht="18.75">
      <c r="B58" s="5" t="s">
        <v>12</v>
      </c>
      <c r="C58" s="91">
        <v>1174.8</v>
      </c>
      <c r="D58" s="27">
        <v>1415.7</v>
      </c>
      <c r="E58" s="27">
        <v>1436.1</v>
      </c>
      <c r="F58" s="65"/>
      <c r="G58" s="27"/>
      <c r="H58" s="27"/>
      <c r="I58" s="65"/>
      <c r="J58" s="27"/>
      <c r="K58" s="27"/>
      <c r="L58" s="65"/>
      <c r="M58" s="65"/>
      <c r="N58" s="65"/>
      <c r="O58" s="65"/>
      <c r="P58" s="27"/>
      <c r="Q58" s="27"/>
      <c r="R58" s="65"/>
      <c r="S58" s="27"/>
      <c r="T58" s="27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5"/>
      <c r="AI58" s="65"/>
      <c r="AJ58" s="65"/>
      <c r="AK58" s="65"/>
      <c r="AL58" s="65"/>
      <c r="AM58" s="65"/>
      <c r="AN58" s="65"/>
      <c r="AO58" s="65"/>
      <c r="AP58" s="65"/>
      <c r="AQ58" s="65"/>
      <c r="AR58" s="65"/>
      <c r="AS58" s="65"/>
      <c r="AT58" s="27">
        <v>1415.7</v>
      </c>
      <c r="AU58" s="27">
        <v>1436.1</v>
      </c>
      <c r="AV58" s="65"/>
      <c r="AW58" s="27"/>
      <c r="AX58" s="4">
        <f>C58+D58-E58</f>
        <v>1154.4</v>
      </c>
    </row>
    <row r="59" spans="3:50" ht="18.75">
      <c r="C59" s="91"/>
      <c r="D59" s="27"/>
      <c r="E59" s="27"/>
      <c r="F59" s="65"/>
      <c r="G59" s="27"/>
      <c r="H59" s="27"/>
      <c r="I59" s="65"/>
      <c r="J59" s="27"/>
      <c r="K59" s="27"/>
      <c r="L59" s="65"/>
      <c r="M59" s="65"/>
      <c r="N59" s="65"/>
      <c r="O59" s="65"/>
      <c r="P59" s="27"/>
      <c r="Q59" s="27"/>
      <c r="R59" s="65"/>
      <c r="S59" s="27"/>
      <c r="T59" s="27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O59" s="65"/>
      <c r="AP59" s="65"/>
      <c r="AQ59" s="65"/>
      <c r="AR59" s="65"/>
      <c r="AS59" s="65"/>
      <c r="AT59" s="27"/>
      <c r="AU59" s="27"/>
      <c r="AV59" s="65"/>
      <c r="AW59" s="27"/>
      <c r="AX59" s="27"/>
    </row>
    <row r="60" spans="3:50" ht="18.75">
      <c r="C60" s="91"/>
      <c r="D60" s="27"/>
      <c r="E60" s="27"/>
      <c r="F60" s="65"/>
      <c r="G60" s="27"/>
      <c r="H60" s="27"/>
      <c r="I60" s="65"/>
      <c r="J60" s="27"/>
      <c r="K60" s="27"/>
      <c r="L60" s="65"/>
      <c r="M60" s="65"/>
      <c r="N60" s="65"/>
      <c r="O60" s="65"/>
      <c r="P60" s="27"/>
      <c r="Q60" s="27"/>
      <c r="R60" s="65"/>
      <c r="S60" s="27"/>
      <c r="T60" s="27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65"/>
      <c r="AL60" s="65"/>
      <c r="AM60" s="65"/>
      <c r="AN60" s="65"/>
      <c r="AO60" s="65"/>
      <c r="AP60" s="65"/>
      <c r="AQ60" s="65"/>
      <c r="AR60" s="65"/>
      <c r="AS60" s="65"/>
      <c r="AT60" s="27"/>
      <c r="AU60" s="27"/>
      <c r="AV60" s="65"/>
      <c r="AW60" s="27"/>
      <c r="AX60" s="27"/>
    </row>
    <row r="61" spans="2:50" ht="18.75">
      <c r="B61" s="5" t="s">
        <v>13</v>
      </c>
      <c r="C61" s="91">
        <f>C9+C17+C20+C26+C38+C40+C42</f>
        <v>27215.3</v>
      </c>
      <c r="D61" s="27"/>
      <c r="E61" s="27"/>
      <c r="F61" s="65"/>
      <c r="G61" s="27"/>
      <c r="H61" s="27"/>
      <c r="I61" s="65"/>
      <c r="J61" s="27"/>
      <c r="K61" s="27"/>
      <c r="L61" s="65"/>
      <c r="M61" s="65"/>
      <c r="N61" s="65"/>
      <c r="O61" s="65"/>
      <c r="P61" s="27"/>
      <c r="Q61" s="27"/>
      <c r="R61" s="65"/>
      <c r="S61" s="27"/>
      <c r="T61" s="27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65"/>
      <c r="AJ61" s="65"/>
      <c r="AK61" s="65"/>
      <c r="AL61" s="65"/>
      <c r="AM61" s="65"/>
      <c r="AN61" s="65"/>
      <c r="AO61" s="65"/>
      <c r="AP61" s="65"/>
      <c r="AQ61" s="65"/>
      <c r="AR61" s="65"/>
      <c r="AS61" s="65"/>
      <c r="AT61" s="27"/>
      <c r="AU61" s="27"/>
      <c r="AV61" s="65"/>
      <c r="AW61" s="27"/>
      <c r="AX61" s="27">
        <f>AX9+AX17+AX20+AX26+AX38+AX40+AX42</f>
        <v>40956.399999999994</v>
      </c>
    </row>
    <row r="62" spans="2:50" ht="18.75">
      <c r="B62" s="5" t="s">
        <v>14</v>
      </c>
      <c r="C62" s="91">
        <f>C11+C13+C14+C16+C18+C19+C25</f>
        <v>2252.6</v>
      </c>
      <c r="D62" s="27"/>
      <c r="E62" s="27"/>
      <c r="F62" s="65"/>
      <c r="G62" s="27"/>
      <c r="H62" s="27"/>
      <c r="I62" s="65"/>
      <c r="J62" s="27"/>
      <c r="K62" s="27"/>
      <c r="L62" s="65"/>
      <c r="M62" s="65"/>
      <c r="N62" s="65"/>
      <c r="O62" s="65"/>
      <c r="P62" s="27"/>
      <c r="Q62" s="27"/>
      <c r="R62" s="65"/>
      <c r="S62" s="27"/>
      <c r="T62" s="27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65"/>
      <c r="AH62" s="65"/>
      <c r="AI62" s="65"/>
      <c r="AJ62" s="65"/>
      <c r="AK62" s="65"/>
      <c r="AL62" s="65"/>
      <c r="AM62" s="65"/>
      <c r="AN62" s="65"/>
      <c r="AO62" s="65"/>
      <c r="AP62" s="65"/>
      <c r="AQ62" s="65"/>
      <c r="AR62" s="65"/>
      <c r="AS62" s="65"/>
      <c r="AT62" s="27"/>
      <c r="AU62" s="27"/>
      <c r="AV62" s="65"/>
      <c r="AW62" s="27"/>
      <c r="AX62" s="27">
        <f>AX11+AX13+AX14+AX16+AX18+AX19+AX25</f>
        <v>2821.999999999999</v>
      </c>
    </row>
    <row r="63" spans="3:50" ht="18.75">
      <c r="C63" s="91"/>
      <c r="D63" s="27"/>
      <c r="E63" s="27"/>
      <c r="F63" s="65"/>
      <c r="G63" s="27"/>
      <c r="H63" s="27"/>
      <c r="I63" s="65"/>
      <c r="J63" s="27"/>
      <c r="K63" s="27"/>
      <c r="L63" s="65"/>
      <c r="M63" s="65"/>
      <c r="N63" s="65"/>
      <c r="O63" s="65"/>
      <c r="P63" s="27"/>
      <c r="Q63" s="27"/>
      <c r="R63" s="65"/>
      <c r="S63" s="27"/>
      <c r="T63" s="27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  <c r="AH63" s="65"/>
      <c r="AI63" s="65"/>
      <c r="AJ63" s="65"/>
      <c r="AK63" s="65"/>
      <c r="AL63" s="65"/>
      <c r="AM63" s="65"/>
      <c r="AN63" s="65"/>
      <c r="AO63" s="65"/>
      <c r="AP63" s="65"/>
      <c r="AQ63" s="65"/>
      <c r="AR63" s="65"/>
      <c r="AS63" s="65"/>
      <c r="AT63" s="27"/>
      <c r="AU63" s="27"/>
      <c r="AV63" s="65"/>
      <c r="AW63" s="27"/>
      <c r="AX63" s="27"/>
    </row>
    <row r="64" spans="3:50" ht="18.75">
      <c r="C64" s="91"/>
      <c r="D64" s="27"/>
      <c r="E64" s="27"/>
      <c r="F64" s="65"/>
      <c r="G64" s="27"/>
      <c r="H64" s="27"/>
      <c r="I64" s="65"/>
      <c r="J64" s="27"/>
      <c r="K64" s="27"/>
      <c r="L64" s="65"/>
      <c r="M64" s="65"/>
      <c r="N64" s="65"/>
      <c r="O64" s="65"/>
      <c r="P64" s="27"/>
      <c r="Q64" s="27"/>
      <c r="R64" s="65"/>
      <c r="S64" s="27"/>
      <c r="T64" s="27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5"/>
      <c r="AI64" s="65"/>
      <c r="AJ64" s="65"/>
      <c r="AK64" s="65"/>
      <c r="AL64" s="65"/>
      <c r="AM64" s="65"/>
      <c r="AN64" s="65"/>
      <c r="AO64" s="65"/>
      <c r="AP64" s="65"/>
      <c r="AQ64" s="65"/>
      <c r="AR64" s="65"/>
      <c r="AS64" s="65"/>
      <c r="AT64" s="27"/>
      <c r="AU64" s="27"/>
      <c r="AV64" s="65"/>
      <c r="AW64" s="27"/>
      <c r="AX64" s="27"/>
    </row>
    <row r="65" spans="3:50" ht="18.75">
      <c r="C65" s="91"/>
      <c r="D65" s="27"/>
      <c r="E65" s="27"/>
      <c r="F65" s="65"/>
      <c r="G65" s="27"/>
      <c r="H65" s="27"/>
      <c r="I65" s="65"/>
      <c r="J65" s="27"/>
      <c r="K65" s="27"/>
      <c r="L65" s="65"/>
      <c r="M65" s="65"/>
      <c r="N65" s="65"/>
      <c r="O65" s="65"/>
      <c r="P65" s="27"/>
      <c r="Q65" s="27"/>
      <c r="R65" s="65"/>
      <c r="S65" s="27"/>
      <c r="T65" s="27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5"/>
      <c r="AG65" s="65"/>
      <c r="AH65" s="65"/>
      <c r="AI65" s="65"/>
      <c r="AJ65" s="65"/>
      <c r="AK65" s="65"/>
      <c r="AL65" s="65"/>
      <c r="AM65" s="65"/>
      <c r="AN65" s="65"/>
      <c r="AO65" s="65"/>
      <c r="AP65" s="65"/>
      <c r="AQ65" s="65"/>
      <c r="AR65" s="65"/>
      <c r="AS65" s="65"/>
      <c r="AT65" s="27"/>
      <c r="AU65" s="27"/>
      <c r="AV65" s="65"/>
      <c r="AW65" s="27"/>
      <c r="AX65" s="27"/>
    </row>
    <row r="66" spans="3:50" ht="18.75">
      <c r="C66" s="91"/>
      <c r="D66" s="27"/>
      <c r="E66" s="27"/>
      <c r="F66" s="65"/>
      <c r="G66" s="27"/>
      <c r="H66" s="27"/>
      <c r="I66" s="65"/>
      <c r="J66" s="27"/>
      <c r="K66" s="27"/>
      <c r="L66" s="65"/>
      <c r="M66" s="65"/>
      <c r="N66" s="65"/>
      <c r="O66" s="65"/>
      <c r="P66" s="27"/>
      <c r="Q66" s="27"/>
      <c r="R66" s="65"/>
      <c r="S66" s="27"/>
      <c r="T66" s="27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5"/>
      <c r="AH66" s="65"/>
      <c r="AI66" s="65"/>
      <c r="AJ66" s="65"/>
      <c r="AK66" s="65"/>
      <c r="AL66" s="65"/>
      <c r="AM66" s="65"/>
      <c r="AN66" s="65"/>
      <c r="AO66" s="65"/>
      <c r="AP66" s="65"/>
      <c r="AQ66" s="65"/>
      <c r="AR66" s="65"/>
      <c r="AS66" s="65"/>
      <c r="AT66" s="27"/>
      <c r="AU66" s="27"/>
      <c r="AV66" s="65"/>
      <c r="AW66" s="27"/>
      <c r="AX66" s="27"/>
    </row>
    <row r="67" spans="3:50" ht="18.75">
      <c r="C67" s="91"/>
      <c r="D67" s="27"/>
      <c r="E67" s="27"/>
      <c r="F67" s="65"/>
      <c r="G67" s="27"/>
      <c r="H67" s="27"/>
      <c r="I67" s="65"/>
      <c r="J67" s="27"/>
      <c r="K67" s="27"/>
      <c r="L67" s="65"/>
      <c r="M67" s="65"/>
      <c r="N67" s="65"/>
      <c r="O67" s="65"/>
      <c r="P67" s="27"/>
      <c r="Q67" s="27"/>
      <c r="R67" s="65"/>
      <c r="S67" s="27"/>
      <c r="T67" s="27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5"/>
      <c r="AF67" s="65"/>
      <c r="AG67" s="65"/>
      <c r="AH67" s="65"/>
      <c r="AI67" s="65"/>
      <c r="AJ67" s="65"/>
      <c r="AK67" s="65"/>
      <c r="AL67" s="65"/>
      <c r="AM67" s="65"/>
      <c r="AN67" s="65"/>
      <c r="AO67" s="65"/>
      <c r="AP67" s="65"/>
      <c r="AQ67" s="65"/>
      <c r="AR67" s="65"/>
      <c r="AS67" s="65"/>
      <c r="AT67" s="27"/>
      <c r="AU67" s="27"/>
      <c r="AV67" s="65"/>
      <c r="AW67" s="27"/>
      <c r="AX67" s="27"/>
    </row>
    <row r="68" spans="3:50" ht="18.75">
      <c r="C68" s="91"/>
      <c r="D68" s="27"/>
      <c r="E68" s="27"/>
      <c r="F68" s="65"/>
      <c r="G68" s="27"/>
      <c r="H68" s="27"/>
      <c r="I68" s="65"/>
      <c r="J68" s="27"/>
      <c r="K68" s="27"/>
      <c r="L68" s="65"/>
      <c r="M68" s="65"/>
      <c r="N68" s="65"/>
      <c r="O68" s="65"/>
      <c r="P68" s="27"/>
      <c r="Q68" s="27"/>
      <c r="R68" s="65"/>
      <c r="S68" s="27"/>
      <c r="T68" s="27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  <c r="AG68" s="65"/>
      <c r="AH68" s="65"/>
      <c r="AI68" s="65"/>
      <c r="AJ68" s="65"/>
      <c r="AK68" s="65"/>
      <c r="AL68" s="65"/>
      <c r="AM68" s="65"/>
      <c r="AN68" s="65"/>
      <c r="AO68" s="65"/>
      <c r="AP68" s="65"/>
      <c r="AQ68" s="65"/>
      <c r="AR68" s="65"/>
      <c r="AS68" s="65"/>
      <c r="AT68" s="27"/>
      <c r="AU68" s="27"/>
      <c r="AV68" s="65"/>
      <c r="AW68" s="27"/>
      <c r="AX68" s="27"/>
    </row>
    <row r="69" spans="3:50" ht="18.75">
      <c r="C69" s="91"/>
      <c r="D69" s="27"/>
      <c r="E69" s="27"/>
      <c r="F69" s="65"/>
      <c r="G69" s="27"/>
      <c r="H69" s="27"/>
      <c r="I69" s="65"/>
      <c r="J69" s="27"/>
      <c r="K69" s="27"/>
      <c r="L69" s="65"/>
      <c r="M69" s="65"/>
      <c r="N69" s="65"/>
      <c r="O69" s="65"/>
      <c r="P69" s="27"/>
      <c r="Q69" s="27"/>
      <c r="R69" s="65"/>
      <c r="S69" s="27"/>
      <c r="T69" s="27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  <c r="AG69" s="65"/>
      <c r="AH69" s="65"/>
      <c r="AI69" s="65"/>
      <c r="AJ69" s="65"/>
      <c r="AK69" s="65"/>
      <c r="AL69" s="65"/>
      <c r="AM69" s="65"/>
      <c r="AN69" s="65"/>
      <c r="AO69" s="65"/>
      <c r="AP69" s="65"/>
      <c r="AQ69" s="65"/>
      <c r="AR69" s="65"/>
      <c r="AS69" s="65"/>
      <c r="AT69" s="27"/>
      <c r="AU69" s="27"/>
      <c r="AV69" s="65"/>
      <c r="AW69" s="27"/>
      <c r="AX69" s="27"/>
    </row>
    <row r="70" spans="3:50" ht="18.75">
      <c r="C70" s="91"/>
      <c r="D70" s="27"/>
      <c r="E70" s="27"/>
      <c r="F70" s="65"/>
      <c r="G70" s="27"/>
      <c r="H70" s="27"/>
      <c r="I70" s="65"/>
      <c r="J70" s="27"/>
      <c r="K70" s="27"/>
      <c r="L70" s="65"/>
      <c r="M70" s="65"/>
      <c r="N70" s="65"/>
      <c r="O70" s="65"/>
      <c r="P70" s="27"/>
      <c r="Q70" s="27"/>
      <c r="R70" s="65"/>
      <c r="S70" s="27"/>
      <c r="T70" s="27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  <c r="AG70" s="65"/>
      <c r="AH70" s="65"/>
      <c r="AI70" s="65"/>
      <c r="AJ70" s="65"/>
      <c r="AK70" s="65"/>
      <c r="AL70" s="65"/>
      <c r="AM70" s="65"/>
      <c r="AN70" s="65"/>
      <c r="AO70" s="65"/>
      <c r="AP70" s="65"/>
      <c r="AQ70" s="65"/>
      <c r="AR70" s="65"/>
      <c r="AS70" s="65"/>
      <c r="AT70" s="27"/>
      <c r="AU70" s="27"/>
      <c r="AV70" s="65"/>
      <c r="AW70" s="27"/>
      <c r="AX70" s="27"/>
    </row>
    <row r="71" spans="3:50" ht="18.75">
      <c r="C71" s="91"/>
      <c r="D71" s="27"/>
      <c r="E71" s="27"/>
      <c r="F71" s="65"/>
      <c r="G71" s="27"/>
      <c r="H71" s="27"/>
      <c r="I71" s="65"/>
      <c r="J71" s="27"/>
      <c r="K71" s="27"/>
      <c r="L71" s="65"/>
      <c r="M71" s="65"/>
      <c r="N71" s="65"/>
      <c r="O71" s="65"/>
      <c r="P71" s="27"/>
      <c r="Q71" s="27"/>
      <c r="R71" s="65"/>
      <c r="S71" s="27"/>
      <c r="T71" s="27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65"/>
      <c r="AH71" s="65"/>
      <c r="AI71" s="65"/>
      <c r="AJ71" s="65"/>
      <c r="AK71" s="65"/>
      <c r="AL71" s="65"/>
      <c r="AM71" s="65"/>
      <c r="AN71" s="65"/>
      <c r="AO71" s="65"/>
      <c r="AP71" s="65"/>
      <c r="AQ71" s="65"/>
      <c r="AR71" s="65"/>
      <c r="AS71" s="65"/>
      <c r="AT71" s="27"/>
      <c r="AU71" s="27"/>
      <c r="AV71" s="65"/>
      <c r="AW71" s="27"/>
      <c r="AX71" s="27"/>
    </row>
    <row r="72" spans="3:50" ht="18.75">
      <c r="C72" s="91"/>
      <c r="D72" s="27"/>
      <c r="E72" s="27"/>
      <c r="F72" s="65"/>
      <c r="G72" s="27"/>
      <c r="H72" s="27"/>
      <c r="I72" s="65"/>
      <c r="J72" s="27"/>
      <c r="K72" s="27"/>
      <c r="L72" s="65"/>
      <c r="M72" s="65"/>
      <c r="N72" s="65"/>
      <c r="O72" s="65"/>
      <c r="P72" s="27"/>
      <c r="Q72" s="27"/>
      <c r="R72" s="65"/>
      <c r="S72" s="27"/>
      <c r="T72" s="27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  <c r="AG72" s="65"/>
      <c r="AH72" s="65"/>
      <c r="AI72" s="65"/>
      <c r="AJ72" s="65"/>
      <c r="AK72" s="65"/>
      <c r="AL72" s="65"/>
      <c r="AM72" s="65"/>
      <c r="AN72" s="65"/>
      <c r="AO72" s="65"/>
      <c r="AP72" s="65"/>
      <c r="AQ72" s="65"/>
      <c r="AR72" s="65"/>
      <c r="AS72" s="65"/>
      <c r="AT72" s="27"/>
      <c r="AU72" s="27"/>
      <c r="AV72" s="65"/>
      <c r="AW72" s="27"/>
      <c r="AX72" s="27"/>
    </row>
    <row r="73" spans="3:50" ht="18.75">
      <c r="C73" s="91"/>
      <c r="D73" s="27"/>
      <c r="E73" s="27"/>
      <c r="F73" s="65"/>
      <c r="G73" s="27"/>
      <c r="H73" s="27"/>
      <c r="I73" s="65"/>
      <c r="J73" s="27"/>
      <c r="K73" s="27"/>
      <c r="L73" s="65"/>
      <c r="M73" s="65"/>
      <c r="N73" s="65"/>
      <c r="O73" s="65"/>
      <c r="P73" s="27"/>
      <c r="Q73" s="27"/>
      <c r="R73" s="65"/>
      <c r="S73" s="27"/>
      <c r="T73" s="27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5"/>
      <c r="AG73" s="65"/>
      <c r="AH73" s="65"/>
      <c r="AI73" s="65"/>
      <c r="AJ73" s="65"/>
      <c r="AK73" s="65"/>
      <c r="AL73" s="65"/>
      <c r="AM73" s="65"/>
      <c r="AN73" s="65"/>
      <c r="AO73" s="65"/>
      <c r="AP73" s="65"/>
      <c r="AQ73" s="65"/>
      <c r="AR73" s="65"/>
      <c r="AS73" s="65"/>
      <c r="AT73" s="27"/>
      <c r="AU73" s="27"/>
      <c r="AV73" s="65"/>
      <c r="AW73" s="27"/>
      <c r="AX73" s="27"/>
    </row>
    <row r="74" spans="3:50" ht="18.75">
      <c r="C74" s="91"/>
      <c r="D74" s="27"/>
      <c r="E74" s="27"/>
      <c r="F74" s="65"/>
      <c r="G74" s="27"/>
      <c r="H74" s="27"/>
      <c r="I74" s="65"/>
      <c r="J74" s="27"/>
      <c r="K74" s="27"/>
      <c r="L74" s="65"/>
      <c r="M74" s="65"/>
      <c r="N74" s="65"/>
      <c r="O74" s="65"/>
      <c r="P74" s="27"/>
      <c r="Q74" s="27"/>
      <c r="R74" s="65"/>
      <c r="S74" s="27"/>
      <c r="T74" s="27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5"/>
      <c r="AH74" s="65"/>
      <c r="AI74" s="65"/>
      <c r="AJ74" s="65"/>
      <c r="AK74" s="65"/>
      <c r="AL74" s="65"/>
      <c r="AM74" s="65"/>
      <c r="AN74" s="65"/>
      <c r="AO74" s="65"/>
      <c r="AP74" s="65"/>
      <c r="AQ74" s="65"/>
      <c r="AR74" s="65"/>
      <c r="AS74" s="65"/>
      <c r="AT74" s="27"/>
      <c r="AU74" s="27"/>
      <c r="AV74" s="65"/>
      <c r="AW74" s="27"/>
      <c r="AX74" s="27"/>
    </row>
    <row r="75" spans="3:50" ht="18.75">
      <c r="C75" s="91"/>
      <c r="D75" s="27"/>
      <c r="E75" s="27"/>
      <c r="F75" s="65"/>
      <c r="G75" s="27"/>
      <c r="H75" s="27"/>
      <c r="I75" s="65"/>
      <c r="J75" s="27"/>
      <c r="K75" s="27"/>
      <c r="L75" s="65"/>
      <c r="M75" s="65"/>
      <c r="N75" s="65"/>
      <c r="O75" s="65"/>
      <c r="P75" s="27"/>
      <c r="Q75" s="27"/>
      <c r="R75" s="65"/>
      <c r="S75" s="27"/>
      <c r="T75" s="27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  <c r="AM75" s="65"/>
      <c r="AN75" s="65"/>
      <c r="AO75" s="65"/>
      <c r="AP75" s="65"/>
      <c r="AQ75" s="65"/>
      <c r="AR75" s="65"/>
      <c r="AS75" s="65"/>
      <c r="AT75" s="27"/>
      <c r="AU75" s="27"/>
      <c r="AV75" s="65"/>
      <c r="AW75" s="27"/>
      <c r="AX75" s="27"/>
    </row>
    <row r="76" spans="3:50" ht="18.75">
      <c r="C76" s="91"/>
      <c r="D76" s="27"/>
      <c r="E76" s="27"/>
      <c r="F76" s="65"/>
      <c r="G76" s="27"/>
      <c r="H76" s="27"/>
      <c r="I76" s="65"/>
      <c r="J76" s="27"/>
      <c r="K76" s="27"/>
      <c r="L76" s="65"/>
      <c r="M76" s="65"/>
      <c r="N76" s="65"/>
      <c r="O76" s="65"/>
      <c r="P76" s="27"/>
      <c r="Q76" s="27"/>
      <c r="R76" s="65"/>
      <c r="S76" s="27"/>
      <c r="T76" s="27"/>
      <c r="U76" s="65"/>
      <c r="V76" s="65"/>
      <c r="W76" s="65"/>
      <c r="X76" s="65"/>
      <c r="Y76" s="65"/>
      <c r="Z76" s="65"/>
      <c r="AA76" s="65"/>
      <c r="AB76" s="65"/>
      <c r="AC76" s="65"/>
      <c r="AD76" s="65"/>
      <c r="AE76" s="65"/>
      <c r="AF76" s="65"/>
      <c r="AG76" s="65"/>
      <c r="AH76" s="65"/>
      <c r="AI76" s="65"/>
      <c r="AJ76" s="65"/>
      <c r="AK76" s="65"/>
      <c r="AL76" s="65"/>
      <c r="AM76" s="65"/>
      <c r="AN76" s="65"/>
      <c r="AO76" s="65"/>
      <c r="AP76" s="65"/>
      <c r="AQ76" s="65"/>
      <c r="AR76" s="65"/>
      <c r="AS76" s="65"/>
      <c r="AT76" s="27"/>
      <c r="AU76" s="27"/>
      <c r="AV76" s="65"/>
      <c r="AW76" s="27"/>
      <c r="AX76" s="27"/>
    </row>
    <row r="77" spans="3:50" ht="18.75">
      <c r="C77" s="91"/>
      <c r="D77" s="27"/>
      <c r="E77" s="27"/>
      <c r="F77" s="65"/>
      <c r="G77" s="27"/>
      <c r="H77" s="27"/>
      <c r="I77" s="65"/>
      <c r="J77" s="27"/>
      <c r="K77" s="27"/>
      <c r="L77" s="65"/>
      <c r="M77" s="65"/>
      <c r="N77" s="65"/>
      <c r="O77" s="65"/>
      <c r="P77" s="27"/>
      <c r="Q77" s="27"/>
      <c r="R77" s="65"/>
      <c r="S77" s="27"/>
      <c r="T77" s="27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5"/>
      <c r="AR77" s="65"/>
      <c r="AS77" s="65"/>
      <c r="AT77" s="27"/>
      <c r="AU77" s="27"/>
      <c r="AV77" s="65"/>
      <c r="AW77" s="27"/>
      <c r="AX77" s="27"/>
    </row>
    <row r="78" spans="3:50" ht="18.75">
      <c r="C78" s="91"/>
      <c r="D78" s="27"/>
      <c r="E78" s="27"/>
      <c r="F78" s="65"/>
      <c r="G78" s="27"/>
      <c r="H78" s="27"/>
      <c r="I78" s="65"/>
      <c r="J78" s="27"/>
      <c r="K78" s="27"/>
      <c r="L78" s="65"/>
      <c r="M78" s="65"/>
      <c r="N78" s="65"/>
      <c r="O78" s="65"/>
      <c r="P78" s="27"/>
      <c r="Q78" s="27"/>
      <c r="R78" s="65"/>
      <c r="S78" s="27"/>
      <c r="T78" s="27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5"/>
      <c r="AG78" s="65"/>
      <c r="AH78" s="65"/>
      <c r="AI78" s="65"/>
      <c r="AJ78" s="65"/>
      <c r="AK78" s="65"/>
      <c r="AL78" s="65"/>
      <c r="AM78" s="65"/>
      <c r="AN78" s="65"/>
      <c r="AO78" s="65"/>
      <c r="AP78" s="65"/>
      <c r="AQ78" s="65"/>
      <c r="AR78" s="65"/>
      <c r="AS78" s="65"/>
      <c r="AT78" s="27"/>
      <c r="AU78" s="27"/>
      <c r="AV78" s="65"/>
      <c r="AW78" s="27"/>
      <c r="AX78" s="27"/>
    </row>
    <row r="79" spans="3:50" ht="18.75">
      <c r="C79" s="91"/>
      <c r="D79" s="27"/>
      <c r="E79" s="27"/>
      <c r="F79" s="65"/>
      <c r="G79" s="27"/>
      <c r="H79" s="27"/>
      <c r="I79" s="65"/>
      <c r="J79" s="27"/>
      <c r="K79" s="27"/>
      <c r="L79" s="65"/>
      <c r="M79" s="65"/>
      <c r="N79" s="65"/>
      <c r="O79" s="65"/>
      <c r="P79" s="27"/>
      <c r="Q79" s="27"/>
      <c r="R79" s="65"/>
      <c r="S79" s="27"/>
      <c r="T79" s="27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65"/>
      <c r="AG79" s="65"/>
      <c r="AH79" s="65"/>
      <c r="AI79" s="65"/>
      <c r="AJ79" s="65"/>
      <c r="AK79" s="65"/>
      <c r="AL79" s="65"/>
      <c r="AM79" s="65"/>
      <c r="AN79" s="65"/>
      <c r="AO79" s="65"/>
      <c r="AP79" s="65"/>
      <c r="AQ79" s="65"/>
      <c r="AR79" s="65"/>
      <c r="AS79" s="65"/>
      <c r="AT79" s="27"/>
      <c r="AU79" s="27"/>
      <c r="AV79" s="65"/>
      <c r="AW79" s="27"/>
      <c r="AX79" s="27"/>
    </row>
    <row r="80" spans="3:50" ht="18.75">
      <c r="C80" s="91"/>
      <c r="D80" s="27"/>
      <c r="E80" s="27"/>
      <c r="F80" s="65"/>
      <c r="G80" s="27"/>
      <c r="H80" s="27"/>
      <c r="I80" s="65"/>
      <c r="J80" s="27"/>
      <c r="K80" s="27"/>
      <c r="L80" s="65"/>
      <c r="M80" s="65"/>
      <c r="N80" s="65"/>
      <c r="O80" s="65"/>
      <c r="P80" s="27"/>
      <c r="Q80" s="27"/>
      <c r="R80" s="65"/>
      <c r="S80" s="27"/>
      <c r="T80" s="27"/>
      <c r="U80" s="65"/>
      <c r="V80" s="65"/>
      <c r="W80" s="65"/>
      <c r="X80" s="65"/>
      <c r="Y80" s="65"/>
      <c r="Z80" s="65"/>
      <c r="AA80" s="65"/>
      <c r="AB80" s="65"/>
      <c r="AC80" s="65"/>
      <c r="AD80" s="65"/>
      <c r="AE80" s="65"/>
      <c r="AF80" s="65"/>
      <c r="AG80" s="65"/>
      <c r="AH80" s="65"/>
      <c r="AI80" s="65"/>
      <c r="AJ80" s="65"/>
      <c r="AK80" s="65"/>
      <c r="AL80" s="65"/>
      <c r="AM80" s="65"/>
      <c r="AN80" s="65"/>
      <c r="AO80" s="65"/>
      <c r="AP80" s="65"/>
      <c r="AQ80" s="65"/>
      <c r="AR80" s="65"/>
      <c r="AS80" s="65"/>
      <c r="AT80" s="27"/>
      <c r="AU80" s="27"/>
      <c r="AV80" s="65"/>
      <c r="AW80" s="27"/>
      <c r="AX80" s="27"/>
    </row>
    <row r="81" spans="3:50" ht="18.75">
      <c r="C81" s="91"/>
      <c r="D81" s="27"/>
      <c r="E81" s="27"/>
      <c r="F81" s="65"/>
      <c r="G81" s="27"/>
      <c r="H81" s="27"/>
      <c r="I81" s="65"/>
      <c r="J81" s="27"/>
      <c r="K81" s="27"/>
      <c r="L81" s="65"/>
      <c r="M81" s="65"/>
      <c r="N81" s="65"/>
      <c r="O81" s="65"/>
      <c r="P81" s="27"/>
      <c r="Q81" s="27"/>
      <c r="R81" s="65"/>
      <c r="S81" s="27"/>
      <c r="T81" s="27"/>
      <c r="U81" s="65"/>
      <c r="V81" s="65"/>
      <c r="W81" s="65"/>
      <c r="X81" s="65"/>
      <c r="Y81" s="65"/>
      <c r="Z81" s="65"/>
      <c r="AA81" s="65"/>
      <c r="AB81" s="65"/>
      <c r="AC81" s="65"/>
      <c r="AD81" s="65"/>
      <c r="AE81" s="65"/>
      <c r="AF81" s="65"/>
      <c r="AG81" s="65"/>
      <c r="AH81" s="65"/>
      <c r="AI81" s="65"/>
      <c r="AJ81" s="65"/>
      <c r="AK81" s="65"/>
      <c r="AL81" s="65"/>
      <c r="AM81" s="65"/>
      <c r="AN81" s="65"/>
      <c r="AO81" s="65"/>
      <c r="AP81" s="65"/>
      <c r="AQ81" s="65"/>
      <c r="AR81" s="65"/>
      <c r="AS81" s="65"/>
      <c r="AT81" s="27"/>
      <c r="AU81" s="27"/>
      <c r="AV81" s="65"/>
      <c r="AW81" s="27"/>
      <c r="AX81" s="27"/>
    </row>
    <row r="82" spans="3:50" ht="18.75">
      <c r="C82" s="91"/>
      <c r="D82" s="27"/>
      <c r="E82" s="27"/>
      <c r="F82" s="65"/>
      <c r="G82" s="27"/>
      <c r="H82" s="27"/>
      <c r="I82" s="65"/>
      <c r="J82" s="27"/>
      <c r="K82" s="27"/>
      <c r="L82" s="65"/>
      <c r="M82" s="65"/>
      <c r="N82" s="65"/>
      <c r="O82" s="65"/>
      <c r="P82" s="27"/>
      <c r="Q82" s="27"/>
      <c r="R82" s="65"/>
      <c r="S82" s="27"/>
      <c r="T82" s="27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5"/>
      <c r="AI82" s="65"/>
      <c r="AJ82" s="65"/>
      <c r="AK82" s="65"/>
      <c r="AL82" s="65"/>
      <c r="AM82" s="65"/>
      <c r="AN82" s="65"/>
      <c r="AO82" s="65"/>
      <c r="AP82" s="65"/>
      <c r="AQ82" s="65"/>
      <c r="AR82" s="65"/>
      <c r="AS82" s="65"/>
      <c r="AT82" s="27"/>
      <c r="AU82" s="27"/>
      <c r="AV82" s="65"/>
      <c r="AW82" s="27"/>
      <c r="AX82" s="27"/>
    </row>
    <row r="83" spans="3:50" ht="18.75">
      <c r="C83" s="91"/>
      <c r="D83" s="27"/>
      <c r="E83" s="27"/>
      <c r="F83" s="65"/>
      <c r="G83" s="27"/>
      <c r="H83" s="27"/>
      <c r="I83" s="65"/>
      <c r="J83" s="27"/>
      <c r="K83" s="27"/>
      <c r="L83" s="65"/>
      <c r="M83" s="65"/>
      <c r="N83" s="65"/>
      <c r="O83" s="65"/>
      <c r="P83" s="27"/>
      <c r="Q83" s="27"/>
      <c r="R83" s="65"/>
      <c r="S83" s="27"/>
      <c r="T83" s="27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5"/>
      <c r="AL83" s="65"/>
      <c r="AM83" s="65"/>
      <c r="AN83" s="65"/>
      <c r="AO83" s="65"/>
      <c r="AP83" s="65"/>
      <c r="AQ83" s="65"/>
      <c r="AR83" s="65"/>
      <c r="AS83" s="65"/>
      <c r="AT83" s="27"/>
      <c r="AU83" s="27"/>
      <c r="AV83" s="65"/>
      <c r="AW83" s="27"/>
      <c r="AX83" s="27"/>
    </row>
    <row r="84" spans="3:50" ht="18.75">
      <c r="C84" s="91"/>
      <c r="D84" s="27"/>
      <c r="E84" s="27"/>
      <c r="F84" s="65"/>
      <c r="G84" s="27"/>
      <c r="H84" s="27"/>
      <c r="I84" s="65"/>
      <c r="J84" s="27"/>
      <c r="K84" s="27"/>
      <c r="L84" s="65"/>
      <c r="M84" s="65"/>
      <c r="N84" s="65"/>
      <c r="O84" s="65"/>
      <c r="P84" s="27"/>
      <c r="Q84" s="27"/>
      <c r="R84" s="65"/>
      <c r="S84" s="27"/>
      <c r="T84" s="27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  <c r="AM84" s="65"/>
      <c r="AN84" s="65"/>
      <c r="AO84" s="65"/>
      <c r="AP84" s="65"/>
      <c r="AQ84" s="65"/>
      <c r="AR84" s="65"/>
      <c r="AS84" s="65"/>
      <c r="AT84" s="27"/>
      <c r="AU84" s="27"/>
      <c r="AV84" s="65"/>
      <c r="AW84" s="27"/>
      <c r="AX84" s="27"/>
    </row>
    <row r="85" spans="3:50" ht="18.75">
      <c r="C85" s="91"/>
      <c r="D85" s="27"/>
      <c r="E85" s="27"/>
      <c r="F85" s="65"/>
      <c r="G85" s="27"/>
      <c r="H85" s="27"/>
      <c r="I85" s="65"/>
      <c r="J85" s="27"/>
      <c r="K85" s="27"/>
      <c r="L85" s="65"/>
      <c r="M85" s="65"/>
      <c r="N85" s="65"/>
      <c r="O85" s="65"/>
      <c r="P85" s="27"/>
      <c r="Q85" s="27"/>
      <c r="R85" s="65"/>
      <c r="S85" s="27"/>
      <c r="T85" s="27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5"/>
      <c r="AL85" s="65"/>
      <c r="AM85" s="65"/>
      <c r="AN85" s="65"/>
      <c r="AO85" s="65"/>
      <c r="AP85" s="65"/>
      <c r="AQ85" s="65"/>
      <c r="AR85" s="65"/>
      <c r="AS85" s="65"/>
      <c r="AT85" s="27"/>
      <c r="AU85" s="27"/>
      <c r="AV85" s="65"/>
      <c r="AW85" s="27"/>
      <c r="AX85" s="27"/>
    </row>
    <row r="86" spans="3:50" ht="18.75">
      <c r="C86" s="91"/>
      <c r="D86" s="27"/>
      <c r="E86" s="27"/>
      <c r="F86" s="65"/>
      <c r="G86" s="27"/>
      <c r="H86" s="27"/>
      <c r="I86" s="65"/>
      <c r="J86" s="27"/>
      <c r="K86" s="27"/>
      <c r="L86" s="65"/>
      <c r="M86" s="65"/>
      <c r="N86" s="65"/>
      <c r="O86" s="65"/>
      <c r="P86" s="27"/>
      <c r="Q86" s="27"/>
      <c r="R86" s="65"/>
      <c r="S86" s="27"/>
      <c r="T86" s="27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5"/>
      <c r="AL86" s="65"/>
      <c r="AM86" s="65"/>
      <c r="AN86" s="65"/>
      <c r="AO86" s="65"/>
      <c r="AP86" s="65"/>
      <c r="AQ86" s="65"/>
      <c r="AR86" s="65"/>
      <c r="AS86" s="65"/>
      <c r="AT86" s="27"/>
      <c r="AU86" s="27"/>
      <c r="AV86" s="65"/>
      <c r="AW86" s="27"/>
      <c r="AX86" s="27"/>
    </row>
    <row r="87" spans="3:50" ht="18.75">
      <c r="C87" s="91"/>
      <c r="D87" s="27"/>
      <c r="E87" s="27"/>
      <c r="F87" s="65"/>
      <c r="G87" s="27"/>
      <c r="H87" s="27"/>
      <c r="I87" s="65"/>
      <c r="J87" s="27"/>
      <c r="K87" s="27"/>
      <c r="L87" s="65"/>
      <c r="M87" s="65"/>
      <c r="N87" s="65"/>
      <c r="O87" s="65"/>
      <c r="P87" s="27"/>
      <c r="Q87" s="27"/>
      <c r="R87" s="65"/>
      <c r="S87" s="27"/>
      <c r="T87" s="27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  <c r="AG87" s="65"/>
      <c r="AH87" s="65"/>
      <c r="AI87" s="65"/>
      <c r="AJ87" s="65"/>
      <c r="AK87" s="65"/>
      <c r="AL87" s="65"/>
      <c r="AM87" s="65"/>
      <c r="AN87" s="65"/>
      <c r="AO87" s="65"/>
      <c r="AP87" s="65"/>
      <c r="AQ87" s="65"/>
      <c r="AR87" s="65"/>
      <c r="AS87" s="65"/>
      <c r="AT87" s="27"/>
      <c r="AU87" s="27"/>
      <c r="AV87" s="65"/>
      <c r="AW87" s="27"/>
      <c r="AX87" s="27"/>
    </row>
    <row r="88" spans="3:50" ht="18.75">
      <c r="C88" s="91"/>
      <c r="D88" s="27"/>
      <c r="E88" s="27"/>
      <c r="F88" s="65"/>
      <c r="G88" s="27"/>
      <c r="H88" s="27"/>
      <c r="I88" s="65"/>
      <c r="J88" s="27"/>
      <c r="K88" s="27"/>
      <c r="L88" s="65"/>
      <c r="M88" s="65"/>
      <c r="N88" s="65"/>
      <c r="O88" s="65"/>
      <c r="P88" s="27"/>
      <c r="Q88" s="27"/>
      <c r="R88" s="65"/>
      <c r="S88" s="27"/>
      <c r="T88" s="27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65"/>
      <c r="AF88" s="65"/>
      <c r="AG88" s="65"/>
      <c r="AH88" s="65"/>
      <c r="AI88" s="65"/>
      <c r="AJ88" s="65"/>
      <c r="AK88" s="65"/>
      <c r="AL88" s="65"/>
      <c r="AM88" s="65"/>
      <c r="AN88" s="65"/>
      <c r="AO88" s="65"/>
      <c r="AP88" s="65"/>
      <c r="AQ88" s="65"/>
      <c r="AR88" s="65"/>
      <c r="AS88" s="65"/>
      <c r="AT88" s="27"/>
      <c r="AU88" s="27"/>
      <c r="AV88" s="65"/>
      <c r="AW88" s="27"/>
      <c r="AX88" s="27"/>
    </row>
    <row r="89" spans="3:50" ht="18.75">
      <c r="C89" s="91"/>
      <c r="D89" s="27"/>
      <c r="E89" s="27"/>
      <c r="F89" s="65"/>
      <c r="G89" s="27"/>
      <c r="H89" s="27"/>
      <c r="I89" s="65"/>
      <c r="J89" s="27"/>
      <c r="K89" s="27"/>
      <c r="L89" s="65"/>
      <c r="M89" s="65"/>
      <c r="N89" s="65"/>
      <c r="O89" s="65"/>
      <c r="P89" s="27"/>
      <c r="Q89" s="27"/>
      <c r="R89" s="65"/>
      <c r="S89" s="27"/>
      <c r="T89" s="27"/>
      <c r="U89" s="65"/>
      <c r="V89" s="65"/>
      <c r="W89" s="65"/>
      <c r="X89" s="65"/>
      <c r="Y89" s="65"/>
      <c r="Z89" s="65"/>
      <c r="AA89" s="65"/>
      <c r="AB89" s="65"/>
      <c r="AC89" s="65"/>
      <c r="AD89" s="65"/>
      <c r="AE89" s="65"/>
      <c r="AF89" s="65"/>
      <c r="AG89" s="65"/>
      <c r="AH89" s="65"/>
      <c r="AI89" s="65"/>
      <c r="AJ89" s="65"/>
      <c r="AK89" s="65"/>
      <c r="AL89" s="65"/>
      <c r="AM89" s="65"/>
      <c r="AN89" s="65"/>
      <c r="AO89" s="65"/>
      <c r="AP89" s="65"/>
      <c r="AQ89" s="65"/>
      <c r="AR89" s="65"/>
      <c r="AS89" s="65"/>
      <c r="AT89" s="27"/>
      <c r="AU89" s="27"/>
      <c r="AV89" s="65"/>
      <c r="AW89" s="27"/>
      <c r="AX89" s="27"/>
    </row>
    <row r="90" spans="3:50" ht="18.75">
      <c r="C90" s="91"/>
      <c r="D90" s="27"/>
      <c r="E90" s="27"/>
      <c r="F90" s="65"/>
      <c r="G90" s="27"/>
      <c r="H90" s="27"/>
      <c r="I90" s="65"/>
      <c r="J90" s="27"/>
      <c r="K90" s="27"/>
      <c r="L90" s="65"/>
      <c r="M90" s="65"/>
      <c r="N90" s="65"/>
      <c r="O90" s="65"/>
      <c r="P90" s="27"/>
      <c r="Q90" s="27"/>
      <c r="R90" s="65"/>
      <c r="S90" s="27"/>
      <c r="T90" s="27"/>
      <c r="U90" s="65"/>
      <c r="V90" s="65"/>
      <c r="W90" s="65"/>
      <c r="X90" s="65"/>
      <c r="Y90" s="65"/>
      <c r="Z90" s="65"/>
      <c r="AA90" s="65"/>
      <c r="AB90" s="65"/>
      <c r="AC90" s="65"/>
      <c r="AD90" s="65"/>
      <c r="AE90" s="65"/>
      <c r="AF90" s="65"/>
      <c r="AG90" s="65"/>
      <c r="AH90" s="65"/>
      <c r="AI90" s="65"/>
      <c r="AJ90" s="65"/>
      <c r="AK90" s="65"/>
      <c r="AL90" s="65"/>
      <c r="AM90" s="65"/>
      <c r="AN90" s="65"/>
      <c r="AO90" s="65"/>
      <c r="AP90" s="65"/>
      <c r="AQ90" s="65"/>
      <c r="AR90" s="65"/>
      <c r="AS90" s="65"/>
      <c r="AT90" s="27"/>
      <c r="AU90" s="27"/>
      <c r="AV90" s="65"/>
      <c r="AW90" s="27"/>
      <c r="AX90" s="27"/>
    </row>
    <row r="91" spans="3:50" ht="18.75">
      <c r="C91" s="91"/>
      <c r="D91" s="27"/>
      <c r="E91" s="27"/>
      <c r="F91" s="65"/>
      <c r="G91" s="27"/>
      <c r="H91" s="27"/>
      <c r="I91" s="65"/>
      <c r="J91" s="27"/>
      <c r="K91" s="27"/>
      <c r="L91" s="65"/>
      <c r="M91" s="65"/>
      <c r="N91" s="65"/>
      <c r="O91" s="65"/>
      <c r="P91" s="27"/>
      <c r="Q91" s="27"/>
      <c r="R91" s="65"/>
      <c r="S91" s="27"/>
      <c r="T91" s="27"/>
      <c r="U91" s="65"/>
      <c r="V91" s="65"/>
      <c r="W91" s="65"/>
      <c r="X91" s="65"/>
      <c r="Y91" s="65"/>
      <c r="Z91" s="65"/>
      <c r="AA91" s="65"/>
      <c r="AB91" s="65"/>
      <c r="AC91" s="65"/>
      <c r="AD91" s="65"/>
      <c r="AE91" s="65"/>
      <c r="AF91" s="65"/>
      <c r="AG91" s="65"/>
      <c r="AH91" s="65"/>
      <c r="AI91" s="65"/>
      <c r="AJ91" s="65"/>
      <c r="AK91" s="65"/>
      <c r="AL91" s="65"/>
      <c r="AM91" s="65"/>
      <c r="AN91" s="65"/>
      <c r="AO91" s="65"/>
      <c r="AP91" s="65"/>
      <c r="AQ91" s="65"/>
      <c r="AR91" s="65"/>
      <c r="AS91" s="65"/>
      <c r="AT91" s="27"/>
      <c r="AU91" s="27"/>
      <c r="AV91" s="65"/>
      <c r="AW91" s="27"/>
      <c r="AX91" s="27"/>
    </row>
    <row r="92" spans="3:50" ht="18.75">
      <c r="C92" s="91"/>
      <c r="D92" s="27"/>
      <c r="E92" s="27"/>
      <c r="F92" s="65"/>
      <c r="G92" s="27"/>
      <c r="H92" s="27"/>
      <c r="I92" s="65"/>
      <c r="J92" s="27"/>
      <c r="K92" s="27"/>
      <c r="L92" s="65"/>
      <c r="M92" s="65"/>
      <c r="N92" s="65"/>
      <c r="O92" s="65"/>
      <c r="P92" s="27"/>
      <c r="Q92" s="27"/>
      <c r="R92" s="65"/>
      <c r="S92" s="27"/>
      <c r="T92" s="27"/>
      <c r="U92" s="65"/>
      <c r="V92" s="65"/>
      <c r="W92" s="65"/>
      <c r="X92" s="65"/>
      <c r="Y92" s="65"/>
      <c r="Z92" s="65"/>
      <c r="AA92" s="65"/>
      <c r="AB92" s="65"/>
      <c r="AC92" s="65"/>
      <c r="AD92" s="65"/>
      <c r="AE92" s="65"/>
      <c r="AF92" s="65"/>
      <c r="AG92" s="65"/>
      <c r="AH92" s="65"/>
      <c r="AI92" s="65"/>
      <c r="AJ92" s="65"/>
      <c r="AK92" s="65"/>
      <c r="AL92" s="65"/>
      <c r="AM92" s="65"/>
      <c r="AN92" s="65"/>
      <c r="AO92" s="65"/>
      <c r="AP92" s="65"/>
      <c r="AQ92" s="65"/>
      <c r="AR92" s="65"/>
      <c r="AS92" s="65"/>
      <c r="AT92" s="27"/>
      <c r="AU92" s="27"/>
      <c r="AV92" s="65"/>
      <c r="AW92" s="27"/>
      <c r="AX92" s="27"/>
    </row>
    <row r="93" spans="3:50" ht="18.75">
      <c r="C93" s="91"/>
      <c r="D93" s="27"/>
      <c r="E93" s="27"/>
      <c r="F93" s="65"/>
      <c r="G93" s="27"/>
      <c r="H93" s="27"/>
      <c r="I93" s="65"/>
      <c r="J93" s="27"/>
      <c r="K93" s="27"/>
      <c r="L93" s="65"/>
      <c r="M93" s="65"/>
      <c r="N93" s="65"/>
      <c r="O93" s="65"/>
      <c r="P93" s="27"/>
      <c r="Q93" s="27"/>
      <c r="R93" s="65"/>
      <c r="S93" s="27"/>
      <c r="T93" s="27"/>
      <c r="U93" s="65"/>
      <c r="V93" s="65"/>
      <c r="W93" s="65"/>
      <c r="X93" s="65"/>
      <c r="Y93" s="65"/>
      <c r="Z93" s="65"/>
      <c r="AA93" s="65"/>
      <c r="AB93" s="65"/>
      <c r="AC93" s="65"/>
      <c r="AD93" s="65"/>
      <c r="AE93" s="65"/>
      <c r="AF93" s="65"/>
      <c r="AG93" s="65"/>
      <c r="AH93" s="65"/>
      <c r="AI93" s="65"/>
      <c r="AJ93" s="65"/>
      <c r="AK93" s="65"/>
      <c r="AL93" s="65"/>
      <c r="AM93" s="65"/>
      <c r="AN93" s="65"/>
      <c r="AO93" s="65"/>
      <c r="AP93" s="65"/>
      <c r="AQ93" s="65"/>
      <c r="AR93" s="65"/>
      <c r="AS93" s="65"/>
      <c r="AT93" s="27"/>
      <c r="AU93" s="27"/>
      <c r="AV93" s="65"/>
      <c r="AW93" s="27"/>
      <c r="AX93" s="27"/>
    </row>
    <row r="94" spans="3:50" ht="18.75">
      <c r="C94" s="91"/>
      <c r="D94" s="27"/>
      <c r="E94" s="27"/>
      <c r="F94" s="65"/>
      <c r="G94" s="27"/>
      <c r="H94" s="27"/>
      <c r="I94" s="65"/>
      <c r="J94" s="27"/>
      <c r="K94" s="27"/>
      <c r="L94" s="65"/>
      <c r="M94" s="65"/>
      <c r="N94" s="65"/>
      <c r="O94" s="65"/>
      <c r="P94" s="27"/>
      <c r="Q94" s="27"/>
      <c r="R94" s="65"/>
      <c r="S94" s="27"/>
      <c r="T94" s="27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/>
      <c r="AF94" s="65"/>
      <c r="AG94" s="65"/>
      <c r="AH94" s="65"/>
      <c r="AI94" s="65"/>
      <c r="AJ94" s="65"/>
      <c r="AK94" s="65"/>
      <c r="AL94" s="65"/>
      <c r="AM94" s="65"/>
      <c r="AN94" s="65"/>
      <c r="AO94" s="65"/>
      <c r="AP94" s="65"/>
      <c r="AQ94" s="65"/>
      <c r="AR94" s="65"/>
      <c r="AS94" s="65"/>
      <c r="AT94" s="27"/>
      <c r="AU94" s="27"/>
      <c r="AV94" s="65"/>
      <c r="AW94" s="27"/>
      <c r="AX94" s="27"/>
    </row>
    <row r="95" spans="3:50" ht="18.75">
      <c r="C95" s="91"/>
      <c r="D95" s="27"/>
      <c r="E95" s="27"/>
      <c r="F95" s="65"/>
      <c r="G95" s="27"/>
      <c r="H95" s="27"/>
      <c r="I95" s="65"/>
      <c r="J95" s="27"/>
      <c r="K95" s="27"/>
      <c r="L95" s="65"/>
      <c r="M95" s="65"/>
      <c r="N95" s="65"/>
      <c r="O95" s="65"/>
      <c r="P95" s="27"/>
      <c r="Q95" s="27"/>
      <c r="R95" s="65"/>
      <c r="S95" s="27"/>
      <c r="T95" s="27"/>
      <c r="U95" s="65"/>
      <c r="V95" s="65"/>
      <c r="W95" s="65"/>
      <c r="X95" s="65"/>
      <c r="Y95" s="65"/>
      <c r="Z95" s="65"/>
      <c r="AA95" s="65"/>
      <c r="AB95" s="65"/>
      <c r="AC95" s="65"/>
      <c r="AD95" s="65"/>
      <c r="AE95" s="65"/>
      <c r="AF95" s="65"/>
      <c r="AG95" s="65"/>
      <c r="AH95" s="65"/>
      <c r="AI95" s="65"/>
      <c r="AJ95" s="65"/>
      <c r="AK95" s="65"/>
      <c r="AL95" s="65"/>
      <c r="AM95" s="65"/>
      <c r="AN95" s="65"/>
      <c r="AO95" s="65"/>
      <c r="AP95" s="65"/>
      <c r="AQ95" s="65"/>
      <c r="AR95" s="65"/>
      <c r="AS95" s="65"/>
      <c r="AT95" s="27"/>
      <c r="AU95" s="27"/>
      <c r="AV95" s="65"/>
      <c r="AW95" s="27"/>
      <c r="AX95" s="27"/>
    </row>
    <row r="96" spans="3:50" ht="18.75">
      <c r="C96" s="91"/>
      <c r="D96" s="27"/>
      <c r="E96" s="27"/>
      <c r="F96" s="65"/>
      <c r="G96" s="27"/>
      <c r="H96" s="27"/>
      <c r="I96" s="65"/>
      <c r="J96" s="27"/>
      <c r="K96" s="27"/>
      <c r="L96" s="65"/>
      <c r="M96" s="65"/>
      <c r="N96" s="65"/>
      <c r="O96" s="65"/>
      <c r="P96" s="27"/>
      <c r="Q96" s="27"/>
      <c r="R96" s="65"/>
      <c r="S96" s="27"/>
      <c r="T96" s="27"/>
      <c r="U96" s="65"/>
      <c r="V96" s="65"/>
      <c r="W96" s="65"/>
      <c r="X96" s="65"/>
      <c r="Y96" s="65"/>
      <c r="Z96" s="65"/>
      <c r="AA96" s="65"/>
      <c r="AB96" s="65"/>
      <c r="AC96" s="65"/>
      <c r="AD96" s="65"/>
      <c r="AE96" s="65"/>
      <c r="AF96" s="65"/>
      <c r="AG96" s="65"/>
      <c r="AH96" s="65"/>
      <c r="AI96" s="65"/>
      <c r="AJ96" s="65"/>
      <c r="AK96" s="65"/>
      <c r="AL96" s="65"/>
      <c r="AM96" s="65"/>
      <c r="AN96" s="65"/>
      <c r="AO96" s="65"/>
      <c r="AP96" s="65"/>
      <c r="AQ96" s="65"/>
      <c r="AR96" s="65"/>
      <c r="AS96" s="65"/>
      <c r="AT96" s="27"/>
      <c r="AU96" s="27"/>
      <c r="AV96" s="65"/>
      <c r="AW96" s="27"/>
      <c r="AX96" s="27"/>
    </row>
    <row r="97" spans="3:50" ht="18.75">
      <c r="C97" s="91"/>
      <c r="D97" s="27"/>
      <c r="E97" s="27"/>
      <c r="F97" s="65"/>
      <c r="G97" s="27"/>
      <c r="H97" s="27"/>
      <c r="I97" s="65"/>
      <c r="J97" s="27"/>
      <c r="K97" s="27"/>
      <c r="L97" s="65"/>
      <c r="M97" s="65"/>
      <c r="N97" s="65"/>
      <c r="O97" s="65"/>
      <c r="P97" s="27"/>
      <c r="Q97" s="27"/>
      <c r="R97" s="65"/>
      <c r="S97" s="27"/>
      <c r="T97" s="27"/>
      <c r="U97" s="65"/>
      <c r="V97" s="65"/>
      <c r="W97" s="65"/>
      <c r="X97" s="65"/>
      <c r="Y97" s="65"/>
      <c r="Z97" s="65"/>
      <c r="AA97" s="65"/>
      <c r="AB97" s="65"/>
      <c r="AC97" s="65"/>
      <c r="AD97" s="65"/>
      <c r="AE97" s="65"/>
      <c r="AF97" s="65"/>
      <c r="AG97" s="65"/>
      <c r="AH97" s="65"/>
      <c r="AI97" s="65"/>
      <c r="AJ97" s="65"/>
      <c r="AK97" s="65"/>
      <c r="AL97" s="65"/>
      <c r="AM97" s="65"/>
      <c r="AN97" s="65"/>
      <c r="AO97" s="65"/>
      <c r="AP97" s="65"/>
      <c r="AQ97" s="65"/>
      <c r="AR97" s="65"/>
      <c r="AS97" s="65"/>
      <c r="AT97" s="27"/>
      <c r="AU97" s="27"/>
      <c r="AV97" s="65"/>
      <c r="AW97" s="27"/>
      <c r="AX97" s="27"/>
    </row>
    <row r="98" spans="3:50" ht="18.75">
      <c r="C98" s="91"/>
      <c r="D98" s="27"/>
      <c r="E98" s="27"/>
      <c r="F98" s="65"/>
      <c r="G98" s="27"/>
      <c r="H98" s="27"/>
      <c r="I98" s="65"/>
      <c r="J98" s="27"/>
      <c r="K98" s="27"/>
      <c r="L98" s="65"/>
      <c r="M98" s="65"/>
      <c r="N98" s="65"/>
      <c r="O98" s="65"/>
      <c r="P98" s="27"/>
      <c r="Q98" s="27"/>
      <c r="R98" s="65"/>
      <c r="S98" s="27"/>
      <c r="T98" s="27"/>
      <c r="U98" s="65"/>
      <c r="V98" s="65"/>
      <c r="W98" s="65"/>
      <c r="X98" s="65"/>
      <c r="Y98" s="65"/>
      <c r="Z98" s="65"/>
      <c r="AA98" s="65"/>
      <c r="AB98" s="65"/>
      <c r="AC98" s="65"/>
      <c r="AD98" s="65"/>
      <c r="AE98" s="65"/>
      <c r="AF98" s="65"/>
      <c r="AG98" s="65"/>
      <c r="AH98" s="65"/>
      <c r="AI98" s="65"/>
      <c r="AJ98" s="65"/>
      <c r="AK98" s="65"/>
      <c r="AL98" s="65"/>
      <c r="AM98" s="65"/>
      <c r="AN98" s="65"/>
      <c r="AO98" s="65"/>
      <c r="AP98" s="65"/>
      <c r="AQ98" s="65"/>
      <c r="AR98" s="65"/>
      <c r="AS98" s="65"/>
      <c r="AT98" s="27"/>
      <c r="AU98" s="27"/>
      <c r="AV98" s="65"/>
      <c r="AW98" s="27"/>
      <c r="AX98" s="27"/>
    </row>
    <row r="99" spans="3:50" ht="18.75">
      <c r="C99" s="91"/>
      <c r="D99" s="27"/>
      <c r="E99" s="27"/>
      <c r="F99" s="65"/>
      <c r="G99" s="27"/>
      <c r="H99" s="27"/>
      <c r="I99" s="65"/>
      <c r="J99" s="27"/>
      <c r="K99" s="27"/>
      <c r="L99" s="65"/>
      <c r="M99" s="65"/>
      <c r="N99" s="65"/>
      <c r="O99" s="65"/>
      <c r="P99" s="27"/>
      <c r="Q99" s="27"/>
      <c r="R99" s="65"/>
      <c r="S99" s="27"/>
      <c r="T99" s="27"/>
      <c r="U99" s="65"/>
      <c r="V99" s="65"/>
      <c r="W99" s="65"/>
      <c r="X99" s="65"/>
      <c r="Y99" s="65"/>
      <c r="Z99" s="65"/>
      <c r="AA99" s="65"/>
      <c r="AB99" s="65"/>
      <c r="AC99" s="65"/>
      <c r="AD99" s="65"/>
      <c r="AE99" s="65"/>
      <c r="AF99" s="65"/>
      <c r="AG99" s="65"/>
      <c r="AH99" s="65"/>
      <c r="AI99" s="65"/>
      <c r="AJ99" s="65"/>
      <c r="AK99" s="65"/>
      <c r="AL99" s="65"/>
      <c r="AM99" s="65"/>
      <c r="AN99" s="65"/>
      <c r="AO99" s="65"/>
      <c r="AP99" s="65"/>
      <c r="AQ99" s="65"/>
      <c r="AR99" s="65"/>
      <c r="AS99" s="65"/>
      <c r="AT99" s="27"/>
      <c r="AU99" s="27"/>
      <c r="AV99" s="65"/>
      <c r="AW99" s="27"/>
      <c r="AX99" s="27"/>
    </row>
    <row r="100" spans="3:50" ht="18.75">
      <c r="C100" s="91"/>
      <c r="D100" s="27"/>
      <c r="E100" s="27"/>
      <c r="F100" s="65"/>
      <c r="G100" s="27"/>
      <c r="H100" s="27"/>
      <c r="I100" s="65"/>
      <c r="J100" s="27"/>
      <c r="K100" s="27"/>
      <c r="L100" s="65"/>
      <c r="M100" s="65"/>
      <c r="N100" s="65"/>
      <c r="O100" s="65"/>
      <c r="P100" s="27"/>
      <c r="Q100" s="27"/>
      <c r="R100" s="65"/>
      <c r="S100" s="27"/>
      <c r="T100" s="27"/>
      <c r="U100" s="65"/>
      <c r="V100" s="65"/>
      <c r="W100" s="65"/>
      <c r="X100" s="65"/>
      <c r="Y100" s="65"/>
      <c r="Z100" s="65"/>
      <c r="AA100" s="65"/>
      <c r="AB100" s="65"/>
      <c r="AC100" s="65"/>
      <c r="AD100" s="65"/>
      <c r="AE100" s="65"/>
      <c r="AF100" s="65"/>
      <c r="AG100" s="65"/>
      <c r="AH100" s="65"/>
      <c r="AI100" s="65"/>
      <c r="AJ100" s="65"/>
      <c r="AK100" s="65"/>
      <c r="AL100" s="65"/>
      <c r="AM100" s="65"/>
      <c r="AN100" s="65"/>
      <c r="AO100" s="65"/>
      <c r="AP100" s="65"/>
      <c r="AQ100" s="65"/>
      <c r="AR100" s="65"/>
      <c r="AS100" s="65"/>
      <c r="AT100" s="27"/>
      <c r="AU100" s="27"/>
      <c r="AV100" s="65"/>
      <c r="AW100" s="27"/>
      <c r="AX100" s="27"/>
    </row>
    <row r="101" spans="3:50" ht="18.75">
      <c r="C101" s="91"/>
      <c r="D101" s="27"/>
      <c r="E101" s="27"/>
      <c r="F101" s="65"/>
      <c r="G101" s="27"/>
      <c r="H101" s="27"/>
      <c r="I101" s="65"/>
      <c r="J101" s="27"/>
      <c r="K101" s="27"/>
      <c r="L101" s="65"/>
      <c r="M101" s="65"/>
      <c r="N101" s="65"/>
      <c r="O101" s="65"/>
      <c r="P101" s="27"/>
      <c r="Q101" s="27"/>
      <c r="R101" s="65"/>
      <c r="S101" s="27"/>
      <c r="T101" s="27"/>
      <c r="U101" s="65"/>
      <c r="V101" s="65"/>
      <c r="W101" s="65"/>
      <c r="X101" s="65"/>
      <c r="Y101" s="65"/>
      <c r="Z101" s="65"/>
      <c r="AA101" s="65"/>
      <c r="AB101" s="65"/>
      <c r="AC101" s="65"/>
      <c r="AD101" s="65"/>
      <c r="AE101" s="65"/>
      <c r="AF101" s="65"/>
      <c r="AG101" s="65"/>
      <c r="AH101" s="65"/>
      <c r="AI101" s="65"/>
      <c r="AJ101" s="65"/>
      <c r="AK101" s="65"/>
      <c r="AL101" s="65"/>
      <c r="AM101" s="65"/>
      <c r="AN101" s="65"/>
      <c r="AO101" s="65"/>
      <c r="AP101" s="65"/>
      <c r="AQ101" s="65"/>
      <c r="AR101" s="65"/>
      <c r="AS101" s="65"/>
      <c r="AT101" s="27"/>
      <c r="AU101" s="27"/>
      <c r="AV101" s="65"/>
      <c r="AW101" s="27"/>
      <c r="AX101" s="27"/>
    </row>
    <row r="102" spans="3:50" ht="18.75">
      <c r="C102" s="91"/>
      <c r="D102" s="27"/>
      <c r="E102" s="27"/>
      <c r="F102" s="65"/>
      <c r="G102" s="27"/>
      <c r="H102" s="27"/>
      <c r="I102" s="65"/>
      <c r="J102" s="27"/>
      <c r="K102" s="27"/>
      <c r="L102" s="65"/>
      <c r="M102" s="65"/>
      <c r="N102" s="65"/>
      <c r="O102" s="65"/>
      <c r="P102" s="27"/>
      <c r="Q102" s="27"/>
      <c r="R102" s="65"/>
      <c r="S102" s="27"/>
      <c r="T102" s="27"/>
      <c r="U102" s="65"/>
      <c r="V102" s="65"/>
      <c r="W102" s="65"/>
      <c r="X102" s="65"/>
      <c r="Y102" s="65"/>
      <c r="Z102" s="65"/>
      <c r="AA102" s="65"/>
      <c r="AB102" s="65"/>
      <c r="AC102" s="65"/>
      <c r="AD102" s="65"/>
      <c r="AE102" s="65"/>
      <c r="AF102" s="65"/>
      <c r="AG102" s="65"/>
      <c r="AH102" s="65"/>
      <c r="AI102" s="65"/>
      <c r="AJ102" s="65"/>
      <c r="AK102" s="65"/>
      <c r="AL102" s="65"/>
      <c r="AM102" s="65"/>
      <c r="AN102" s="65"/>
      <c r="AO102" s="65"/>
      <c r="AP102" s="65"/>
      <c r="AQ102" s="65"/>
      <c r="AR102" s="65"/>
      <c r="AS102" s="65"/>
      <c r="AT102" s="27"/>
      <c r="AU102" s="27"/>
      <c r="AV102" s="65"/>
      <c r="AW102" s="27"/>
      <c r="AX102" s="27"/>
    </row>
    <row r="103" spans="3:50" ht="18.75">
      <c r="C103" s="91"/>
      <c r="D103" s="27"/>
      <c r="E103" s="27"/>
      <c r="F103" s="65"/>
      <c r="G103" s="27"/>
      <c r="H103" s="27"/>
      <c r="I103" s="65"/>
      <c r="J103" s="27"/>
      <c r="K103" s="27"/>
      <c r="L103" s="65"/>
      <c r="M103" s="65"/>
      <c r="N103" s="65"/>
      <c r="O103" s="65"/>
      <c r="P103" s="27"/>
      <c r="Q103" s="27"/>
      <c r="R103" s="65"/>
      <c r="S103" s="27"/>
      <c r="T103" s="27"/>
      <c r="U103" s="65"/>
      <c r="V103" s="65"/>
      <c r="W103" s="65"/>
      <c r="X103" s="65"/>
      <c r="Y103" s="65"/>
      <c r="Z103" s="65"/>
      <c r="AA103" s="65"/>
      <c r="AB103" s="65"/>
      <c r="AC103" s="65"/>
      <c r="AD103" s="65"/>
      <c r="AE103" s="65"/>
      <c r="AF103" s="65"/>
      <c r="AG103" s="65"/>
      <c r="AH103" s="65"/>
      <c r="AI103" s="65"/>
      <c r="AJ103" s="65"/>
      <c r="AK103" s="65"/>
      <c r="AL103" s="65"/>
      <c r="AM103" s="65"/>
      <c r="AN103" s="65"/>
      <c r="AO103" s="65"/>
      <c r="AP103" s="65"/>
      <c r="AQ103" s="65"/>
      <c r="AR103" s="65"/>
      <c r="AS103" s="65"/>
      <c r="AT103" s="27"/>
      <c r="AU103" s="27"/>
      <c r="AV103" s="65"/>
      <c r="AW103" s="27"/>
      <c r="AX103" s="27"/>
    </row>
    <row r="104" spans="3:50" ht="18.75">
      <c r="C104" s="91"/>
      <c r="D104" s="27"/>
      <c r="E104" s="27"/>
      <c r="F104" s="65"/>
      <c r="G104" s="27"/>
      <c r="H104" s="27"/>
      <c r="I104" s="65"/>
      <c r="J104" s="27"/>
      <c r="K104" s="27"/>
      <c r="L104" s="65"/>
      <c r="M104" s="65"/>
      <c r="N104" s="65"/>
      <c r="O104" s="65"/>
      <c r="P104" s="27"/>
      <c r="Q104" s="27"/>
      <c r="R104" s="65"/>
      <c r="S104" s="27"/>
      <c r="T104" s="27"/>
      <c r="U104" s="65"/>
      <c r="V104" s="65"/>
      <c r="W104" s="65"/>
      <c r="X104" s="65"/>
      <c r="Y104" s="65"/>
      <c r="Z104" s="65"/>
      <c r="AA104" s="65"/>
      <c r="AB104" s="65"/>
      <c r="AC104" s="65"/>
      <c r="AD104" s="65"/>
      <c r="AE104" s="65"/>
      <c r="AF104" s="65"/>
      <c r="AG104" s="65"/>
      <c r="AH104" s="65"/>
      <c r="AI104" s="65"/>
      <c r="AJ104" s="65"/>
      <c r="AK104" s="65"/>
      <c r="AL104" s="65"/>
      <c r="AM104" s="65"/>
      <c r="AN104" s="65"/>
      <c r="AO104" s="65"/>
      <c r="AP104" s="65"/>
      <c r="AQ104" s="65"/>
      <c r="AR104" s="65"/>
      <c r="AS104" s="65"/>
      <c r="AT104" s="27"/>
      <c r="AU104" s="27"/>
      <c r="AV104" s="65"/>
      <c r="AW104" s="27"/>
      <c r="AX104" s="27"/>
    </row>
  </sheetData>
  <sheetProtection/>
  <mergeCells count="24">
    <mergeCell ref="B55:C55"/>
    <mergeCell ref="A53:C53"/>
    <mergeCell ref="S5:U5"/>
    <mergeCell ref="AB5:AD5"/>
    <mergeCell ref="M5:O5"/>
    <mergeCell ref="AT5:AV5"/>
    <mergeCell ref="D1:AX1"/>
    <mergeCell ref="B4:C4"/>
    <mergeCell ref="B2:AX2"/>
    <mergeCell ref="B3:AX3"/>
    <mergeCell ref="AW5:AW6"/>
    <mergeCell ref="D5:F5"/>
    <mergeCell ref="V5:X5"/>
    <mergeCell ref="AX5:AX6"/>
    <mergeCell ref="AE5:AG5"/>
    <mergeCell ref="AH5:AI5"/>
    <mergeCell ref="AO5:AP5"/>
    <mergeCell ref="AR5:AS5"/>
    <mergeCell ref="G5:I5"/>
    <mergeCell ref="AJ5:AL5"/>
    <mergeCell ref="AM5:AN5"/>
    <mergeCell ref="P5:R5"/>
    <mergeCell ref="J5:L5"/>
    <mergeCell ref="Y5:AA5"/>
  </mergeCells>
  <printOptions/>
  <pageMargins left="1.5748031496062993" right="0" top="0" bottom="0" header="0" footer="0"/>
  <pageSetup fitToHeight="1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104"/>
  <sheetViews>
    <sheetView view="pageBreakPreview" zoomScale="70" zoomScaleNormal="75" zoomScaleSheetLayoutView="70" zoomScalePageLayoutView="0" workbookViewId="0" topLeftCell="A1">
      <pane xSplit="6" ySplit="8" topLeftCell="M36" activePane="bottomRight" state="frozen"/>
      <selection pane="topLeft" activeCell="A1" sqref="A1"/>
      <selection pane="topRight" activeCell="G1" sqref="G1"/>
      <selection pane="bottomLeft" activeCell="A9" sqref="A9"/>
      <selection pane="bottomRight" activeCell="AS37" sqref="AS37"/>
    </sheetView>
  </sheetViews>
  <sheetFormatPr defaultColWidth="7.875" defaultRowHeight="12.75"/>
  <cols>
    <col min="1" max="1" width="6.125" style="5" customWidth="1"/>
    <col min="2" max="2" width="57.25390625" style="5" customWidth="1"/>
    <col min="3" max="3" width="16.875" style="39" customWidth="1"/>
    <col min="4" max="5" width="19.75390625" style="5" hidden="1" customWidth="1"/>
    <col min="6" max="6" width="13.75390625" style="8" hidden="1" customWidth="1"/>
    <col min="7" max="8" width="14.75390625" style="5" hidden="1" customWidth="1"/>
    <col min="9" max="9" width="11.875" style="8" hidden="1" customWidth="1"/>
    <col min="10" max="11" width="14.75390625" style="5" hidden="1" customWidth="1"/>
    <col min="12" max="12" width="11.875" style="8" hidden="1" customWidth="1"/>
    <col min="13" max="13" width="11.875" style="8" customWidth="1"/>
    <col min="14" max="14" width="13.375" style="8" customWidth="1"/>
    <col min="15" max="15" width="11.875" style="8" customWidth="1"/>
    <col min="16" max="17" width="14.75390625" style="5" hidden="1" customWidth="1"/>
    <col min="18" max="18" width="11.875" style="8" hidden="1" customWidth="1"/>
    <col min="19" max="20" width="14.75390625" style="5" hidden="1" customWidth="1"/>
    <col min="21" max="21" width="11.875" style="8" hidden="1" customWidth="1"/>
    <col min="22" max="22" width="13.875" style="8" hidden="1" customWidth="1"/>
    <col min="23" max="23" width="11.875" style="8" hidden="1" customWidth="1"/>
    <col min="24" max="24" width="13.75390625" style="8" hidden="1" customWidth="1"/>
    <col min="25" max="26" width="11.875" style="8" customWidth="1"/>
    <col min="27" max="27" width="12.875" style="8" hidden="1" customWidth="1"/>
    <col min="28" max="28" width="13.875" style="8" customWidth="1"/>
    <col min="29" max="29" width="11.875" style="8" customWidth="1"/>
    <col min="30" max="30" width="13.75390625" style="8" hidden="1" customWidth="1"/>
    <col min="31" max="31" width="14.625" style="8" hidden="1" customWidth="1"/>
    <col min="32" max="32" width="14.25390625" style="8" hidden="1" customWidth="1"/>
    <col min="33" max="33" width="11.875" style="8" hidden="1" customWidth="1"/>
    <col min="34" max="34" width="14.625" style="8" hidden="1" customWidth="1"/>
    <col min="35" max="35" width="13.375" style="8" hidden="1" customWidth="1"/>
    <col min="36" max="37" width="11.875" style="8" hidden="1" customWidth="1"/>
    <col min="38" max="38" width="12.875" style="8" hidden="1" customWidth="1"/>
    <col min="39" max="39" width="14.625" style="8" hidden="1" customWidth="1"/>
    <col min="40" max="40" width="13.375" style="8" hidden="1" customWidth="1"/>
    <col min="41" max="41" width="14.625" style="8" hidden="1" customWidth="1"/>
    <col min="42" max="42" width="13.375" style="8" hidden="1" customWidth="1"/>
    <col min="43" max="43" width="14.625" style="8" hidden="1" customWidth="1"/>
    <col min="44" max="44" width="13.375" style="8" hidden="1" customWidth="1"/>
    <col min="45" max="45" width="14.375" style="5" customWidth="1"/>
    <col min="46" max="46" width="15.00390625" style="5" customWidth="1"/>
    <col min="47" max="47" width="13.75390625" style="8" customWidth="1"/>
    <col min="48" max="48" width="19.75390625" style="5" customWidth="1"/>
    <col min="49" max="49" width="22.625" style="5" customWidth="1"/>
    <col min="50" max="50" width="14.00390625" style="92" customWidth="1"/>
    <col min="51" max="51" width="15.00390625" style="10" customWidth="1"/>
    <col min="52" max="52" width="13.75390625" style="10" customWidth="1"/>
    <col min="53" max="59" width="7.875" style="10" customWidth="1"/>
    <col min="60" max="16384" width="7.875" style="5" customWidth="1"/>
  </cols>
  <sheetData>
    <row r="1" spans="4:49" ht="21" customHeight="1"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147"/>
      <c r="AM1" s="147"/>
      <c r="AN1" s="147"/>
      <c r="AO1" s="147"/>
      <c r="AP1" s="147"/>
      <c r="AQ1" s="147"/>
      <c r="AR1" s="147"/>
      <c r="AS1" s="147"/>
      <c r="AT1" s="147"/>
      <c r="AU1" s="147"/>
      <c r="AV1" s="147"/>
      <c r="AW1" s="147"/>
    </row>
    <row r="2" spans="2:59" s="30" customFormat="1" ht="42" customHeight="1">
      <c r="B2" s="146" t="s">
        <v>53</v>
      </c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146"/>
      <c r="AP2" s="146"/>
      <c r="AQ2" s="146"/>
      <c r="AR2" s="146"/>
      <c r="AS2" s="146"/>
      <c r="AT2" s="146"/>
      <c r="AU2" s="146"/>
      <c r="AV2" s="146"/>
      <c r="AW2" s="146"/>
      <c r="AX2" s="93"/>
      <c r="AY2" s="94"/>
      <c r="AZ2" s="94"/>
      <c r="BA2" s="94"/>
      <c r="BB2" s="94"/>
      <c r="BC2" s="94"/>
      <c r="BD2" s="94"/>
      <c r="BE2" s="94"/>
      <c r="BF2" s="94"/>
      <c r="BG2" s="94"/>
    </row>
    <row r="3" spans="1:49" s="30" customFormat="1" ht="42" customHeight="1">
      <c r="A3" s="29"/>
      <c r="B3" s="146" t="s">
        <v>126</v>
      </c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146"/>
      <c r="AK3" s="146"/>
      <c r="AL3" s="146"/>
      <c r="AM3" s="146"/>
      <c r="AN3" s="146"/>
      <c r="AO3" s="146"/>
      <c r="AP3" s="146"/>
      <c r="AQ3" s="146"/>
      <c r="AR3" s="146"/>
      <c r="AS3" s="146"/>
      <c r="AT3" s="146"/>
      <c r="AU3" s="146"/>
      <c r="AV3" s="146"/>
      <c r="AW3" s="146"/>
    </row>
    <row r="4" spans="2:49" ht="18.75">
      <c r="B4" s="147"/>
      <c r="C4" s="147"/>
      <c r="AW4" s="11" t="s">
        <v>20</v>
      </c>
    </row>
    <row r="5" spans="1:59" ht="36.75" customHeight="1">
      <c r="A5" s="22" t="s">
        <v>8</v>
      </c>
      <c r="B5" s="23"/>
      <c r="C5" s="24" t="s">
        <v>1</v>
      </c>
      <c r="D5" s="143" t="s">
        <v>64</v>
      </c>
      <c r="E5" s="144"/>
      <c r="F5" s="145"/>
      <c r="G5" s="140" t="s">
        <v>66</v>
      </c>
      <c r="H5" s="141"/>
      <c r="I5" s="142"/>
      <c r="J5" s="140" t="s">
        <v>68</v>
      </c>
      <c r="K5" s="141"/>
      <c r="L5" s="142"/>
      <c r="M5" s="140" t="s">
        <v>81</v>
      </c>
      <c r="N5" s="141"/>
      <c r="O5" s="142"/>
      <c r="P5" s="140" t="s">
        <v>69</v>
      </c>
      <c r="Q5" s="141"/>
      <c r="R5" s="142"/>
      <c r="S5" s="140" t="s">
        <v>70</v>
      </c>
      <c r="T5" s="141"/>
      <c r="U5" s="142"/>
      <c r="V5" s="140" t="s">
        <v>71</v>
      </c>
      <c r="W5" s="141"/>
      <c r="X5" s="142"/>
      <c r="Y5" s="140" t="s">
        <v>72</v>
      </c>
      <c r="Z5" s="141"/>
      <c r="AA5" s="142"/>
      <c r="AB5" s="140" t="s">
        <v>73</v>
      </c>
      <c r="AC5" s="141"/>
      <c r="AD5" s="142"/>
      <c r="AE5" s="140" t="s">
        <v>74</v>
      </c>
      <c r="AF5" s="141"/>
      <c r="AG5" s="142"/>
      <c r="AH5" s="140" t="s">
        <v>75</v>
      </c>
      <c r="AI5" s="142"/>
      <c r="AJ5" s="140" t="s">
        <v>77</v>
      </c>
      <c r="AK5" s="141"/>
      <c r="AL5" s="142"/>
      <c r="AM5" s="140" t="s">
        <v>76</v>
      </c>
      <c r="AN5" s="142"/>
      <c r="AO5" s="140" t="s">
        <v>78</v>
      </c>
      <c r="AP5" s="142"/>
      <c r="AQ5" s="140" t="s">
        <v>79</v>
      </c>
      <c r="AR5" s="142"/>
      <c r="AS5" s="143" t="s">
        <v>82</v>
      </c>
      <c r="AT5" s="144"/>
      <c r="AU5" s="145"/>
      <c r="AV5" s="148" t="s">
        <v>127</v>
      </c>
      <c r="AW5" s="148" t="s">
        <v>128</v>
      </c>
      <c r="AX5" s="5"/>
      <c r="AY5" s="5"/>
      <c r="AZ5" s="5"/>
      <c r="BA5" s="5"/>
      <c r="BB5" s="5"/>
      <c r="BC5" s="5"/>
      <c r="BD5" s="5"/>
      <c r="BE5" s="5"/>
      <c r="BF5" s="5"/>
      <c r="BG5" s="5"/>
    </row>
    <row r="6" spans="1:59" ht="63" customHeight="1">
      <c r="A6" s="25" t="s">
        <v>5</v>
      </c>
      <c r="B6" s="40" t="s">
        <v>18</v>
      </c>
      <c r="C6" s="137" t="s">
        <v>80</v>
      </c>
      <c r="D6" s="26" t="s">
        <v>65</v>
      </c>
      <c r="E6" s="26" t="s">
        <v>19</v>
      </c>
      <c r="F6" s="12" t="s">
        <v>0</v>
      </c>
      <c r="G6" s="26" t="s">
        <v>65</v>
      </c>
      <c r="H6" s="26" t="s">
        <v>19</v>
      </c>
      <c r="I6" s="12" t="s">
        <v>0</v>
      </c>
      <c r="J6" s="26" t="s">
        <v>65</v>
      </c>
      <c r="K6" s="26" t="s">
        <v>19</v>
      </c>
      <c r="L6" s="12" t="s">
        <v>0</v>
      </c>
      <c r="M6" s="26" t="s">
        <v>65</v>
      </c>
      <c r="N6" s="26" t="s">
        <v>19</v>
      </c>
      <c r="O6" s="12" t="s">
        <v>0</v>
      </c>
      <c r="P6" s="26" t="s">
        <v>65</v>
      </c>
      <c r="Q6" s="26" t="s">
        <v>19</v>
      </c>
      <c r="R6" s="12" t="s">
        <v>0</v>
      </c>
      <c r="S6" s="26" t="s">
        <v>65</v>
      </c>
      <c r="T6" s="26" t="s">
        <v>19</v>
      </c>
      <c r="U6" s="12" t="s">
        <v>0</v>
      </c>
      <c r="V6" s="26" t="s">
        <v>65</v>
      </c>
      <c r="W6" s="26" t="s">
        <v>19</v>
      </c>
      <c r="X6" s="12" t="s">
        <v>0</v>
      </c>
      <c r="Y6" s="26" t="s">
        <v>65</v>
      </c>
      <c r="Z6" s="26" t="s">
        <v>19</v>
      </c>
      <c r="AA6" s="12" t="s">
        <v>0</v>
      </c>
      <c r="AB6" s="26" t="s">
        <v>65</v>
      </c>
      <c r="AC6" s="26" t="s">
        <v>19</v>
      </c>
      <c r="AD6" s="12" t="s">
        <v>0</v>
      </c>
      <c r="AE6" s="26" t="s">
        <v>65</v>
      </c>
      <c r="AF6" s="26" t="s">
        <v>19</v>
      </c>
      <c r="AG6" s="12" t="s">
        <v>0</v>
      </c>
      <c r="AH6" s="26" t="s">
        <v>65</v>
      </c>
      <c r="AI6" s="26" t="s">
        <v>19</v>
      </c>
      <c r="AJ6" s="26" t="s">
        <v>65</v>
      </c>
      <c r="AK6" s="26" t="s">
        <v>19</v>
      </c>
      <c r="AL6" s="12" t="s">
        <v>0</v>
      </c>
      <c r="AM6" s="26" t="s">
        <v>65</v>
      </c>
      <c r="AN6" s="26" t="s">
        <v>19</v>
      </c>
      <c r="AO6" s="26" t="s">
        <v>65</v>
      </c>
      <c r="AP6" s="26" t="s">
        <v>19</v>
      </c>
      <c r="AQ6" s="26" t="s">
        <v>65</v>
      </c>
      <c r="AR6" s="26" t="s">
        <v>19</v>
      </c>
      <c r="AS6" s="26" t="s">
        <v>65</v>
      </c>
      <c r="AT6" s="26" t="s">
        <v>19</v>
      </c>
      <c r="AU6" s="12" t="s">
        <v>0</v>
      </c>
      <c r="AV6" s="149"/>
      <c r="AW6" s="149"/>
      <c r="AX6" s="5"/>
      <c r="AY6" s="5"/>
      <c r="AZ6" s="5"/>
      <c r="BA6" s="5"/>
      <c r="BB6" s="5"/>
      <c r="BC6" s="5"/>
      <c r="BD6" s="5"/>
      <c r="BE6" s="5"/>
      <c r="BF6" s="5"/>
      <c r="BG6" s="5"/>
    </row>
    <row r="7" spans="1:59" s="8" customFormat="1" ht="36" customHeight="1">
      <c r="A7" s="95"/>
      <c r="B7" s="96" t="s">
        <v>3</v>
      </c>
      <c r="C7" s="41">
        <f>SUM(C8:C44)</f>
        <v>7151.299999999999</v>
      </c>
      <c r="D7" s="14">
        <f>SUM(D8:D44)</f>
        <v>4912.099999999999</v>
      </c>
      <c r="E7" s="14">
        <f>SUM(E8:E44)</f>
        <v>2099.5</v>
      </c>
      <c r="F7" s="14">
        <f aca="true" t="shared" si="0" ref="F7:F46">E7/D7*100</f>
        <v>42.7413937012683</v>
      </c>
      <c r="G7" s="14">
        <f>SUM(G8:G44)</f>
        <v>4613.1</v>
      </c>
      <c r="H7" s="14">
        <f>SUM(H8:H44)</f>
        <v>2576</v>
      </c>
      <c r="I7" s="14">
        <f>H7/G7*100</f>
        <v>55.84097461576813</v>
      </c>
      <c r="J7" s="14">
        <f>SUM(J8:J44)</f>
        <v>4655.3</v>
      </c>
      <c r="K7" s="14">
        <f>SUM(K8:K44)</f>
        <v>4950.6</v>
      </c>
      <c r="L7" s="14">
        <f aca="true" t="shared" si="1" ref="L7:L12">K7/J7*100</f>
        <v>106.34330762786502</v>
      </c>
      <c r="M7" s="14">
        <f>SUM(M8:M44)</f>
        <v>14180.5</v>
      </c>
      <c r="N7" s="14">
        <f>SUM(N8:N44)</f>
        <v>9626.099999999999</v>
      </c>
      <c r="O7" s="14">
        <f>N7/M7*100</f>
        <v>67.88265575966996</v>
      </c>
      <c r="P7" s="14">
        <f>SUM(P8:P44)</f>
        <v>800.5</v>
      </c>
      <c r="Q7" s="14">
        <f>SUM(Q8:Q44)</f>
        <v>7064.600000000001</v>
      </c>
      <c r="R7" s="14">
        <f aca="true" t="shared" si="2" ref="R7:R12">Q7/P7*100</f>
        <v>882.5234228607122</v>
      </c>
      <c r="S7" s="14">
        <f>SUM(S8:S44)</f>
        <v>128.7</v>
      </c>
      <c r="T7" s="14">
        <f>SUM(T8:T44)</f>
        <v>2657.0000000000005</v>
      </c>
      <c r="U7" s="14">
        <f>T7/S7*100</f>
        <v>2064.4910644910647</v>
      </c>
      <c r="V7" s="14">
        <f>SUM(V8:V44)</f>
        <v>189.5</v>
      </c>
      <c r="W7" s="14">
        <f>SUM(W8:W44)</f>
        <v>390.3</v>
      </c>
      <c r="X7" s="14">
        <f>W7/V7*100</f>
        <v>205.96306068601584</v>
      </c>
      <c r="Y7" s="14">
        <f>SUM(Y8:Y44)</f>
        <v>1118.7</v>
      </c>
      <c r="Z7" s="14">
        <f>SUM(Z8:Z44)</f>
        <v>10111.9</v>
      </c>
      <c r="AA7" s="14">
        <f>Z7/Y7*100</f>
        <v>903.8973808885313</v>
      </c>
      <c r="AB7" s="14">
        <f>SUM(AB8:AB44)</f>
        <v>198.79999999999998</v>
      </c>
      <c r="AC7" s="14">
        <f>SUM(AC8:AC44)</f>
        <v>481.5</v>
      </c>
      <c r="AD7" s="14">
        <f>AC7/AB7*100</f>
        <v>242.20321931589538</v>
      </c>
      <c r="AE7" s="14">
        <f>SUM(AE8:AE44)</f>
        <v>0</v>
      </c>
      <c r="AF7" s="14">
        <f>SUM(AF8:AF44)</f>
        <v>0</v>
      </c>
      <c r="AG7" s="14" t="e">
        <f>AF7/AE7*100</f>
        <v>#DIV/0!</v>
      </c>
      <c r="AH7" s="14">
        <f>SUM(AH8:AH44)</f>
        <v>0</v>
      </c>
      <c r="AI7" s="14">
        <f>SUM(AI8:AI44)</f>
        <v>0</v>
      </c>
      <c r="AJ7" s="14">
        <f>SUM(AJ8:AJ44)</f>
        <v>198.79999999999998</v>
      </c>
      <c r="AK7" s="14">
        <f>SUM(AK8:AK44)</f>
        <v>481.5</v>
      </c>
      <c r="AL7" s="14">
        <f>AK7/AJ7*100</f>
        <v>242.20321931589538</v>
      </c>
      <c r="AM7" s="14">
        <f aca="true" t="shared" si="3" ref="AM7:AT7">SUM(AM8:AM44)</f>
        <v>0</v>
      </c>
      <c r="AN7" s="14">
        <f t="shared" si="3"/>
        <v>0</v>
      </c>
      <c r="AO7" s="14">
        <f t="shared" si="3"/>
        <v>0</v>
      </c>
      <c r="AP7" s="14">
        <f t="shared" si="3"/>
        <v>0</v>
      </c>
      <c r="AQ7" s="14">
        <f>SUM(AQ8:AQ44)</f>
        <v>0</v>
      </c>
      <c r="AR7" s="14">
        <f>SUM(AR8:AR44)</f>
        <v>0</v>
      </c>
      <c r="AS7" s="14">
        <f t="shared" si="3"/>
        <v>15498.000000000002</v>
      </c>
      <c r="AT7" s="14">
        <f t="shared" si="3"/>
        <v>20219.5</v>
      </c>
      <c r="AU7" s="14">
        <f>AT7/AS7*100</f>
        <v>130.46522131887983</v>
      </c>
      <c r="AV7" s="42">
        <f>SUM(AV8:AV44)</f>
        <v>-4721.499999999999</v>
      </c>
      <c r="AW7" s="42">
        <f>SUM(AW8:AW44)</f>
        <v>2429.800000000001</v>
      </c>
      <c r="AX7" s="20">
        <f>AS7-AT7</f>
        <v>-4721.499999999998</v>
      </c>
      <c r="AY7" s="20">
        <f>C7+AS7-AT7</f>
        <v>2429.800000000003</v>
      </c>
      <c r="AZ7" s="18"/>
      <c r="BA7" s="80"/>
      <c r="BB7" s="80"/>
      <c r="BC7" s="80"/>
      <c r="BD7" s="80"/>
      <c r="BE7" s="80"/>
      <c r="BF7" s="80"/>
      <c r="BG7" s="80"/>
    </row>
    <row r="8" spans="1:52" ht="36.75" customHeight="1">
      <c r="A8" s="98">
        <v>1</v>
      </c>
      <c r="B8" s="1" t="s">
        <v>98</v>
      </c>
      <c r="C8" s="2">
        <v>208.1</v>
      </c>
      <c r="D8" s="3">
        <v>525.5</v>
      </c>
      <c r="E8" s="3">
        <v>0</v>
      </c>
      <c r="F8" s="14">
        <f t="shared" si="0"/>
        <v>0</v>
      </c>
      <c r="G8" s="3">
        <v>583.1</v>
      </c>
      <c r="H8" s="3">
        <v>0</v>
      </c>
      <c r="I8" s="14">
        <f>H8/G8*100</f>
        <v>0</v>
      </c>
      <c r="J8" s="3">
        <v>549.6</v>
      </c>
      <c r="K8" s="3">
        <v>500</v>
      </c>
      <c r="L8" s="14">
        <f t="shared" si="1"/>
        <v>90.97525473071325</v>
      </c>
      <c r="M8" s="3">
        <f>D8+G8+J8</f>
        <v>1658.1999999999998</v>
      </c>
      <c r="N8" s="3">
        <f>E8+H8+K8</f>
        <v>500</v>
      </c>
      <c r="O8" s="14">
        <f aca="true" t="shared" si="4" ref="O8:O48">N8/M8*100</f>
        <v>30.153178144976483</v>
      </c>
      <c r="P8" s="3">
        <v>43.3</v>
      </c>
      <c r="Q8" s="3">
        <v>816.7</v>
      </c>
      <c r="R8" s="14">
        <f t="shared" si="2"/>
        <v>1886.1431870669749</v>
      </c>
      <c r="S8" s="3">
        <v>-0.4</v>
      </c>
      <c r="T8" s="3">
        <v>352</v>
      </c>
      <c r="U8" s="14">
        <f>T8/S8*100</f>
        <v>-88000</v>
      </c>
      <c r="V8" s="3">
        <v>0</v>
      </c>
      <c r="W8" s="3">
        <v>19.2</v>
      </c>
      <c r="X8" s="14" t="e">
        <f>W8/V8*100</f>
        <v>#DIV/0!</v>
      </c>
      <c r="Y8" s="3">
        <f>P8+S8+V8</f>
        <v>42.9</v>
      </c>
      <c r="Z8" s="3">
        <f>Q8+T8+W8</f>
        <v>1187.9</v>
      </c>
      <c r="AA8" s="14">
        <f>Z8/Y8*100</f>
        <v>2768.9976689976693</v>
      </c>
      <c r="AB8" s="3">
        <v>11.9</v>
      </c>
      <c r="AC8" s="3">
        <v>84.7</v>
      </c>
      <c r="AD8" s="28">
        <f>AC8/AB8*100</f>
        <v>711.764705882353</v>
      </c>
      <c r="AE8" s="3"/>
      <c r="AF8" s="3"/>
      <c r="AG8" s="14" t="e">
        <f>AF8/AE8*100</f>
        <v>#DIV/0!</v>
      </c>
      <c r="AH8" s="3"/>
      <c r="AI8" s="3"/>
      <c r="AJ8" s="3">
        <f>AB8+AE8+AH8</f>
        <v>11.9</v>
      </c>
      <c r="AK8" s="3">
        <f>AC8+AF8+AI8</f>
        <v>84.7</v>
      </c>
      <c r="AL8" s="14">
        <f>AK8/AJ8*100</f>
        <v>711.764705882353</v>
      </c>
      <c r="AM8" s="3"/>
      <c r="AN8" s="3"/>
      <c r="AO8" s="3"/>
      <c r="AP8" s="3"/>
      <c r="AQ8" s="3"/>
      <c r="AR8" s="3"/>
      <c r="AS8" s="3">
        <f>M8+Y8+AJ8+AM8+AO8+AQ8</f>
        <v>1713</v>
      </c>
      <c r="AT8" s="3">
        <f>N8+Z8+AK8+AN8+AP8+AR8</f>
        <v>1772.6000000000001</v>
      </c>
      <c r="AU8" s="14">
        <f>AT8/AS8*100</f>
        <v>103.47927612375949</v>
      </c>
      <c r="AV8" s="14">
        <f>AS8-AT8</f>
        <v>-59.600000000000136</v>
      </c>
      <c r="AW8" s="4">
        <f>C8+AS8-AT8</f>
        <v>148.49999999999977</v>
      </c>
      <c r="AX8" s="99"/>
      <c r="AZ8" s="18"/>
    </row>
    <row r="9" spans="1:52" ht="27" customHeight="1">
      <c r="A9" s="98">
        <v>2</v>
      </c>
      <c r="B9" s="32" t="s">
        <v>99</v>
      </c>
      <c r="C9" s="2">
        <v>25.6</v>
      </c>
      <c r="D9" s="3">
        <v>14.8</v>
      </c>
      <c r="E9" s="3">
        <v>15.9</v>
      </c>
      <c r="F9" s="14">
        <f t="shared" si="0"/>
        <v>107.43243243243244</v>
      </c>
      <c r="G9" s="3">
        <v>18</v>
      </c>
      <c r="H9" s="3">
        <v>0</v>
      </c>
      <c r="I9" s="14">
        <f aca="true" t="shared" si="5" ref="I9:I21">H9/G9*100</f>
        <v>0</v>
      </c>
      <c r="J9" s="3">
        <v>16.7</v>
      </c>
      <c r="K9" s="3">
        <v>9.7</v>
      </c>
      <c r="L9" s="14">
        <f t="shared" si="1"/>
        <v>58.08383233532935</v>
      </c>
      <c r="M9" s="3">
        <f>D9+G9+J9</f>
        <v>49.5</v>
      </c>
      <c r="N9" s="3">
        <f>E9+H9+K9</f>
        <v>25.6</v>
      </c>
      <c r="O9" s="14">
        <f t="shared" si="4"/>
        <v>51.717171717171716</v>
      </c>
      <c r="P9" s="3">
        <v>0.7</v>
      </c>
      <c r="Q9" s="3">
        <v>32.8</v>
      </c>
      <c r="R9" s="14">
        <f t="shared" si="2"/>
        <v>4685.714285714285</v>
      </c>
      <c r="S9" s="3">
        <v>0</v>
      </c>
      <c r="T9" s="3">
        <v>14.3</v>
      </c>
      <c r="U9" s="14"/>
      <c r="V9" s="3">
        <v>0</v>
      </c>
      <c r="W9" s="3">
        <v>1.6</v>
      </c>
      <c r="X9" s="14"/>
      <c r="Y9" s="3">
        <f>P9+S9+V9</f>
        <v>0.7</v>
      </c>
      <c r="Z9" s="3">
        <f>Q9+T9+W9</f>
        <v>48.699999999999996</v>
      </c>
      <c r="AA9" s="14">
        <f>Z9/Y9*100</f>
        <v>6957.142857142857</v>
      </c>
      <c r="AB9" s="3">
        <v>0</v>
      </c>
      <c r="AC9" s="3">
        <v>1.4</v>
      </c>
      <c r="AD9" s="14"/>
      <c r="AE9" s="3"/>
      <c r="AF9" s="3"/>
      <c r="AG9" s="28" t="e">
        <f aca="true" t="shared" si="6" ref="AG9:AG15">AF9/AE9*100</f>
        <v>#DIV/0!</v>
      </c>
      <c r="AH9" s="3"/>
      <c r="AI9" s="3"/>
      <c r="AJ9" s="3">
        <f>AB9+AE9+AH9</f>
        <v>0</v>
      </c>
      <c r="AK9" s="3">
        <f>AC9+AF9+AI9</f>
        <v>1.4</v>
      </c>
      <c r="AL9" s="14" t="e">
        <f>AK9/AJ9*100</f>
        <v>#DIV/0!</v>
      </c>
      <c r="AM9" s="3"/>
      <c r="AN9" s="3"/>
      <c r="AO9" s="3"/>
      <c r="AP9" s="3"/>
      <c r="AQ9" s="3"/>
      <c r="AR9" s="3"/>
      <c r="AS9" s="3">
        <f>M9+Y9+AJ9+AM9+AO9+AQ9</f>
        <v>50.2</v>
      </c>
      <c r="AT9" s="3">
        <f>N9+Z9+AK9+AN9+AP9+AR9</f>
        <v>75.7</v>
      </c>
      <c r="AU9" s="14">
        <f>AT9/AS9*100</f>
        <v>150.79681274900398</v>
      </c>
      <c r="AV9" s="14">
        <f>AS9-AT9</f>
        <v>-25.5</v>
      </c>
      <c r="AW9" s="4">
        <f>C9+AS9-AT9</f>
        <v>0.10000000000000853</v>
      </c>
      <c r="AX9" s="99"/>
      <c r="AZ9" s="18"/>
    </row>
    <row r="10" spans="1:52" ht="30.75" customHeight="1">
      <c r="A10" s="98">
        <v>3</v>
      </c>
      <c r="B10" s="15" t="s">
        <v>83</v>
      </c>
      <c r="C10" s="2"/>
      <c r="D10" s="21"/>
      <c r="E10" s="21"/>
      <c r="F10" s="36" t="e">
        <f t="shared" si="0"/>
        <v>#DIV/0!</v>
      </c>
      <c r="G10" s="21"/>
      <c r="H10" s="21"/>
      <c r="I10" s="36" t="e">
        <f t="shared" si="5"/>
        <v>#DIV/0!</v>
      </c>
      <c r="J10" s="21"/>
      <c r="K10" s="21"/>
      <c r="L10" s="36" t="e">
        <f t="shared" si="1"/>
        <v>#DIV/0!</v>
      </c>
      <c r="M10" s="3"/>
      <c r="N10" s="3"/>
      <c r="O10" s="14"/>
      <c r="P10" s="21"/>
      <c r="Q10" s="21"/>
      <c r="R10" s="36" t="e">
        <f t="shared" si="2"/>
        <v>#DIV/0!</v>
      </c>
      <c r="S10" s="21"/>
      <c r="T10" s="21"/>
      <c r="U10" s="36" t="e">
        <f>T10/S10*100</f>
        <v>#DIV/0!</v>
      </c>
      <c r="V10" s="21"/>
      <c r="W10" s="21"/>
      <c r="X10" s="36" t="e">
        <f>W10/V10*100</f>
        <v>#DIV/0!</v>
      </c>
      <c r="Y10" s="3"/>
      <c r="Z10" s="3"/>
      <c r="AA10" s="14"/>
      <c r="AB10" s="21"/>
      <c r="AC10" s="21"/>
      <c r="AD10" s="36" t="e">
        <f>AC10/AB10*100</f>
        <v>#DIV/0!</v>
      </c>
      <c r="AE10" s="21"/>
      <c r="AF10" s="21"/>
      <c r="AG10" s="36" t="e">
        <f t="shared" si="6"/>
        <v>#DIV/0!</v>
      </c>
      <c r="AH10" s="21"/>
      <c r="AI10" s="21"/>
      <c r="AJ10" s="3"/>
      <c r="AK10" s="3"/>
      <c r="AL10" s="14"/>
      <c r="AM10" s="21"/>
      <c r="AN10" s="21"/>
      <c r="AO10" s="21"/>
      <c r="AP10" s="21"/>
      <c r="AQ10" s="21"/>
      <c r="AR10" s="21"/>
      <c r="AS10" s="3"/>
      <c r="AT10" s="3"/>
      <c r="AU10" s="36" t="e">
        <f>AT10/AS10*100</f>
        <v>#DIV/0!</v>
      </c>
      <c r="AV10" s="14"/>
      <c r="AW10" s="4"/>
      <c r="AX10" s="99"/>
      <c r="AZ10" s="18"/>
    </row>
    <row r="11" spans="1:52" ht="24" customHeight="1">
      <c r="A11" s="98">
        <v>4</v>
      </c>
      <c r="B11" s="1" t="s">
        <v>63</v>
      </c>
      <c r="C11" s="2"/>
      <c r="D11" s="3"/>
      <c r="E11" s="3"/>
      <c r="F11" s="36"/>
      <c r="G11" s="3"/>
      <c r="H11" s="3"/>
      <c r="I11" s="36" t="e">
        <f t="shared" si="5"/>
        <v>#DIV/0!</v>
      </c>
      <c r="J11" s="3"/>
      <c r="K11" s="3"/>
      <c r="L11" s="36" t="e">
        <f t="shared" si="1"/>
        <v>#DIV/0!</v>
      </c>
      <c r="M11" s="3"/>
      <c r="N11" s="3"/>
      <c r="O11" s="14"/>
      <c r="P11" s="3"/>
      <c r="Q11" s="3"/>
      <c r="R11" s="36" t="e">
        <f t="shared" si="2"/>
        <v>#DIV/0!</v>
      </c>
      <c r="S11" s="3"/>
      <c r="T11" s="3"/>
      <c r="U11" s="36" t="e">
        <f>T11/S11*100</f>
        <v>#DIV/0!</v>
      </c>
      <c r="V11" s="3"/>
      <c r="W11" s="3"/>
      <c r="X11" s="36" t="e">
        <f>W11/V11*100</f>
        <v>#DIV/0!</v>
      </c>
      <c r="Y11" s="3"/>
      <c r="Z11" s="3"/>
      <c r="AA11" s="14"/>
      <c r="AB11" s="3"/>
      <c r="AC11" s="3"/>
      <c r="AD11" s="36" t="e">
        <f>AC11/AB11*100</f>
        <v>#DIV/0!</v>
      </c>
      <c r="AE11" s="3"/>
      <c r="AF11" s="3"/>
      <c r="AG11" s="36" t="e">
        <f t="shared" si="6"/>
        <v>#DIV/0!</v>
      </c>
      <c r="AH11" s="3"/>
      <c r="AI11" s="3"/>
      <c r="AJ11" s="3"/>
      <c r="AK11" s="3"/>
      <c r="AL11" s="14"/>
      <c r="AM11" s="3"/>
      <c r="AN11" s="3"/>
      <c r="AO11" s="3"/>
      <c r="AP11" s="3"/>
      <c r="AQ11" s="3"/>
      <c r="AR11" s="3"/>
      <c r="AS11" s="3"/>
      <c r="AT11" s="3"/>
      <c r="AU11" s="36"/>
      <c r="AV11" s="14"/>
      <c r="AW11" s="4"/>
      <c r="AX11" s="99"/>
      <c r="AZ11" s="18"/>
    </row>
    <row r="12" spans="1:52" ht="24" customHeight="1">
      <c r="A12" s="98">
        <v>5</v>
      </c>
      <c r="B12" s="1" t="s">
        <v>100</v>
      </c>
      <c r="C12" s="2">
        <v>90.7</v>
      </c>
      <c r="D12" s="3">
        <v>65.6</v>
      </c>
      <c r="E12" s="3">
        <v>0</v>
      </c>
      <c r="F12" s="14">
        <f t="shared" si="0"/>
        <v>0</v>
      </c>
      <c r="G12" s="3">
        <v>61.7</v>
      </c>
      <c r="H12" s="3">
        <v>44.7</v>
      </c>
      <c r="I12" s="14">
        <f t="shared" si="5"/>
        <v>72.44732576985413</v>
      </c>
      <c r="J12" s="3">
        <v>65.1</v>
      </c>
      <c r="K12" s="3">
        <v>46</v>
      </c>
      <c r="L12" s="14">
        <f t="shared" si="1"/>
        <v>70.66052227342551</v>
      </c>
      <c r="M12" s="3">
        <f>D12+G12+J12</f>
        <v>192.39999999999998</v>
      </c>
      <c r="N12" s="3">
        <f>E12+H12+K12</f>
        <v>90.7</v>
      </c>
      <c r="O12" s="14">
        <f t="shared" si="4"/>
        <v>47.14137214137215</v>
      </c>
      <c r="P12" s="3">
        <v>7.6</v>
      </c>
      <c r="Q12" s="3">
        <v>127.3</v>
      </c>
      <c r="R12" s="14">
        <f t="shared" si="2"/>
        <v>1675</v>
      </c>
      <c r="S12" s="3">
        <v>0</v>
      </c>
      <c r="T12" s="3">
        <v>72.7</v>
      </c>
      <c r="U12" s="14"/>
      <c r="V12" s="3">
        <v>0.1</v>
      </c>
      <c r="W12" s="3">
        <v>0</v>
      </c>
      <c r="X12" s="14"/>
      <c r="Y12" s="3">
        <f>P12+S12+V12</f>
        <v>7.699999999999999</v>
      </c>
      <c r="Z12" s="3">
        <f>Q12+T12+W12</f>
        <v>200</v>
      </c>
      <c r="AA12" s="14">
        <f>Z12/Y12*100</f>
        <v>2597.4025974025976</v>
      </c>
      <c r="AB12" s="3">
        <v>0</v>
      </c>
      <c r="AC12" s="3">
        <v>0</v>
      </c>
      <c r="AD12" s="14"/>
      <c r="AE12" s="3"/>
      <c r="AF12" s="3"/>
      <c r="AG12" s="28" t="e">
        <f t="shared" si="6"/>
        <v>#DIV/0!</v>
      </c>
      <c r="AH12" s="3"/>
      <c r="AI12" s="3"/>
      <c r="AJ12" s="3">
        <f>AB12+AE12+AH12</f>
        <v>0</v>
      </c>
      <c r="AK12" s="3">
        <f>AC12+AF12+AI12</f>
        <v>0</v>
      </c>
      <c r="AL12" s="14" t="e">
        <f>AK12/AJ12*100</f>
        <v>#DIV/0!</v>
      </c>
      <c r="AM12" s="3"/>
      <c r="AN12" s="3"/>
      <c r="AO12" s="3"/>
      <c r="AP12" s="3"/>
      <c r="AQ12" s="3"/>
      <c r="AR12" s="3"/>
      <c r="AS12" s="3">
        <f>M12+Y12+AJ12+AM12+AO12+AQ12</f>
        <v>200.09999999999997</v>
      </c>
      <c r="AT12" s="3">
        <f>N12+Z12+AK12+AN12+AP12+AR12</f>
        <v>290.7</v>
      </c>
      <c r="AU12" s="14">
        <f aca="true" t="shared" si="7" ref="AU12:AU22">AT12/AS12*100</f>
        <v>145.27736131934034</v>
      </c>
      <c r="AV12" s="14">
        <f>AS12-AT12</f>
        <v>-90.60000000000002</v>
      </c>
      <c r="AW12" s="4">
        <f>C12+AS12-AT12</f>
        <v>0.0999999999999659</v>
      </c>
      <c r="AX12" s="99"/>
      <c r="AZ12" s="18"/>
    </row>
    <row r="13" spans="1:52" ht="24" customHeight="1">
      <c r="A13" s="98">
        <v>6</v>
      </c>
      <c r="B13" s="1" t="s">
        <v>101</v>
      </c>
      <c r="C13" s="2"/>
      <c r="D13" s="3"/>
      <c r="E13" s="3"/>
      <c r="F13" s="14"/>
      <c r="G13" s="3"/>
      <c r="H13" s="3"/>
      <c r="I13" s="14"/>
      <c r="J13" s="3"/>
      <c r="K13" s="3"/>
      <c r="L13" s="14"/>
      <c r="M13" s="3"/>
      <c r="N13" s="3"/>
      <c r="O13" s="14"/>
      <c r="P13" s="3"/>
      <c r="Q13" s="3"/>
      <c r="R13" s="14"/>
      <c r="S13" s="3"/>
      <c r="T13" s="3"/>
      <c r="U13" s="14"/>
      <c r="V13" s="3"/>
      <c r="W13" s="3"/>
      <c r="X13" s="14"/>
      <c r="Y13" s="3"/>
      <c r="Z13" s="3"/>
      <c r="AA13" s="14"/>
      <c r="AB13" s="3"/>
      <c r="AC13" s="3"/>
      <c r="AD13" s="14"/>
      <c r="AE13" s="3"/>
      <c r="AF13" s="3"/>
      <c r="AG13" s="28"/>
      <c r="AH13" s="3"/>
      <c r="AI13" s="3"/>
      <c r="AJ13" s="3"/>
      <c r="AK13" s="3"/>
      <c r="AL13" s="14"/>
      <c r="AM13" s="3"/>
      <c r="AN13" s="3"/>
      <c r="AO13" s="3"/>
      <c r="AP13" s="3"/>
      <c r="AQ13" s="3"/>
      <c r="AR13" s="3"/>
      <c r="AS13" s="3"/>
      <c r="AT13" s="3"/>
      <c r="AU13" s="14"/>
      <c r="AV13" s="14">
        <f>AS13-AT13</f>
        <v>0</v>
      </c>
      <c r="AW13" s="4">
        <f>C13+AS13-AT13</f>
        <v>0</v>
      </c>
      <c r="AX13" s="99"/>
      <c r="AZ13" s="18"/>
    </row>
    <row r="14" spans="1:52" ht="24" customHeight="1">
      <c r="A14" s="98">
        <v>7</v>
      </c>
      <c r="B14" s="1" t="s">
        <v>102</v>
      </c>
      <c r="C14" s="2"/>
      <c r="D14" s="21"/>
      <c r="E14" s="21"/>
      <c r="F14" s="28"/>
      <c r="G14" s="21"/>
      <c r="H14" s="21"/>
      <c r="I14" s="36"/>
      <c r="J14" s="21"/>
      <c r="K14" s="21"/>
      <c r="L14" s="36"/>
      <c r="M14" s="3"/>
      <c r="N14" s="3"/>
      <c r="O14" s="14"/>
      <c r="P14" s="21"/>
      <c r="Q14" s="21"/>
      <c r="R14" s="36"/>
      <c r="S14" s="21"/>
      <c r="T14" s="21"/>
      <c r="U14" s="36"/>
      <c r="V14" s="21"/>
      <c r="W14" s="21"/>
      <c r="X14" s="36"/>
      <c r="Y14" s="3"/>
      <c r="Z14" s="3"/>
      <c r="AA14" s="14"/>
      <c r="AB14" s="21"/>
      <c r="AC14" s="21"/>
      <c r="AD14" s="36"/>
      <c r="AE14" s="21"/>
      <c r="AF14" s="21"/>
      <c r="AG14" s="36"/>
      <c r="AH14" s="21"/>
      <c r="AI14" s="21"/>
      <c r="AJ14" s="3"/>
      <c r="AK14" s="3"/>
      <c r="AL14" s="14"/>
      <c r="AM14" s="21"/>
      <c r="AN14" s="21"/>
      <c r="AO14" s="21"/>
      <c r="AP14" s="21"/>
      <c r="AQ14" s="21"/>
      <c r="AR14" s="21"/>
      <c r="AS14" s="3"/>
      <c r="AT14" s="3"/>
      <c r="AU14" s="36"/>
      <c r="AV14" s="14"/>
      <c r="AW14" s="4"/>
      <c r="AX14" s="99"/>
      <c r="AZ14" s="18"/>
    </row>
    <row r="15" spans="1:52" ht="24" customHeight="1">
      <c r="A15" s="98">
        <v>8</v>
      </c>
      <c r="B15" s="1" t="s">
        <v>103</v>
      </c>
      <c r="C15" s="2">
        <v>188</v>
      </c>
      <c r="D15" s="3">
        <v>132.1</v>
      </c>
      <c r="E15" s="3">
        <v>33.4</v>
      </c>
      <c r="F15" s="14">
        <f t="shared" si="0"/>
        <v>25.283875851627556</v>
      </c>
      <c r="G15" s="3">
        <v>129</v>
      </c>
      <c r="H15" s="3">
        <v>54.7</v>
      </c>
      <c r="I15" s="14">
        <f t="shared" si="5"/>
        <v>42.403100775193806</v>
      </c>
      <c r="J15" s="3">
        <v>124.8</v>
      </c>
      <c r="K15" s="3">
        <v>105.3</v>
      </c>
      <c r="L15" s="14">
        <f aca="true" t="shared" si="8" ref="L15:L21">K15/J15*100</f>
        <v>84.375</v>
      </c>
      <c r="M15" s="3">
        <f>D15+G15+J15</f>
        <v>385.90000000000003</v>
      </c>
      <c r="N15" s="3">
        <f>E15+H15+K15</f>
        <v>193.39999999999998</v>
      </c>
      <c r="O15" s="14">
        <f t="shared" si="4"/>
        <v>50.11661052086032</v>
      </c>
      <c r="P15" s="3">
        <v>16.9</v>
      </c>
      <c r="Q15" s="3">
        <v>255.7</v>
      </c>
      <c r="R15" s="14">
        <f aca="true" t="shared" si="9" ref="R15:R21">Q15/P15*100</f>
        <v>1513.01775147929</v>
      </c>
      <c r="S15" s="3">
        <v>-0.8</v>
      </c>
      <c r="T15" s="3">
        <v>26.4</v>
      </c>
      <c r="U15" s="14">
        <f aca="true" t="shared" si="10" ref="U15:U21">T15/S15*100</f>
        <v>-3299.999999999999</v>
      </c>
      <c r="V15" s="3">
        <v>0</v>
      </c>
      <c r="W15" s="3">
        <v>8.9</v>
      </c>
      <c r="X15" s="28" t="e">
        <f>W15/V15*100</f>
        <v>#DIV/0!</v>
      </c>
      <c r="Y15" s="3">
        <f>P15+S15+V15</f>
        <v>16.099999999999998</v>
      </c>
      <c r="Z15" s="3">
        <f>Q15+T15+W15</f>
        <v>290.99999999999994</v>
      </c>
      <c r="AA15" s="14">
        <f>Z15/Y15*100</f>
        <v>1807.4534161490683</v>
      </c>
      <c r="AB15" s="3">
        <v>0</v>
      </c>
      <c r="AC15" s="3">
        <v>10.8</v>
      </c>
      <c r="AD15" s="28" t="e">
        <f>AC15/AB15*100</f>
        <v>#DIV/0!</v>
      </c>
      <c r="AE15" s="3"/>
      <c r="AF15" s="3"/>
      <c r="AG15" s="14" t="e">
        <f t="shared" si="6"/>
        <v>#DIV/0!</v>
      </c>
      <c r="AH15" s="3"/>
      <c r="AI15" s="3"/>
      <c r="AJ15" s="3">
        <f>AB15+AE15+AH15</f>
        <v>0</v>
      </c>
      <c r="AK15" s="3">
        <f>AC15+AF15+AI15</f>
        <v>10.8</v>
      </c>
      <c r="AL15" s="14" t="e">
        <f>AK15/AJ15*100</f>
        <v>#DIV/0!</v>
      </c>
      <c r="AM15" s="3"/>
      <c r="AN15" s="3"/>
      <c r="AO15" s="3"/>
      <c r="AP15" s="3"/>
      <c r="AQ15" s="3"/>
      <c r="AR15" s="3"/>
      <c r="AS15" s="3">
        <f>M15+Y15+AJ15+AM15+AO15+AQ15</f>
        <v>402.00000000000006</v>
      </c>
      <c r="AT15" s="3">
        <f>N15+Z15+AK15+AN15+AP15+AR15</f>
        <v>495.19999999999993</v>
      </c>
      <c r="AU15" s="14">
        <f t="shared" si="7"/>
        <v>123.18407960199002</v>
      </c>
      <c r="AV15" s="14">
        <f>AS15-AT15</f>
        <v>-93.19999999999987</v>
      </c>
      <c r="AW15" s="4">
        <f>C15+AS15-AT15</f>
        <v>94.80000000000007</v>
      </c>
      <c r="AX15" s="99"/>
      <c r="AZ15" s="18"/>
    </row>
    <row r="16" spans="1:52" ht="24" customHeight="1">
      <c r="A16" s="98">
        <v>9</v>
      </c>
      <c r="B16" s="1" t="s">
        <v>104</v>
      </c>
      <c r="C16" s="2"/>
      <c r="D16" s="21"/>
      <c r="E16" s="21"/>
      <c r="F16" s="36" t="e">
        <f t="shared" si="0"/>
        <v>#DIV/0!</v>
      </c>
      <c r="G16" s="21"/>
      <c r="H16" s="21"/>
      <c r="I16" s="36" t="e">
        <f t="shared" si="5"/>
        <v>#DIV/0!</v>
      </c>
      <c r="J16" s="21"/>
      <c r="K16" s="21"/>
      <c r="L16" s="36" t="e">
        <f t="shared" si="8"/>
        <v>#DIV/0!</v>
      </c>
      <c r="M16" s="3"/>
      <c r="N16" s="3"/>
      <c r="O16" s="14"/>
      <c r="P16" s="21"/>
      <c r="Q16" s="21"/>
      <c r="R16" s="36" t="e">
        <f t="shared" si="9"/>
        <v>#DIV/0!</v>
      </c>
      <c r="S16" s="21"/>
      <c r="T16" s="21"/>
      <c r="U16" s="36" t="e">
        <f t="shared" si="10"/>
        <v>#DIV/0!</v>
      </c>
      <c r="V16" s="21"/>
      <c r="W16" s="21"/>
      <c r="X16" s="36" t="e">
        <f>W16/V16*100</f>
        <v>#DIV/0!</v>
      </c>
      <c r="Y16" s="3"/>
      <c r="Z16" s="3"/>
      <c r="AA16" s="14"/>
      <c r="AB16" s="21"/>
      <c r="AC16" s="21"/>
      <c r="AD16" s="36" t="e">
        <f>AC16/AB16*100</f>
        <v>#DIV/0!</v>
      </c>
      <c r="AE16" s="21"/>
      <c r="AF16" s="21"/>
      <c r="AG16" s="36"/>
      <c r="AH16" s="21"/>
      <c r="AI16" s="21"/>
      <c r="AJ16" s="3"/>
      <c r="AK16" s="3"/>
      <c r="AL16" s="14"/>
      <c r="AM16" s="21"/>
      <c r="AN16" s="21"/>
      <c r="AO16" s="21"/>
      <c r="AP16" s="21"/>
      <c r="AQ16" s="21"/>
      <c r="AR16" s="21"/>
      <c r="AS16" s="3"/>
      <c r="AT16" s="3"/>
      <c r="AU16" s="36" t="e">
        <f t="shared" si="7"/>
        <v>#DIV/0!</v>
      </c>
      <c r="AV16" s="14"/>
      <c r="AW16" s="4"/>
      <c r="AX16" s="99"/>
      <c r="AZ16" s="18"/>
    </row>
    <row r="17" spans="1:52" ht="24" customHeight="1">
      <c r="A17" s="98">
        <v>10</v>
      </c>
      <c r="B17" s="15" t="s">
        <v>105</v>
      </c>
      <c r="C17" s="2">
        <f>20.5+115</f>
        <v>135.5</v>
      </c>
      <c r="D17" s="3">
        <v>78.5</v>
      </c>
      <c r="E17" s="3">
        <v>0</v>
      </c>
      <c r="F17" s="14">
        <f t="shared" si="0"/>
        <v>0</v>
      </c>
      <c r="G17" s="3">
        <v>112.5</v>
      </c>
      <c r="H17" s="3">
        <v>60.5</v>
      </c>
      <c r="I17" s="14">
        <f t="shared" si="5"/>
        <v>53.77777777777778</v>
      </c>
      <c r="J17" s="3">
        <v>135</v>
      </c>
      <c r="K17" s="3">
        <v>54.5</v>
      </c>
      <c r="L17" s="14">
        <f t="shared" si="8"/>
        <v>40.370370370370374</v>
      </c>
      <c r="M17" s="3">
        <f aca="true" t="shared" si="11" ref="M17:N19">D17+G17+J17</f>
        <v>326</v>
      </c>
      <c r="N17" s="3">
        <f t="shared" si="11"/>
        <v>115</v>
      </c>
      <c r="O17" s="14">
        <f t="shared" si="4"/>
        <v>35.2760736196319</v>
      </c>
      <c r="P17" s="3">
        <v>2.3</v>
      </c>
      <c r="Q17" s="3">
        <v>190.9</v>
      </c>
      <c r="R17" s="14">
        <f t="shared" si="9"/>
        <v>8300.000000000002</v>
      </c>
      <c r="S17" s="3">
        <v>-3.5</v>
      </c>
      <c r="T17" s="3">
        <v>0</v>
      </c>
      <c r="U17" s="14"/>
      <c r="V17" s="3">
        <v>0</v>
      </c>
      <c r="W17" s="3">
        <v>9</v>
      </c>
      <c r="X17" s="14"/>
      <c r="Y17" s="3">
        <f aca="true" t="shared" si="12" ref="Y17:Z19">P17+S17+V17</f>
        <v>-1.2000000000000002</v>
      </c>
      <c r="Z17" s="3">
        <f t="shared" si="12"/>
        <v>199.9</v>
      </c>
      <c r="AA17" s="14">
        <f>Z17/Y17*100</f>
        <v>-16658.333333333332</v>
      </c>
      <c r="AB17" s="3">
        <v>-0.9</v>
      </c>
      <c r="AC17" s="3">
        <v>0</v>
      </c>
      <c r="AD17" s="14"/>
      <c r="AE17" s="3"/>
      <c r="AF17" s="3"/>
      <c r="AG17" s="14" t="e">
        <f>AF17/AE17*100</f>
        <v>#DIV/0!</v>
      </c>
      <c r="AH17" s="3"/>
      <c r="AI17" s="3"/>
      <c r="AJ17" s="3">
        <f aca="true" t="shared" si="13" ref="AJ17:AK19">AB17+AE17+AH17</f>
        <v>-0.9</v>
      </c>
      <c r="AK17" s="3">
        <f t="shared" si="13"/>
        <v>0</v>
      </c>
      <c r="AL17" s="14">
        <f>AK17/AJ17*100</f>
        <v>0</v>
      </c>
      <c r="AM17" s="3"/>
      <c r="AN17" s="3"/>
      <c r="AO17" s="3"/>
      <c r="AP17" s="3"/>
      <c r="AQ17" s="3"/>
      <c r="AR17" s="3"/>
      <c r="AS17" s="3">
        <f aca="true" t="shared" si="14" ref="AS17:AT19">M17+Y17+AJ17+AM17+AO17+AQ17</f>
        <v>323.90000000000003</v>
      </c>
      <c r="AT17" s="3">
        <f t="shared" si="14"/>
        <v>314.9</v>
      </c>
      <c r="AU17" s="14">
        <f t="shared" si="7"/>
        <v>97.22136461870946</v>
      </c>
      <c r="AV17" s="14">
        <f>AS17-AT17</f>
        <v>9.000000000000057</v>
      </c>
      <c r="AW17" s="4">
        <f>C17+AS17-AT17</f>
        <v>144.50000000000006</v>
      </c>
      <c r="AX17" s="99"/>
      <c r="AZ17" s="18"/>
    </row>
    <row r="18" spans="1:52" ht="24" customHeight="1">
      <c r="A18" s="98">
        <v>11</v>
      </c>
      <c r="B18" s="15" t="s">
        <v>106</v>
      </c>
      <c r="C18" s="2">
        <v>28.7</v>
      </c>
      <c r="D18" s="3">
        <v>23.5</v>
      </c>
      <c r="E18" s="3">
        <v>12.3</v>
      </c>
      <c r="F18" s="14">
        <f t="shared" si="0"/>
        <v>52.34042553191489</v>
      </c>
      <c r="G18" s="3">
        <v>24.2</v>
      </c>
      <c r="H18" s="3">
        <v>0</v>
      </c>
      <c r="I18" s="14">
        <f t="shared" si="5"/>
        <v>0</v>
      </c>
      <c r="J18" s="3">
        <v>22.4</v>
      </c>
      <c r="K18" s="3">
        <v>39.9</v>
      </c>
      <c r="L18" s="14">
        <f t="shared" si="8"/>
        <v>178.125</v>
      </c>
      <c r="M18" s="3">
        <f t="shared" si="11"/>
        <v>70.1</v>
      </c>
      <c r="N18" s="3">
        <f t="shared" si="11"/>
        <v>52.2</v>
      </c>
      <c r="O18" s="14">
        <f t="shared" si="4"/>
        <v>74.46504992867334</v>
      </c>
      <c r="P18" s="3">
        <v>2.3</v>
      </c>
      <c r="Q18" s="3">
        <v>24.2</v>
      </c>
      <c r="R18" s="14">
        <f t="shared" si="9"/>
        <v>1052.1739130434783</v>
      </c>
      <c r="S18" s="3">
        <v>0</v>
      </c>
      <c r="T18" s="3">
        <v>13.1</v>
      </c>
      <c r="U18" s="28" t="e">
        <f t="shared" si="10"/>
        <v>#DIV/0!</v>
      </c>
      <c r="V18" s="3">
        <v>0</v>
      </c>
      <c r="W18" s="3">
        <v>3.8</v>
      </c>
      <c r="X18" s="28" t="e">
        <f>W18/V18*100</f>
        <v>#DIV/0!</v>
      </c>
      <c r="Y18" s="3">
        <f t="shared" si="12"/>
        <v>2.3</v>
      </c>
      <c r="Z18" s="3">
        <f t="shared" si="12"/>
        <v>41.099999999999994</v>
      </c>
      <c r="AA18" s="28">
        <f>Z18/Y18*100</f>
        <v>1786.9565217391305</v>
      </c>
      <c r="AB18" s="3">
        <v>0</v>
      </c>
      <c r="AC18" s="3">
        <v>0</v>
      </c>
      <c r="AD18" s="28" t="e">
        <f>AC18/AB18*100</f>
        <v>#DIV/0!</v>
      </c>
      <c r="AE18" s="3"/>
      <c r="AF18" s="3"/>
      <c r="AG18" s="28" t="e">
        <f>AF18/AE18*100</f>
        <v>#DIV/0!</v>
      </c>
      <c r="AH18" s="3"/>
      <c r="AI18" s="3"/>
      <c r="AJ18" s="3">
        <f t="shared" si="13"/>
        <v>0</v>
      </c>
      <c r="AK18" s="3">
        <f t="shared" si="13"/>
        <v>0</v>
      </c>
      <c r="AL18" s="28" t="e">
        <f>AK18/AJ18*100</f>
        <v>#DIV/0!</v>
      </c>
      <c r="AM18" s="3"/>
      <c r="AN18" s="3"/>
      <c r="AO18" s="3"/>
      <c r="AP18" s="3"/>
      <c r="AQ18" s="3"/>
      <c r="AR18" s="3"/>
      <c r="AS18" s="3">
        <f t="shared" si="14"/>
        <v>72.39999999999999</v>
      </c>
      <c r="AT18" s="3">
        <f t="shared" si="14"/>
        <v>93.3</v>
      </c>
      <c r="AU18" s="14">
        <f t="shared" si="7"/>
        <v>128.86740331491714</v>
      </c>
      <c r="AV18" s="14">
        <f>AS18-AT18</f>
        <v>-20.900000000000006</v>
      </c>
      <c r="AW18" s="4">
        <f>C18+AS18-AT18</f>
        <v>7.799999999999997</v>
      </c>
      <c r="AX18" s="99"/>
      <c r="AZ18" s="18"/>
    </row>
    <row r="19" spans="1:52" ht="24" customHeight="1">
      <c r="A19" s="98">
        <v>12</v>
      </c>
      <c r="B19" s="1" t="s">
        <v>107</v>
      </c>
      <c r="C19" s="2">
        <v>105</v>
      </c>
      <c r="D19" s="3">
        <v>66.2</v>
      </c>
      <c r="E19" s="3">
        <v>0</v>
      </c>
      <c r="F19" s="14">
        <f t="shared" si="0"/>
        <v>0</v>
      </c>
      <c r="G19" s="3">
        <v>64.6</v>
      </c>
      <c r="H19" s="3">
        <v>105</v>
      </c>
      <c r="I19" s="14">
        <f t="shared" si="5"/>
        <v>162.5386996904025</v>
      </c>
      <c r="J19" s="3">
        <v>66.7</v>
      </c>
      <c r="K19" s="3">
        <v>0</v>
      </c>
      <c r="L19" s="14">
        <f t="shared" si="8"/>
        <v>0</v>
      </c>
      <c r="M19" s="3">
        <f t="shared" si="11"/>
        <v>197.5</v>
      </c>
      <c r="N19" s="3">
        <f t="shared" si="11"/>
        <v>105</v>
      </c>
      <c r="O19" s="14">
        <f t="shared" si="4"/>
        <v>53.16455696202531</v>
      </c>
      <c r="P19" s="3">
        <v>7.8</v>
      </c>
      <c r="Q19" s="3">
        <v>131</v>
      </c>
      <c r="R19" s="14">
        <f t="shared" si="9"/>
        <v>1679.4871794871797</v>
      </c>
      <c r="S19" s="3">
        <v>0</v>
      </c>
      <c r="T19" s="3">
        <v>14.1</v>
      </c>
      <c r="U19" s="28" t="e">
        <f t="shared" si="10"/>
        <v>#DIV/0!</v>
      </c>
      <c r="V19" s="3">
        <v>0</v>
      </c>
      <c r="W19" s="3">
        <v>0</v>
      </c>
      <c r="X19" s="28" t="e">
        <f>W19/V19*100</f>
        <v>#DIV/0!</v>
      </c>
      <c r="Y19" s="3">
        <f t="shared" si="12"/>
        <v>7.8</v>
      </c>
      <c r="Z19" s="3">
        <f t="shared" si="12"/>
        <v>145.1</v>
      </c>
      <c r="AA19" s="28">
        <f>Z19/Y19*100</f>
        <v>1860.2564102564102</v>
      </c>
      <c r="AB19" s="3">
        <v>0</v>
      </c>
      <c r="AC19" s="3">
        <v>6.2</v>
      </c>
      <c r="AD19" s="28" t="e">
        <f>AC19/AB19*100</f>
        <v>#DIV/0!</v>
      </c>
      <c r="AE19" s="3"/>
      <c r="AF19" s="3"/>
      <c r="AG19" s="28" t="e">
        <f>AF19/AE19*100</f>
        <v>#DIV/0!</v>
      </c>
      <c r="AH19" s="3"/>
      <c r="AI19" s="3"/>
      <c r="AJ19" s="3">
        <f t="shared" si="13"/>
        <v>0</v>
      </c>
      <c r="AK19" s="3">
        <f t="shared" si="13"/>
        <v>6.2</v>
      </c>
      <c r="AL19" s="28" t="e">
        <f>AK19/AJ19*100</f>
        <v>#DIV/0!</v>
      </c>
      <c r="AM19" s="3"/>
      <c r="AN19" s="3"/>
      <c r="AO19" s="3"/>
      <c r="AP19" s="3"/>
      <c r="AQ19" s="3"/>
      <c r="AR19" s="3"/>
      <c r="AS19" s="3">
        <f t="shared" si="14"/>
        <v>205.3</v>
      </c>
      <c r="AT19" s="3">
        <f t="shared" si="14"/>
        <v>256.3</v>
      </c>
      <c r="AU19" s="14">
        <f t="shared" si="7"/>
        <v>124.8416950803702</v>
      </c>
      <c r="AV19" s="14">
        <f>AS19-AT19</f>
        <v>-51</v>
      </c>
      <c r="AW19" s="4">
        <f>C19+AS19-AT19</f>
        <v>54</v>
      </c>
      <c r="AX19" s="99"/>
      <c r="AZ19" s="18"/>
    </row>
    <row r="20" spans="1:52" ht="24" customHeight="1">
      <c r="A20" s="98">
        <v>13</v>
      </c>
      <c r="B20" s="15" t="s">
        <v>108</v>
      </c>
      <c r="C20" s="2"/>
      <c r="D20" s="21"/>
      <c r="E20" s="21"/>
      <c r="F20" s="36" t="e">
        <f t="shared" si="0"/>
        <v>#DIV/0!</v>
      </c>
      <c r="G20" s="21"/>
      <c r="H20" s="21"/>
      <c r="I20" s="36" t="e">
        <f t="shared" si="5"/>
        <v>#DIV/0!</v>
      </c>
      <c r="J20" s="21"/>
      <c r="K20" s="21"/>
      <c r="L20" s="36" t="e">
        <f t="shared" si="8"/>
        <v>#DIV/0!</v>
      </c>
      <c r="M20" s="3"/>
      <c r="N20" s="3"/>
      <c r="O20" s="14"/>
      <c r="P20" s="21"/>
      <c r="Q20" s="21"/>
      <c r="R20" s="36" t="e">
        <f t="shared" si="9"/>
        <v>#DIV/0!</v>
      </c>
      <c r="S20" s="21"/>
      <c r="T20" s="21"/>
      <c r="U20" s="36" t="e">
        <f t="shared" si="10"/>
        <v>#DIV/0!</v>
      </c>
      <c r="V20" s="21"/>
      <c r="W20" s="21"/>
      <c r="X20" s="36" t="e">
        <f>W20/V20*100</f>
        <v>#DIV/0!</v>
      </c>
      <c r="Y20" s="3"/>
      <c r="Z20" s="3"/>
      <c r="AA20" s="14"/>
      <c r="AB20" s="21"/>
      <c r="AC20" s="21"/>
      <c r="AD20" s="36" t="e">
        <f>AC20/AB20*100</f>
        <v>#DIV/0!</v>
      </c>
      <c r="AE20" s="21"/>
      <c r="AF20" s="21"/>
      <c r="AG20" s="36"/>
      <c r="AH20" s="21"/>
      <c r="AI20" s="21"/>
      <c r="AJ20" s="3"/>
      <c r="AK20" s="3"/>
      <c r="AL20" s="14"/>
      <c r="AM20" s="21"/>
      <c r="AN20" s="21"/>
      <c r="AO20" s="21"/>
      <c r="AP20" s="21"/>
      <c r="AQ20" s="21"/>
      <c r="AR20" s="21"/>
      <c r="AS20" s="3"/>
      <c r="AT20" s="3"/>
      <c r="AU20" s="36" t="e">
        <f t="shared" si="7"/>
        <v>#DIV/0!</v>
      </c>
      <c r="AV20" s="14"/>
      <c r="AW20" s="4"/>
      <c r="AX20" s="99"/>
      <c r="AZ20" s="18"/>
    </row>
    <row r="21" spans="1:52" ht="24" customHeight="1">
      <c r="A21" s="98">
        <v>14</v>
      </c>
      <c r="B21" s="15" t="s">
        <v>109</v>
      </c>
      <c r="C21" s="2"/>
      <c r="D21" s="21"/>
      <c r="E21" s="21"/>
      <c r="F21" s="36" t="e">
        <f t="shared" si="0"/>
        <v>#DIV/0!</v>
      </c>
      <c r="G21" s="21"/>
      <c r="H21" s="21"/>
      <c r="I21" s="36" t="e">
        <f t="shared" si="5"/>
        <v>#DIV/0!</v>
      </c>
      <c r="J21" s="21"/>
      <c r="K21" s="21"/>
      <c r="L21" s="36" t="e">
        <f t="shared" si="8"/>
        <v>#DIV/0!</v>
      </c>
      <c r="M21" s="3"/>
      <c r="N21" s="3"/>
      <c r="O21" s="14"/>
      <c r="P21" s="21"/>
      <c r="Q21" s="21"/>
      <c r="R21" s="36" t="e">
        <f t="shared" si="9"/>
        <v>#DIV/0!</v>
      </c>
      <c r="S21" s="21"/>
      <c r="T21" s="21"/>
      <c r="U21" s="36" t="e">
        <f t="shared" si="10"/>
        <v>#DIV/0!</v>
      </c>
      <c r="V21" s="21"/>
      <c r="W21" s="21"/>
      <c r="X21" s="36" t="e">
        <f>W21/V21*100</f>
        <v>#DIV/0!</v>
      </c>
      <c r="Y21" s="3"/>
      <c r="Z21" s="3"/>
      <c r="AA21" s="14"/>
      <c r="AB21" s="21"/>
      <c r="AC21" s="21"/>
      <c r="AD21" s="36" t="e">
        <f>AC21/AB21*100</f>
        <v>#DIV/0!</v>
      </c>
      <c r="AE21" s="21"/>
      <c r="AF21" s="21"/>
      <c r="AG21" s="36"/>
      <c r="AH21" s="21"/>
      <c r="AI21" s="21"/>
      <c r="AJ21" s="3"/>
      <c r="AK21" s="3"/>
      <c r="AL21" s="14"/>
      <c r="AM21" s="21"/>
      <c r="AN21" s="21"/>
      <c r="AO21" s="21"/>
      <c r="AP21" s="21"/>
      <c r="AQ21" s="21"/>
      <c r="AR21" s="21"/>
      <c r="AS21" s="3"/>
      <c r="AT21" s="3"/>
      <c r="AU21" s="36" t="e">
        <f t="shared" si="7"/>
        <v>#DIV/0!</v>
      </c>
      <c r="AV21" s="14"/>
      <c r="AW21" s="4"/>
      <c r="AX21" s="99"/>
      <c r="AZ21" s="18"/>
    </row>
    <row r="22" spans="1:52" ht="24" customHeight="1">
      <c r="A22" s="98">
        <v>15</v>
      </c>
      <c r="B22" s="15" t="s">
        <v>110</v>
      </c>
      <c r="C22" s="2"/>
      <c r="D22" s="21"/>
      <c r="E22" s="21"/>
      <c r="F22" s="36" t="e">
        <f t="shared" si="0"/>
        <v>#DIV/0!</v>
      </c>
      <c r="G22" s="21"/>
      <c r="H22" s="21"/>
      <c r="I22" s="36" t="e">
        <f>H22/G22*100</f>
        <v>#DIV/0!</v>
      </c>
      <c r="J22" s="21"/>
      <c r="K22" s="21"/>
      <c r="L22" s="36" t="e">
        <f>K22/J22*100</f>
        <v>#DIV/0!</v>
      </c>
      <c r="M22" s="3"/>
      <c r="N22" s="3"/>
      <c r="O22" s="14"/>
      <c r="P22" s="21"/>
      <c r="Q22" s="21"/>
      <c r="R22" s="36" t="e">
        <f>Q22/P22*100</f>
        <v>#DIV/0!</v>
      </c>
      <c r="S22" s="21"/>
      <c r="T22" s="21"/>
      <c r="U22" s="36" t="e">
        <f>T22/S22*100</f>
        <v>#DIV/0!</v>
      </c>
      <c r="V22" s="21"/>
      <c r="W22" s="21"/>
      <c r="X22" s="36" t="e">
        <f>W22/V22*100</f>
        <v>#DIV/0!</v>
      </c>
      <c r="Y22" s="3"/>
      <c r="Z22" s="3"/>
      <c r="AA22" s="14"/>
      <c r="AB22" s="21"/>
      <c r="AC22" s="21"/>
      <c r="AD22" s="36" t="e">
        <f>AC22/AB22*100</f>
        <v>#DIV/0!</v>
      </c>
      <c r="AE22" s="21"/>
      <c r="AF22" s="21"/>
      <c r="AG22" s="36"/>
      <c r="AH22" s="21"/>
      <c r="AI22" s="21"/>
      <c r="AJ22" s="3"/>
      <c r="AK22" s="3"/>
      <c r="AL22" s="14"/>
      <c r="AM22" s="21"/>
      <c r="AN22" s="21"/>
      <c r="AO22" s="21"/>
      <c r="AP22" s="21"/>
      <c r="AQ22" s="21"/>
      <c r="AR22" s="21"/>
      <c r="AS22" s="3"/>
      <c r="AT22" s="3"/>
      <c r="AU22" s="36" t="e">
        <f t="shared" si="7"/>
        <v>#DIV/0!</v>
      </c>
      <c r="AV22" s="14"/>
      <c r="AW22" s="4"/>
      <c r="AX22" s="99"/>
      <c r="AZ22" s="18"/>
    </row>
    <row r="23" spans="1:52" ht="24" customHeight="1">
      <c r="A23" s="98">
        <v>16</v>
      </c>
      <c r="B23" s="15" t="s">
        <v>29</v>
      </c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3"/>
      <c r="N23" s="3"/>
      <c r="O23" s="14"/>
      <c r="P23" s="90"/>
      <c r="Q23" s="90"/>
      <c r="R23" s="90"/>
      <c r="S23" s="90"/>
      <c r="T23" s="90"/>
      <c r="U23" s="90"/>
      <c r="V23" s="90"/>
      <c r="W23" s="90"/>
      <c r="X23" s="90"/>
      <c r="Y23" s="3"/>
      <c r="Z23" s="3"/>
      <c r="AA23" s="14"/>
      <c r="AB23" s="90"/>
      <c r="AC23" s="90"/>
      <c r="AD23" s="90"/>
      <c r="AE23" s="90"/>
      <c r="AF23" s="90"/>
      <c r="AG23" s="90"/>
      <c r="AH23" s="90"/>
      <c r="AI23" s="90"/>
      <c r="AJ23" s="3"/>
      <c r="AK23" s="3"/>
      <c r="AL23" s="14"/>
      <c r="AM23" s="90"/>
      <c r="AN23" s="90"/>
      <c r="AO23" s="90"/>
      <c r="AP23" s="90"/>
      <c r="AQ23" s="90"/>
      <c r="AR23" s="90"/>
      <c r="AS23" s="3"/>
      <c r="AT23" s="3"/>
      <c r="AU23" s="90"/>
      <c r="AV23" s="14"/>
      <c r="AW23" s="4"/>
      <c r="AX23" s="99"/>
      <c r="AZ23" s="18"/>
    </row>
    <row r="24" spans="1:52" ht="24.75" customHeight="1">
      <c r="A24" s="98">
        <v>17</v>
      </c>
      <c r="B24" s="15" t="s">
        <v>111</v>
      </c>
      <c r="C24" s="2">
        <v>307.8</v>
      </c>
      <c r="D24" s="3">
        <v>225.2</v>
      </c>
      <c r="E24" s="3">
        <v>149.1</v>
      </c>
      <c r="F24" s="14">
        <f t="shared" si="0"/>
        <v>66.20781527531084</v>
      </c>
      <c r="G24" s="3">
        <v>206.8</v>
      </c>
      <c r="H24" s="3">
        <v>0</v>
      </c>
      <c r="I24" s="14">
        <f>H24/G24*100</f>
        <v>0</v>
      </c>
      <c r="J24" s="3">
        <v>204.3</v>
      </c>
      <c r="K24" s="3">
        <v>0</v>
      </c>
      <c r="L24" s="14">
        <f>K24/J24*100</f>
        <v>0</v>
      </c>
      <c r="M24" s="3">
        <f>D24+G24+J24</f>
        <v>636.3</v>
      </c>
      <c r="N24" s="3">
        <f>E24+H24+K24</f>
        <v>149.1</v>
      </c>
      <c r="O24" s="14">
        <f t="shared" si="4"/>
        <v>23.432343234323433</v>
      </c>
      <c r="P24" s="3">
        <v>13</v>
      </c>
      <c r="Q24" s="3">
        <v>590.7</v>
      </c>
      <c r="R24" s="14">
        <f>Q24/P24*100</f>
        <v>4543.846153846154</v>
      </c>
      <c r="S24" s="3">
        <v>0</v>
      </c>
      <c r="T24" s="3">
        <v>150.6</v>
      </c>
      <c r="U24" s="14" t="e">
        <f>T24/S24*100</f>
        <v>#DIV/0!</v>
      </c>
      <c r="V24" s="3">
        <v>0</v>
      </c>
      <c r="W24" s="3">
        <v>5.5</v>
      </c>
      <c r="X24" s="28" t="e">
        <f>W24/V24*100</f>
        <v>#DIV/0!</v>
      </c>
      <c r="Y24" s="3">
        <f>P24+S24+V24</f>
        <v>13</v>
      </c>
      <c r="Z24" s="3">
        <f>Q24+T24+W24</f>
        <v>746.8000000000001</v>
      </c>
      <c r="AA24" s="14">
        <f>Z24/Y24*100</f>
        <v>5744.615384615385</v>
      </c>
      <c r="AB24" s="3">
        <v>0</v>
      </c>
      <c r="AC24" s="3">
        <v>40.2</v>
      </c>
      <c r="AD24" s="28" t="e">
        <f>AC24/AB24*100</f>
        <v>#DIV/0!</v>
      </c>
      <c r="AE24" s="3"/>
      <c r="AF24" s="3"/>
      <c r="AG24" s="14" t="e">
        <f>AF24/AE24*100</f>
        <v>#DIV/0!</v>
      </c>
      <c r="AH24" s="3"/>
      <c r="AI24" s="3"/>
      <c r="AJ24" s="3">
        <f>AB24+AE24+AH24</f>
        <v>0</v>
      </c>
      <c r="AK24" s="3">
        <f>AC24+AF24+AI24</f>
        <v>40.2</v>
      </c>
      <c r="AL24" s="14" t="e">
        <f>AK24/AJ24*100</f>
        <v>#DIV/0!</v>
      </c>
      <c r="AM24" s="3"/>
      <c r="AN24" s="3"/>
      <c r="AO24" s="3"/>
      <c r="AP24" s="3"/>
      <c r="AQ24" s="3"/>
      <c r="AR24" s="3"/>
      <c r="AS24" s="3">
        <f>M24+Y24+AJ24+AM24+AO24+AQ24</f>
        <v>649.3</v>
      </c>
      <c r="AT24" s="3">
        <f>N24+Z24+AK24+AN24+AP24+AR24</f>
        <v>936.1000000000001</v>
      </c>
      <c r="AU24" s="14">
        <f>AT24/AS24*100</f>
        <v>144.17064531033424</v>
      </c>
      <c r="AV24" s="14">
        <f>AS24-AT24</f>
        <v>-286.8000000000002</v>
      </c>
      <c r="AW24" s="4">
        <f>C24+AS24-AT24</f>
        <v>20.999999999999773</v>
      </c>
      <c r="AX24" s="99"/>
      <c r="AZ24" s="18"/>
    </row>
    <row r="25" spans="1:52" ht="24" customHeight="1">
      <c r="A25" s="98">
        <v>18</v>
      </c>
      <c r="B25" s="1" t="s">
        <v>112</v>
      </c>
      <c r="C25" s="2"/>
      <c r="D25" s="21"/>
      <c r="E25" s="21"/>
      <c r="F25" s="36" t="e">
        <f t="shared" si="0"/>
        <v>#DIV/0!</v>
      </c>
      <c r="G25" s="21"/>
      <c r="H25" s="21"/>
      <c r="I25" s="36" t="e">
        <f>H25/G25*100</f>
        <v>#DIV/0!</v>
      </c>
      <c r="J25" s="21"/>
      <c r="K25" s="21"/>
      <c r="L25" s="36" t="e">
        <f>K25/J25*100</f>
        <v>#DIV/0!</v>
      </c>
      <c r="M25" s="3"/>
      <c r="N25" s="3"/>
      <c r="O25" s="14"/>
      <c r="P25" s="21"/>
      <c r="Q25" s="21"/>
      <c r="R25" s="36" t="e">
        <f>Q25/P25*100</f>
        <v>#DIV/0!</v>
      </c>
      <c r="S25" s="21"/>
      <c r="T25" s="21"/>
      <c r="U25" s="36" t="e">
        <f>T25/S25*100</f>
        <v>#DIV/0!</v>
      </c>
      <c r="V25" s="21"/>
      <c r="W25" s="21"/>
      <c r="X25" s="36" t="e">
        <f>W25/V25*100</f>
        <v>#DIV/0!</v>
      </c>
      <c r="Y25" s="3"/>
      <c r="Z25" s="3"/>
      <c r="AA25" s="14"/>
      <c r="AB25" s="21"/>
      <c r="AC25" s="21"/>
      <c r="AD25" s="36" t="e">
        <f>AC25/AB25*100</f>
        <v>#DIV/0!</v>
      </c>
      <c r="AE25" s="21"/>
      <c r="AF25" s="21"/>
      <c r="AG25" s="14"/>
      <c r="AH25" s="21"/>
      <c r="AI25" s="21"/>
      <c r="AJ25" s="3"/>
      <c r="AK25" s="3"/>
      <c r="AL25" s="14"/>
      <c r="AM25" s="21"/>
      <c r="AN25" s="21"/>
      <c r="AO25" s="21"/>
      <c r="AP25" s="21"/>
      <c r="AQ25" s="21"/>
      <c r="AR25" s="21"/>
      <c r="AS25" s="3"/>
      <c r="AT25" s="3"/>
      <c r="AU25" s="36"/>
      <c r="AV25" s="14"/>
      <c r="AW25" s="4"/>
      <c r="AX25" s="99"/>
      <c r="AZ25" s="18"/>
    </row>
    <row r="26" spans="1:52" ht="24" customHeight="1">
      <c r="A26" s="98">
        <v>19</v>
      </c>
      <c r="B26" s="15" t="s">
        <v>113</v>
      </c>
      <c r="C26" s="2">
        <v>92.4</v>
      </c>
      <c r="D26" s="3">
        <v>70.6</v>
      </c>
      <c r="E26" s="3">
        <v>19</v>
      </c>
      <c r="F26" s="14">
        <f t="shared" si="0"/>
        <v>26.91218130311615</v>
      </c>
      <c r="G26" s="3">
        <v>67.9</v>
      </c>
      <c r="H26" s="3">
        <v>27.6</v>
      </c>
      <c r="I26" s="14">
        <f>H26/G26*100</f>
        <v>40.6480117820324</v>
      </c>
      <c r="J26" s="3">
        <v>65.2</v>
      </c>
      <c r="K26" s="3">
        <v>48.2</v>
      </c>
      <c r="L26" s="14">
        <f>K26/J26*100</f>
        <v>73.92638036809817</v>
      </c>
      <c r="M26" s="3">
        <f>D26+G26+J26</f>
        <v>203.7</v>
      </c>
      <c r="N26" s="3">
        <f>E26+H26+K26</f>
        <v>94.80000000000001</v>
      </c>
      <c r="O26" s="14">
        <f t="shared" si="4"/>
        <v>46.53902798232696</v>
      </c>
      <c r="P26" s="3">
        <v>5.4</v>
      </c>
      <c r="Q26" s="3">
        <v>136</v>
      </c>
      <c r="R26" s="14">
        <f>Q26/P26*100</f>
        <v>2518.5185185185182</v>
      </c>
      <c r="S26" s="3">
        <v>0</v>
      </c>
      <c r="T26" s="3">
        <v>0</v>
      </c>
      <c r="U26" s="14" t="e">
        <f>T26/S26*100</f>
        <v>#DIV/0!</v>
      </c>
      <c r="V26" s="3">
        <v>0</v>
      </c>
      <c r="W26" s="3">
        <v>6.1</v>
      </c>
      <c r="X26" s="28" t="e">
        <f>W26/V26*100</f>
        <v>#DIV/0!</v>
      </c>
      <c r="Y26" s="3">
        <f>P26+S26+V26</f>
        <v>5.4</v>
      </c>
      <c r="Z26" s="3">
        <f>Q26+T26+W26</f>
        <v>142.1</v>
      </c>
      <c r="AA26" s="14">
        <f>Z26/Y26*100</f>
        <v>2631.4814814814813</v>
      </c>
      <c r="AB26" s="3">
        <v>0</v>
      </c>
      <c r="AC26" s="3">
        <v>7.9</v>
      </c>
      <c r="AD26" s="28" t="e">
        <f>AC26/AB26*100</f>
        <v>#DIV/0!</v>
      </c>
      <c r="AE26" s="3"/>
      <c r="AF26" s="3"/>
      <c r="AG26" s="28" t="e">
        <f>AF26/AE26*100</f>
        <v>#DIV/0!</v>
      </c>
      <c r="AH26" s="3"/>
      <c r="AI26" s="3"/>
      <c r="AJ26" s="3">
        <f>AB26+AE26+AH26</f>
        <v>0</v>
      </c>
      <c r="AK26" s="3">
        <f>AC26+AF26+AI26</f>
        <v>7.9</v>
      </c>
      <c r="AL26" s="14" t="e">
        <f>AK26/AJ26*100</f>
        <v>#DIV/0!</v>
      </c>
      <c r="AM26" s="3"/>
      <c r="AN26" s="3"/>
      <c r="AO26" s="3"/>
      <c r="AP26" s="3"/>
      <c r="AQ26" s="3"/>
      <c r="AR26" s="3"/>
      <c r="AS26" s="3">
        <f>M26+Y26+AJ26+AM26+AO26+AQ26</f>
        <v>209.1</v>
      </c>
      <c r="AT26" s="3">
        <f>N26+Z26+AK26+AN26+AP26+AR26</f>
        <v>244.8</v>
      </c>
      <c r="AU26" s="14">
        <f>AT26/AS26*100</f>
        <v>117.07317073170734</v>
      </c>
      <c r="AV26" s="14">
        <f>AS26-AT26</f>
        <v>-35.70000000000002</v>
      </c>
      <c r="AW26" s="4">
        <f>C26+AS26-AT26</f>
        <v>56.69999999999999</v>
      </c>
      <c r="AX26" s="99"/>
      <c r="AZ26" s="18"/>
    </row>
    <row r="27" spans="1:52" ht="29.25" customHeight="1">
      <c r="A27" s="98">
        <v>20</v>
      </c>
      <c r="B27" s="15" t="s">
        <v>114</v>
      </c>
      <c r="C27" s="2">
        <v>158.6</v>
      </c>
      <c r="D27" s="3">
        <v>95.6</v>
      </c>
      <c r="E27" s="3">
        <v>158.6</v>
      </c>
      <c r="F27" s="14">
        <f t="shared" si="0"/>
        <v>165.89958158995816</v>
      </c>
      <c r="G27" s="3">
        <v>88.9</v>
      </c>
      <c r="H27" s="3">
        <v>0</v>
      </c>
      <c r="I27" s="14">
        <f>H27/G27*100</f>
        <v>0</v>
      </c>
      <c r="J27" s="3">
        <v>96.7</v>
      </c>
      <c r="K27" s="3">
        <v>135</v>
      </c>
      <c r="L27" s="14">
        <f>K27/J27*100</f>
        <v>139.60703205791106</v>
      </c>
      <c r="M27" s="3">
        <f>D27+G27+J27</f>
        <v>281.2</v>
      </c>
      <c r="N27" s="3">
        <f>E27+H27+K27</f>
        <v>293.6</v>
      </c>
      <c r="O27" s="14">
        <f t="shared" si="4"/>
        <v>104.40967283072547</v>
      </c>
      <c r="P27" s="3">
        <v>14.3</v>
      </c>
      <c r="Q27" s="3">
        <v>146.1</v>
      </c>
      <c r="R27" s="14">
        <f>Q27/P27*100</f>
        <v>1021.6783216783217</v>
      </c>
      <c r="S27" s="3">
        <v>-1.2</v>
      </c>
      <c r="T27" s="3">
        <v>14.4</v>
      </c>
      <c r="U27" s="14"/>
      <c r="V27" s="3">
        <v>0</v>
      </c>
      <c r="W27" s="3">
        <v>0</v>
      </c>
      <c r="X27" s="14"/>
      <c r="Y27" s="3">
        <f>P27+S27+V27</f>
        <v>13.100000000000001</v>
      </c>
      <c r="Z27" s="3">
        <f>Q27+T27+W27</f>
        <v>160.5</v>
      </c>
      <c r="AA27" s="14">
        <f>Z27/Y27*100</f>
        <v>1225.1908396946562</v>
      </c>
      <c r="AB27" s="3">
        <v>0</v>
      </c>
      <c r="AC27" s="3">
        <v>0</v>
      </c>
      <c r="AD27" s="14"/>
      <c r="AE27" s="3"/>
      <c r="AF27" s="3"/>
      <c r="AG27" s="28" t="e">
        <f>AF27/AE27*100</f>
        <v>#DIV/0!</v>
      </c>
      <c r="AH27" s="3"/>
      <c r="AI27" s="3"/>
      <c r="AJ27" s="3">
        <f>AB27+AE27+AH27</f>
        <v>0</v>
      </c>
      <c r="AK27" s="3">
        <f>AC27+AF27+AI27</f>
        <v>0</v>
      </c>
      <c r="AL27" s="14" t="e">
        <f>AK27/AJ27*100</f>
        <v>#DIV/0!</v>
      </c>
      <c r="AM27" s="3"/>
      <c r="AN27" s="3"/>
      <c r="AO27" s="3"/>
      <c r="AP27" s="3"/>
      <c r="AQ27" s="3"/>
      <c r="AR27" s="3"/>
      <c r="AS27" s="3">
        <f>M27+Y27+AJ27+AM27+AO27+AQ27</f>
        <v>294.3</v>
      </c>
      <c r="AT27" s="3">
        <f>N27+Z27+AK27+AN27+AP27+AR27</f>
        <v>454.1</v>
      </c>
      <c r="AU27" s="14">
        <f>AT27/AS27*100</f>
        <v>154.29833503228</v>
      </c>
      <c r="AV27" s="14">
        <f>AS27-AT27</f>
        <v>-159.8</v>
      </c>
      <c r="AW27" s="4">
        <f>C27+AS27-AT27</f>
        <v>-1.2000000000000455</v>
      </c>
      <c r="AX27" s="99"/>
      <c r="AZ27" s="18"/>
    </row>
    <row r="28" spans="1:52" ht="24.75" customHeight="1">
      <c r="A28" s="98">
        <v>21</v>
      </c>
      <c r="B28" s="1" t="s">
        <v>97</v>
      </c>
      <c r="C28" s="2"/>
      <c r="D28" s="44"/>
      <c r="E28" s="44"/>
      <c r="F28" s="14"/>
      <c r="G28" s="21"/>
      <c r="H28" s="21"/>
      <c r="I28" s="36" t="e">
        <f>H28/G28*100</f>
        <v>#DIV/0!</v>
      </c>
      <c r="J28" s="21"/>
      <c r="K28" s="21"/>
      <c r="L28" s="36" t="e">
        <f>K28/J28*100</f>
        <v>#DIV/0!</v>
      </c>
      <c r="M28" s="3"/>
      <c r="N28" s="3"/>
      <c r="O28" s="14"/>
      <c r="P28" s="21"/>
      <c r="Q28" s="21"/>
      <c r="R28" s="36" t="e">
        <f>Q28/P28*100</f>
        <v>#DIV/0!</v>
      </c>
      <c r="S28" s="21"/>
      <c r="T28" s="21"/>
      <c r="U28" s="36" t="e">
        <f>T28/S28*100</f>
        <v>#DIV/0!</v>
      </c>
      <c r="V28" s="21"/>
      <c r="W28" s="21"/>
      <c r="X28" s="36" t="e">
        <f>W28/V28*100</f>
        <v>#DIV/0!</v>
      </c>
      <c r="Y28" s="3"/>
      <c r="Z28" s="3"/>
      <c r="AA28" s="14"/>
      <c r="AB28" s="21"/>
      <c r="AC28" s="21"/>
      <c r="AD28" s="36" t="e">
        <f>AC28/AB28*100</f>
        <v>#DIV/0!</v>
      </c>
      <c r="AE28" s="21"/>
      <c r="AF28" s="21"/>
      <c r="AG28" s="36"/>
      <c r="AH28" s="21"/>
      <c r="AI28" s="21"/>
      <c r="AJ28" s="3"/>
      <c r="AK28" s="3"/>
      <c r="AL28" s="14"/>
      <c r="AM28" s="21"/>
      <c r="AN28" s="21"/>
      <c r="AO28" s="21"/>
      <c r="AP28" s="21"/>
      <c r="AQ28" s="21"/>
      <c r="AR28" s="21"/>
      <c r="AS28" s="3"/>
      <c r="AT28" s="3"/>
      <c r="AU28" s="14"/>
      <c r="AV28" s="14"/>
      <c r="AW28" s="4"/>
      <c r="AX28" s="99"/>
      <c r="AZ28" s="18"/>
    </row>
    <row r="29" spans="1:52" ht="24" customHeight="1">
      <c r="A29" s="98">
        <v>22</v>
      </c>
      <c r="B29" s="1" t="s">
        <v>31</v>
      </c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"/>
      <c r="N29" s="3"/>
      <c r="O29" s="14"/>
      <c r="P29" s="36"/>
      <c r="Q29" s="36"/>
      <c r="R29" s="36"/>
      <c r="S29" s="36"/>
      <c r="T29" s="36"/>
      <c r="U29" s="36"/>
      <c r="V29" s="36"/>
      <c r="W29" s="36"/>
      <c r="X29" s="36"/>
      <c r="Y29" s="3"/>
      <c r="Z29" s="3"/>
      <c r="AA29" s="14"/>
      <c r="AB29" s="36"/>
      <c r="AC29" s="36"/>
      <c r="AD29" s="36"/>
      <c r="AE29" s="46"/>
      <c r="AF29" s="46"/>
      <c r="AG29" s="46"/>
      <c r="AH29" s="46"/>
      <c r="AI29" s="46"/>
      <c r="AJ29" s="3"/>
      <c r="AK29" s="3"/>
      <c r="AL29" s="14"/>
      <c r="AM29" s="46"/>
      <c r="AN29" s="46"/>
      <c r="AO29" s="46"/>
      <c r="AP29" s="46"/>
      <c r="AQ29" s="46"/>
      <c r="AR29" s="46"/>
      <c r="AS29" s="3"/>
      <c r="AT29" s="3"/>
      <c r="AU29" s="36"/>
      <c r="AV29" s="14"/>
      <c r="AW29" s="4"/>
      <c r="AX29" s="99"/>
      <c r="AZ29" s="18"/>
    </row>
    <row r="30" spans="1:52" ht="24" customHeight="1">
      <c r="A30" s="98">
        <v>23</v>
      </c>
      <c r="B30" s="15" t="s">
        <v>32</v>
      </c>
      <c r="C30" s="2"/>
      <c r="D30" s="21"/>
      <c r="E30" s="21"/>
      <c r="F30" s="36" t="e">
        <f t="shared" si="0"/>
        <v>#DIV/0!</v>
      </c>
      <c r="G30" s="21"/>
      <c r="H30" s="21"/>
      <c r="I30" s="36" t="e">
        <f>H30/G30*100</f>
        <v>#DIV/0!</v>
      </c>
      <c r="J30" s="21"/>
      <c r="K30" s="21"/>
      <c r="L30" s="36" t="e">
        <f>K30/J30*100</f>
        <v>#DIV/0!</v>
      </c>
      <c r="M30" s="3"/>
      <c r="N30" s="3"/>
      <c r="O30" s="14"/>
      <c r="P30" s="21"/>
      <c r="Q30" s="21"/>
      <c r="R30" s="36" t="e">
        <f>Q30/P30*100</f>
        <v>#DIV/0!</v>
      </c>
      <c r="S30" s="21"/>
      <c r="T30" s="21"/>
      <c r="U30" s="36" t="e">
        <f>T30/S30*100</f>
        <v>#DIV/0!</v>
      </c>
      <c r="V30" s="21"/>
      <c r="W30" s="21"/>
      <c r="X30" s="36" t="e">
        <f>W30/V30*100</f>
        <v>#DIV/0!</v>
      </c>
      <c r="Y30" s="3"/>
      <c r="Z30" s="3"/>
      <c r="AA30" s="14"/>
      <c r="AB30" s="21"/>
      <c r="AC30" s="21"/>
      <c r="AD30" s="36" t="e">
        <f>AC30/AB30*100</f>
        <v>#DIV/0!</v>
      </c>
      <c r="AE30" s="46"/>
      <c r="AF30" s="46"/>
      <c r="AG30" s="46"/>
      <c r="AH30" s="46"/>
      <c r="AI30" s="46"/>
      <c r="AJ30" s="3"/>
      <c r="AK30" s="3"/>
      <c r="AL30" s="14"/>
      <c r="AM30" s="46"/>
      <c r="AN30" s="46"/>
      <c r="AO30" s="46"/>
      <c r="AP30" s="46"/>
      <c r="AQ30" s="46"/>
      <c r="AR30" s="46"/>
      <c r="AS30" s="3"/>
      <c r="AT30" s="3"/>
      <c r="AU30" s="46"/>
      <c r="AV30" s="14"/>
      <c r="AW30" s="4"/>
      <c r="AX30" s="99"/>
      <c r="AZ30" s="18"/>
    </row>
    <row r="31" spans="1:52" ht="24" customHeight="1">
      <c r="A31" s="98">
        <v>24</v>
      </c>
      <c r="B31" s="15" t="s">
        <v>33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"/>
      <c r="N31" s="3"/>
      <c r="O31" s="14"/>
      <c r="P31" s="36"/>
      <c r="Q31" s="36"/>
      <c r="R31" s="36"/>
      <c r="S31" s="36"/>
      <c r="T31" s="36"/>
      <c r="U31" s="36"/>
      <c r="V31" s="36"/>
      <c r="W31" s="36"/>
      <c r="X31" s="36"/>
      <c r="Y31" s="3"/>
      <c r="Z31" s="3"/>
      <c r="AA31" s="14"/>
      <c r="AB31" s="36"/>
      <c r="AC31" s="36"/>
      <c r="AD31" s="36"/>
      <c r="AE31" s="46"/>
      <c r="AF31" s="46"/>
      <c r="AG31" s="46"/>
      <c r="AH31" s="46"/>
      <c r="AI31" s="46"/>
      <c r="AJ31" s="3"/>
      <c r="AK31" s="3"/>
      <c r="AL31" s="14"/>
      <c r="AM31" s="46"/>
      <c r="AN31" s="46"/>
      <c r="AO31" s="46"/>
      <c r="AP31" s="46"/>
      <c r="AQ31" s="46"/>
      <c r="AR31" s="46"/>
      <c r="AS31" s="3"/>
      <c r="AT31" s="3"/>
      <c r="AU31" s="36"/>
      <c r="AV31" s="14"/>
      <c r="AW31" s="4"/>
      <c r="AX31" s="99"/>
      <c r="AZ31" s="18"/>
    </row>
    <row r="32" spans="1:52" ht="24" customHeight="1">
      <c r="A32" s="98">
        <v>25</v>
      </c>
      <c r="B32" s="15" t="s">
        <v>34</v>
      </c>
      <c r="C32" s="2"/>
      <c r="D32" s="21"/>
      <c r="E32" s="21"/>
      <c r="F32" s="36" t="e">
        <f t="shared" si="0"/>
        <v>#DIV/0!</v>
      </c>
      <c r="G32" s="21"/>
      <c r="H32" s="21"/>
      <c r="I32" s="36"/>
      <c r="J32" s="21"/>
      <c r="K32" s="21"/>
      <c r="L32" s="36"/>
      <c r="M32" s="3"/>
      <c r="N32" s="3"/>
      <c r="O32" s="14"/>
      <c r="P32" s="21"/>
      <c r="Q32" s="21"/>
      <c r="R32" s="36"/>
      <c r="S32" s="21"/>
      <c r="T32" s="21"/>
      <c r="U32" s="36"/>
      <c r="V32" s="21"/>
      <c r="W32" s="21"/>
      <c r="X32" s="36"/>
      <c r="Y32" s="3"/>
      <c r="Z32" s="3"/>
      <c r="AA32" s="14"/>
      <c r="AB32" s="21"/>
      <c r="AC32" s="21"/>
      <c r="AD32" s="36"/>
      <c r="AE32" s="21"/>
      <c r="AF32" s="21"/>
      <c r="AG32" s="36"/>
      <c r="AH32" s="21"/>
      <c r="AI32" s="21"/>
      <c r="AJ32" s="3"/>
      <c r="AK32" s="3"/>
      <c r="AL32" s="14"/>
      <c r="AM32" s="21"/>
      <c r="AN32" s="21"/>
      <c r="AO32" s="21"/>
      <c r="AP32" s="21"/>
      <c r="AQ32" s="21"/>
      <c r="AR32" s="21"/>
      <c r="AS32" s="3"/>
      <c r="AT32" s="3"/>
      <c r="AU32" s="36"/>
      <c r="AV32" s="14"/>
      <c r="AW32" s="4"/>
      <c r="AX32" s="99"/>
      <c r="AZ32" s="18"/>
    </row>
    <row r="33" spans="1:52" ht="24" customHeight="1">
      <c r="A33" s="98"/>
      <c r="B33" s="15" t="s">
        <v>115</v>
      </c>
      <c r="C33" s="2">
        <v>22.8</v>
      </c>
      <c r="D33" s="3">
        <v>-0.7</v>
      </c>
      <c r="E33" s="3">
        <v>0</v>
      </c>
      <c r="F33" s="14">
        <f t="shared" si="0"/>
        <v>0</v>
      </c>
      <c r="G33" s="3">
        <v>0</v>
      </c>
      <c r="H33" s="3">
        <v>0</v>
      </c>
      <c r="I33" s="28" t="e">
        <f aca="true" t="shared" si="15" ref="I33:I47">H33/G33*100</f>
        <v>#DIV/0!</v>
      </c>
      <c r="J33" s="3">
        <v>0</v>
      </c>
      <c r="K33" s="3">
        <v>0</v>
      </c>
      <c r="L33" s="28">
        <v>0</v>
      </c>
      <c r="M33" s="3">
        <f aca="true" t="shared" si="16" ref="M33:N35">D33+G33+J33</f>
        <v>-0.7</v>
      </c>
      <c r="N33" s="3">
        <f t="shared" si="16"/>
        <v>0</v>
      </c>
      <c r="O33" s="14">
        <f t="shared" si="4"/>
        <v>0</v>
      </c>
      <c r="P33" s="3">
        <v>0</v>
      </c>
      <c r="Q33" s="3">
        <v>0</v>
      </c>
      <c r="R33" s="33">
        <v>0</v>
      </c>
      <c r="S33" s="3"/>
      <c r="T33" s="3"/>
      <c r="U33" s="14" t="e">
        <f aca="true" t="shared" si="17" ref="U33:U40">T33/S33*100</f>
        <v>#DIV/0!</v>
      </c>
      <c r="V33" s="3"/>
      <c r="W33" s="3"/>
      <c r="X33" s="14" t="e">
        <f aca="true" t="shared" si="18" ref="X33:X40">W33/V33*100</f>
        <v>#DIV/0!</v>
      </c>
      <c r="Y33" s="3">
        <f aca="true" t="shared" si="19" ref="Y33:Z35">P33+S33+V33</f>
        <v>0</v>
      </c>
      <c r="Z33" s="3">
        <f t="shared" si="19"/>
        <v>0</v>
      </c>
      <c r="AA33" s="28" t="e">
        <f aca="true" t="shared" si="20" ref="AA33:AA41">Z33/Y33*100</f>
        <v>#DIV/0!</v>
      </c>
      <c r="AB33" s="3">
        <v>0</v>
      </c>
      <c r="AC33" s="3">
        <v>0</v>
      </c>
      <c r="AD33" s="14" t="e">
        <f aca="true" t="shared" si="21" ref="AD33:AD41">AC33/AB33*100</f>
        <v>#DIV/0!</v>
      </c>
      <c r="AE33" s="3"/>
      <c r="AF33" s="3"/>
      <c r="AG33" s="14" t="e">
        <f>AF33/AE33*100</f>
        <v>#DIV/0!</v>
      </c>
      <c r="AH33" s="3"/>
      <c r="AI33" s="3"/>
      <c r="AJ33" s="3">
        <f aca="true" t="shared" si="22" ref="AJ33:AK35">AB33+AE33+AH33</f>
        <v>0</v>
      </c>
      <c r="AK33" s="3">
        <f t="shared" si="22"/>
        <v>0</v>
      </c>
      <c r="AL33" s="14" t="e">
        <f aca="true" t="shared" si="23" ref="AL33:AL41">AK33/AJ33*100</f>
        <v>#DIV/0!</v>
      </c>
      <c r="AM33" s="3"/>
      <c r="AN33" s="3"/>
      <c r="AO33" s="3"/>
      <c r="AP33" s="3"/>
      <c r="AQ33" s="3"/>
      <c r="AR33" s="3"/>
      <c r="AS33" s="3">
        <f aca="true" t="shared" si="24" ref="AS33:AT35">M33+Y33+AJ33+AM33+AO33+AQ33</f>
        <v>-0.7</v>
      </c>
      <c r="AT33" s="3">
        <f t="shared" si="24"/>
        <v>0</v>
      </c>
      <c r="AU33" s="14">
        <f>AT33/AS33*100</f>
        <v>0</v>
      </c>
      <c r="AV33" s="14">
        <f>AS33-AT33</f>
        <v>-0.7</v>
      </c>
      <c r="AW33" s="4">
        <f>C33+AS33-AT33</f>
        <v>22.1</v>
      </c>
      <c r="AX33" s="99"/>
      <c r="AZ33" s="18"/>
    </row>
    <row r="34" spans="1:52" ht="24" customHeight="1">
      <c r="A34" s="98"/>
      <c r="B34" s="15" t="s">
        <v>116</v>
      </c>
      <c r="C34" s="2">
        <v>288.5</v>
      </c>
      <c r="D34" s="3">
        <v>221.6</v>
      </c>
      <c r="E34" s="3">
        <v>93.2</v>
      </c>
      <c r="F34" s="14">
        <f>E34/D34*100</f>
        <v>42.057761732851986</v>
      </c>
      <c r="G34" s="3">
        <v>163</v>
      </c>
      <c r="H34" s="3">
        <v>190.9</v>
      </c>
      <c r="I34" s="14">
        <f>H34/G34*100</f>
        <v>117.11656441717793</v>
      </c>
      <c r="J34" s="3">
        <v>190.7</v>
      </c>
      <c r="K34" s="3">
        <v>69.5</v>
      </c>
      <c r="L34" s="14">
        <f>K34/J34*100</f>
        <v>36.44467750393288</v>
      </c>
      <c r="M34" s="3">
        <f t="shared" si="16"/>
        <v>575.3</v>
      </c>
      <c r="N34" s="3">
        <f t="shared" si="16"/>
        <v>353.6</v>
      </c>
      <c r="O34" s="14">
        <f>N34/M34*100</f>
        <v>61.463584216930315</v>
      </c>
      <c r="P34" s="3">
        <v>19.6</v>
      </c>
      <c r="Q34" s="3">
        <v>255.3</v>
      </c>
      <c r="R34" s="14">
        <f>Q34/P34*100</f>
        <v>1302.5510204081631</v>
      </c>
      <c r="S34" s="3">
        <v>0.1</v>
      </c>
      <c r="T34" s="3">
        <v>50.5</v>
      </c>
      <c r="U34" s="14">
        <f>T34/S34*100</f>
        <v>50500</v>
      </c>
      <c r="V34" s="3">
        <v>0</v>
      </c>
      <c r="W34" s="3">
        <v>21.7</v>
      </c>
      <c r="X34" s="14" t="e">
        <f>W34/V34*100</f>
        <v>#DIV/0!</v>
      </c>
      <c r="Y34" s="3">
        <f t="shared" si="19"/>
        <v>19.700000000000003</v>
      </c>
      <c r="Z34" s="3">
        <f t="shared" si="19"/>
        <v>327.5</v>
      </c>
      <c r="AA34" s="14">
        <f t="shared" si="20"/>
        <v>1662.43654822335</v>
      </c>
      <c r="AB34" s="3">
        <v>0</v>
      </c>
      <c r="AC34" s="3">
        <v>97.5</v>
      </c>
      <c r="AD34" s="14" t="e">
        <f>AC34/AB34*100</f>
        <v>#DIV/0!</v>
      </c>
      <c r="AE34" s="3"/>
      <c r="AF34" s="3"/>
      <c r="AG34" s="14" t="e">
        <f>AF34/AE34*100</f>
        <v>#DIV/0!</v>
      </c>
      <c r="AH34" s="3"/>
      <c r="AI34" s="3"/>
      <c r="AJ34" s="3">
        <f t="shared" si="22"/>
        <v>0</v>
      </c>
      <c r="AK34" s="3">
        <f t="shared" si="22"/>
        <v>97.5</v>
      </c>
      <c r="AL34" s="14" t="e">
        <f t="shared" si="23"/>
        <v>#DIV/0!</v>
      </c>
      <c r="AM34" s="3"/>
      <c r="AN34" s="3"/>
      <c r="AO34" s="3"/>
      <c r="AP34" s="3"/>
      <c r="AQ34" s="3"/>
      <c r="AR34" s="3"/>
      <c r="AS34" s="3">
        <f t="shared" si="24"/>
        <v>595</v>
      </c>
      <c r="AT34" s="3">
        <f t="shared" si="24"/>
        <v>778.6</v>
      </c>
      <c r="AU34" s="14">
        <f>AT34/AS34*100</f>
        <v>130.85714285714286</v>
      </c>
      <c r="AV34" s="14">
        <f>AS34-AT34</f>
        <v>-183.60000000000002</v>
      </c>
      <c r="AW34" s="4">
        <f>C34+AS34-AT34</f>
        <v>104.89999999999998</v>
      </c>
      <c r="AX34" s="99"/>
      <c r="AZ34" s="18"/>
    </row>
    <row r="35" spans="1:52" ht="24" customHeight="1">
      <c r="A35" s="98"/>
      <c r="B35" s="15" t="s">
        <v>117</v>
      </c>
      <c r="C35" s="2">
        <v>0</v>
      </c>
      <c r="D35" s="3">
        <v>23</v>
      </c>
      <c r="E35" s="3">
        <v>0</v>
      </c>
      <c r="F35" s="14">
        <f t="shared" si="0"/>
        <v>0</v>
      </c>
      <c r="G35" s="3">
        <v>29.8</v>
      </c>
      <c r="H35" s="3">
        <v>0</v>
      </c>
      <c r="I35" s="14">
        <f>H35/G35*100</f>
        <v>0</v>
      </c>
      <c r="J35" s="3">
        <v>39.9</v>
      </c>
      <c r="K35" s="3">
        <v>69.5</v>
      </c>
      <c r="L35" s="14">
        <f>K35/J35*100</f>
        <v>174.18546365914787</v>
      </c>
      <c r="M35" s="3">
        <f t="shared" si="16"/>
        <v>92.69999999999999</v>
      </c>
      <c r="N35" s="3">
        <f t="shared" si="16"/>
        <v>69.5</v>
      </c>
      <c r="O35" s="14">
        <f>N35/M35*100</f>
        <v>74.9730312837109</v>
      </c>
      <c r="P35" s="3">
        <v>3.9</v>
      </c>
      <c r="Q35" s="3">
        <v>29.8</v>
      </c>
      <c r="R35" s="14">
        <f>Q35/P35*100</f>
        <v>764.1025641025641</v>
      </c>
      <c r="S35" s="3">
        <v>3.9</v>
      </c>
      <c r="T35" s="3">
        <v>32.7</v>
      </c>
      <c r="U35" s="14">
        <f>T35/S35*100</f>
        <v>838.4615384615385</v>
      </c>
      <c r="V35" s="3">
        <v>0.7</v>
      </c>
      <c r="W35" s="3">
        <v>3.9</v>
      </c>
      <c r="X35" s="14">
        <f>W35/V35*100</f>
        <v>557.1428571428572</v>
      </c>
      <c r="Y35" s="3">
        <f t="shared" si="19"/>
        <v>8.5</v>
      </c>
      <c r="Z35" s="3">
        <f t="shared" si="19"/>
        <v>66.4</v>
      </c>
      <c r="AA35" s="14">
        <f t="shared" si="20"/>
        <v>781.1764705882354</v>
      </c>
      <c r="AB35" s="3">
        <v>0</v>
      </c>
      <c r="AC35" s="3">
        <v>0</v>
      </c>
      <c r="AD35" s="14" t="e">
        <f>AC35/AB35*100</f>
        <v>#DIV/0!</v>
      </c>
      <c r="AE35" s="3"/>
      <c r="AF35" s="3"/>
      <c r="AG35" s="14" t="e">
        <f>AF35/AE35*100</f>
        <v>#DIV/0!</v>
      </c>
      <c r="AH35" s="3"/>
      <c r="AI35" s="3"/>
      <c r="AJ35" s="3">
        <f t="shared" si="22"/>
        <v>0</v>
      </c>
      <c r="AK35" s="3">
        <f t="shared" si="22"/>
        <v>0</v>
      </c>
      <c r="AL35" s="14" t="e">
        <f t="shared" si="23"/>
        <v>#DIV/0!</v>
      </c>
      <c r="AM35" s="3"/>
      <c r="AN35" s="3"/>
      <c r="AO35" s="3"/>
      <c r="AP35" s="3"/>
      <c r="AQ35" s="3"/>
      <c r="AR35" s="3"/>
      <c r="AS35" s="3">
        <f t="shared" si="24"/>
        <v>101.19999999999999</v>
      </c>
      <c r="AT35" s="3">
        <f t="shared" si="24"/>
        <v>135.9</v>
      </c>
      <c r="AU35" s="14">
        <f>AT35/AS35*100</f>
        <v>134.28853754940712</v>
      </c>
      <c r="AV35" s="14">
        <f>AS35-AT35</f>
        <v>-34.70000000000002</v>
      </c>
      <c r="AW35" s="4">
        <f>C35+AS35-AT35</f>
        <v>-34.70000000000002</v>
      </c>
      <c r="AX35" s="99"/>
      <c r="AZ35" s="18"/>
    </row>
    <row r="36" spans="1:52" ht="24.75" customHeight="1">
      <c r="A36" s="100"/>
      <c r="B36" s="15" t="s">
        <v>35</v>
      </c>
      <c r="C36" s="2"/>
      <c r="D36" s="21"/>
      <c r="E36" s="21"/>
      <c r="F36" s="36" t="e">
        <f t="shared" si="0"/>
        <v>#DIV/0!</v>
      </c>
      <c r="G36" s="3"/>
      <c r="H36" s="3"/>
      <c r="I36" s="36" t="e">
        <f t="shared" si="15"/>
        <v>#DIV/0!</v>
      </c>
      <c r="J36" s="3"/>
      <c r="K36" s="3"/>
      <c r="L36" s="36" t="e">
        <f aca="true" t="shared" si="25" ref="L36:L41">K36/J36*100</f>
        <v>#DIV/0!</v>
      </c>
      <c r="M36" s="3"/>
      <c r="N36" s="3"/>
      <c r="O36" s="14"/>
      <c r="P36" s="3"/>
      <c r="Q36" s="3"/>
      <c r="R36" s="36" t="e">
        <f aca="true" t="shared" si="26" ref="R36:R41">Q36/P36*100</f>
        <v>#DIV/0!</v>
      </c>
      <c r="S36" s="3"/>
      <c r="T36" s="3"/>
      <c r="U36" s="36" t="e">
        <f t="shared" si="17"/>
        <v>#DIV/0!</v>
      </c>
      <c r="V36" s="3"/>
      <c r="W36" s="3"/>
      <c r="X36" s="36" t="e">
        <f t="shared" si="18"/>
        <v>#DIV/0!</v>
      </c>
      <c r="Y36" s="3"/>
      <c r="Z36" s="3"/>
      <c r="AA36" s="14"/>
      <c r="AB36" s="3"/>
      <c r="AC36" s="3"/>
      <c r="AD36" s="36"/>
      <c r="AE36" s="3"/>
      <c r="AF36" s="3"/>
      <c r="AG36" s="36"/>
      <c r="AH36" s="3"/>
      <c r="AI36" s="3"/>
      <c r="AJ36" s="3"/>
      <c r="AK36" s="3"/>
      <c r="AL36" s="14"/>
      <c r="AM36" s="3"/>
      <c r="AN36" s="3"/>
      <c r="AO36" s="3"/>
      <c r="AP36" s="3"/>
      <c r="AQ36" s="3"/>
      <c r="AR36" s="3"/>
      <c r="AS36" s="3"/>
      <c r="AT36" s="3"/>
      <c r="AU36" s="14"/>
      <c r="AV36" s="14"/>
      <c r="AW36" s="4"/>
      <c r="AX36" s="99"/>
      <c r="AZ36" s="18"/>
    </row>
    <row r="37" spans="1:52" ht="25.5" customHeight="1">
      <c r="A37" s="98">
        <v>26</v>
      </c>
      <c r="B37" s="15" t="s">
        <v>118</v>
      </c>
      <c r="C37" s="2">
        <f>349.9+373.6</f>
        <v>723.5</v>
      </c>
      <c r="D37" s="3">
        <v>272.3</v>
      </c>
      <c r="E37" s="3">
        <v>113.4</v>
      </c>
      <c r="F37" s="14">
        <f t="shared" si="0"/>
        <v>41.645244215938305</v>
      </c>
      <c r="G37" s="3">
        <v>266.5</v>
      </c>
      <c r="H37" s="3">
        <v>260.2</v>
      </c>
      <c r="I37" s="14">
        <f t="shared" si="15"/>
        <v>97.63602251407129</v>
      </c>
      <c r="J37" s="3">
        <v>182.3</v>
      </c>
      <c r="K37" s="3">
        <v>272.3</v>
      </c>
      <c r="L37" s="14">
        <f t="shared" si="25"/>
        <v>149.36917169500822</v>
      </c>
      <c r="M37" s="3">
        <f aca="true" t="shared" si="27" ref="M37:N41">D37+G37+J37</f>
        <v>721.0999999999999</v>
      </c>
      <c r="N37" s="3">
        <f t="shared" si="27"/>
        <v>645.9000000000001</v>
      </c>
      <c r="O37" s="14">
        <f t="shared" si="4"/>
        <v>89.5714880044377</v>
      </c>
      <c r="P37" s="3">
        <v>38.8</v>
      </c>
      <c r="Q37" s="3">
        <v>266.5</v>
      </c>
      <c r="R37" s="14">
        <f t="shared" si="26"/>
        <v>686.8556701030928</v>
      </c>
      <c r="S37" s="3">
        <v>0.1</v>
      </c>
      <c r="T37" s="3">
        <v>195.5</v>
      </c>
      <c r="U37" s="14">
        <f t="shared" si="17"/>
        <v>195500</v>
      </c>
      <c r="V37" s="3">
        <v>0</v>
      </c>
      <c r="W37" s="3">
        <v>25.6</v>
      </c>
      <c r="X37" s="14" t="e">
        <f t="shared" si="18"/>
        <v>#DIV/0!</v>
      </c>
      <c r="Y37" s="3">
        <f aca="true" t="shared" si="28" ref="Y37:Z41">P37+S37+V37</f>
        <v>38.9</v>
      </c>
      <c r="Z37" s="3">
        <f t="shared" si="28"/>
        <v>487.6</v>
      </c>
      <c r="AA37" s="14">
        <f t="shared" si="20"/>
        <v>1253.470437017995</v>
      </c>
      <c r="AB37" s="3">
        <v>0</v>
      </c>
      <c r="AC37" s="3">
        <v>0.1</v>
      </c>
      <c r="AD37" s="28" t="e">
        <f t="shared" si="21"/>
        <v>#DIV/0!</v>
      </c>
      <c r="AE37" s="3"/>
      <c r="AF37" s="3"/>
      <c r="AG37" s="14" t="e">
        <f>AF37/AE37*100</f>
        <v>#DIV/0!</v>
      </c>
      <c r="AH37" s="3"/>
      <c r="AI37" s="3"/>
      <c r="AJ37" s="3">
        <f aca="true" t="shared" si="29" ref="AJ37:AK41">AB37+AE37+AH37</f>
        <v>0</v>
      </c>
      <c r="AK37" s="3">
        <f t="shared" si="29"/>
        <v>0.1</v>
      </c>
      <c r="AL37" s="14" t="e">
        <f t="shared" si="23"/>
        <v>#DIV/0!</v>
      </c>
      <c r="AM37" s="3"/>
      <c r="AN37" s="3"/>
      <c r="AO37" s="3"/>
      <c r="AP37" s="3"/>
      <c r="AQ37" s="3"/>
      <c r="AR37" s="3"/>
      <c r="AS37" s="3">
        <f aca="true" t="shared" si="30" ref="AS37:AT41">M37+Y37+AJ37+AM37+AO37+AQ37</f>
        <v>759.9999999999999</v>
      </c>
      <c r="AT37" s="3">
        <f t="shared" si="30"/>
        <v>1133.6</v>
      </c>
      <c r="AU37" s="14">
        <f aca="true" t="shared" si="31" ref="AU37:AU46">AT37/AS37*100</f>
        <v>149.1578947368421</v>
      </c>
      <c r="AV37" s="14">
        <f>AS37-AT37</f>
        <v>-373.6</v>
      </c>
      <c r="AW37" s="4">
        <f>C37+AS37-AT37</f>
        <v>349.9000000000001</v>
      </c>
      <c r="AX37" s="99"/>
      <c r="AZ37" s="18"/>
    </row>
    <row r="38" spans="1:52" ht="24" customHeight="1">
      <c r="A38" s="98">
        <v>27</v>
      </c>
      <c r="B38" s="1" t="s">
        <v>90</v>
      </c>
      <c r="C38" s="2">
        <v>0.1</v>
      </c>
      <c r="D38" s="3">
        <v>0</v>
      </c>
      <c r="E38" s="3">
        <v>0</v>
      </c>
      <c r="F38" s="28" t="e">
        <f t="shared" si="0"/>
        <v>#DIV/0!</v>
      </c>
      <c r="G38" s="3"/>
      <c r="H38" s="3"/>
      <c r="I38" s="28" t="e">
        <f t="shared" si="15"/>
        <v>#DIV/0!</v>
      </c>
      <c r="J38" s="3"/>
      <c r="K38" s="3"/>
      <c r="L38" s="14" t="e">
        <f t="shared" si="25"/>
        <v>#DIV/0!</v>
      </c>
      <c r="M38" s="3"/>
      <c r="N38" s="3"/>
      <c r="O38" s="14"/>
      <c r="P38" s="3"/>
      <c r="Q38" s="3"/>
      <c r="R38" s="28" t="e">
        <f t="shared" si="26"/>
        <v>#DIV/0!</v>
      </c>
      <c r="S38" s="3"/>
      <c r="T38" s="3"/>
      <c r="U38" s="28" t="e">
        <f t="shared" si="17"/>
        <v>#DIV/0!</v>
      </c>
      <c r="V38" s="3"/>
      <c r="W38" s="3"/>
      <c r="X38" s="28" t="e">
        <f t="shared" si="18"/>
        <v>#DIV/0!</v>
      </c>
      <c r="Y38" s="3">
        <f t="shared" si="28"/>
        <v>0</v>
      </c>
      <c r="Z38" s="3">
        <f t="shared" si="28"/>
        <v>0</v>
      </c>
      <c r="AA38" s="28" t="e">
        <f t="shared" si="20"/>
        <v>#DIV/0!</v>
      </c>
      <c r="AB38" s="3"/>
      <c r="AC38" s="3"/>
      <c r="AD38" s="28" t="e">
        <f t="shared" si="21"/>
        <v>#DIV/0!</v>
      </c>
      <c r="AE38" s="3"/>
      <c r="AF38" s="3"/>
      <c r="AG38" s="14">
        <v>0</v>
      </c>
      <c r="AH38" s="3"/>
      <c r="AI38" s="3"/>
      <c r="AJ38" s="3">
        <f t="shared" si="29"/>
        <v>0</v>
      </c>
      <c r="AK38" s="3">
        <f t="shared" si="29"/>
        <v>0</v>
      </c>
      <c r="AL38" s="28" t="e">
        <f t="shared" si="23"/>
        <v>#DIV/0!</v>
      </c>
      <c r="AM38" s="3"/>
      <c r="AN38" s="3"/>
      <c r="AO38" s="3"/>
      <c r="AP38" s="3"/>
      <c r="AQ38" s="3"/>
      <c r="AR38" s="3"/>
      <c r="AS38" s="3"/>
      <c r="AT38" s="3"/>
      <c r="AU38" s="28" t="e">
        <f t="shared" si="31"/>
        <v>#DIV/0!</v>
      </c>
      <c r="AV38" s="14">
        <f>AS38-AT38</f>
        <v>0</v>
      </c>
      <c r="AW38" s="4">
        <f>C38+AS38-AT38</f>
        <v>0.1</v>
      </c>
      <c r="AX38" s="99"/>
      <c r="AZ38" s="18"/>
    </row>
    <row r="39" spans="1:52" ht="24" customHeight="1">
      <c r="A39" s="98">
        <v>28</v>
      </c>
      <c r="B39" s="15" t="s">
        <v>119</v>
      </c>
      <c r="C39" s="2">
        <v>478.3</v>
      </c>
      <c r="D39" s="3">
        <v>277</v>
      </c>
      <c r="E39" s="3">
        <v>249.7</v>
      </c>
      <c r="F39" s="14">
        <f t="shared" si="0"/>
        <v>90.14440433212995</v>
      </c>
      <c r="G39" s="3">
        <v>278.8</v>
      </c>
      <c r="H39" s="3">
        <v>0</v>
      </c>
      <c r="I39" s="14">
        <f t="shared" si="15"/>
        <v>0</v>
      </c>
      <c r="J39" s="3">
        <v>273</v>
      </c>
      <c r="K39" s="3">
        <v>505.6</v>
      </c>
      <c r="L39" s="14">
        <f t="shared" si="25"/>
        <v>185.2014652014652</v>
      </c>
      <c r="M39" s="3">
        <f t="shared" si="27"/>
        <v>828.8</v>
      </c>
      <c r="N39" s="3">
        <f t="shared" si="27"/>
        <v>755.3</v>
      </c>
      <c r="O39" s="14">
        <f t="shared" si="4"/>
        <v>91.13175675675676</v>
      </c>
      <c r="P39" s="3">
        <v>97</v>
      </c>
      <c r="Q39" s="3">
        <v>278.8</v>
      </c>
      <c r="R39" s="14">
        <f t="shared" si="26"/>
        <v>287.4226804123711</v>
      </c>
      <c r="S39" s="3">
        <v>39</v>
      </c>
      <c r="T39" s="3">
        <v>273</v>
      </c>
      <c r="U39" s="14">
        <f t="shared" si="17"/>
        <v>700</v>
      </c>
      <c r="V39" s="3">
        <v>45</v>
      </c>
      <c r="W39" s="3">
        <v>97</v>
      </c>
      <c r="X39" s="14">
        <f t="shared" si="18"/>
        <v>215.55555555555554</v>
      </c>
      <c r="Y39" s="3">
        <f t="shared" si="28"/>
        <v>181</v>
      </c>
      <c r="Z39" s="3">
        <f t="shared" si="28"/>
        <v>648.8</v>
      </c>
      <c r="AA39" s="14">
        <f t="shared" si="20"/>
        <v>358.4530386740331</v>
      </c>
      <c r="AB39" s="3">
        <v>39.4</v>
      </c>
      <c r="AC39" s="3">
        <v>39</v>
      </c>
      <c r="AD39" s="14">
        <f t="shared" si="21"/>
        <v>98.98477157360406</v>
      </c>
      <c r="AE39" s="3"/>
      <c r="AF39" s="3"/>
      <c r="AG39" s="14" t="e">
        <f aca="true" t="shared" si="32" ref="AG39:AG44">AF39/AE39*100</f>
        <v>#DIV/0!</v>
      </c>
      <c r="AH39" s="3"/>
      <c r="AI39" s="3"/>
      <c r="AJ39" s="3">
        <f t="shared" si="29"/>
        <v>39.4</v>
      </c>
      <c r="AK39" s="3">
        <f t="shared" si="29"/>
        <v>39</v>
      </c>
      <c r="AL39" s="14">
        <f t="shared" si="23"/>
        <v>98.98477157360406</v>
      </c>
      <c r="AM39" s="3"/>
      <c r="AN39" s="3"/>
      <c r="AO39" s="3"/>
      <c r="AP39" s="3"/>
      <c r="AQ39" s="3"/>
      <c r="AR39" s="3"/>
      <c r="AS39" s="3">
        <f t="shared" si="30"/>
        <v>1049.2</v>
      </c>
      <c r="AT39" s="3">
        <f t="shared" si="30"/>
        <v>1443.1</v>
      </c>
      <c r="AU39" s="14">
        <f t="shared" si="31"/>
        <v>137.54288982081584</v>
      </c>
      <c r="AV39" s="14">
        <f>AS39-AT39</f>
        <v>-393.89999999999986</v>
      </c>
      <c r="AW39" s="4">
        <f>C39+AS39-AT39</f>
        <v>84.40000000000009</v>
      </c>
      <c r="AX39" s="99"/>
      <c r="AZ39" s="18"/>
    </row>
    <row r="40" spans="1:52" ht="24" customHeight="1">
      <c r="A40" s="98">
        <v>29</v>
      </c>
      <c r="B40" s="15" t="s">
        <v>120</v>
      </c>
      <c r="C40" s="2">
        <f>-4.1+652.4</f>
        <v>648.3</v>
      </c>
      <c r="D40" s="3">
        <v>550.3</v>
      </c>
      <c r="E40" s="3">
        <v>0</v>
      </c>
      <c r="F40" s="14">
        <f t="shared" si="0"/>
        <v>0</v>
      </c>
      <c r="G40" s="3">
        <v>429.9</v>
      </c>
      <c r="H40" s="3">
        <v>303.2</v>
      </c>
      <c r="I40" s="14">
        <f t="shared" si="15"/>
        <v>70.52802977436613</v>
      </c>
      <c r="J40" s="3">
        <v>471.3</v>
      </c>
      <c r="K40" s="3">
        <v>899.5</v>
      </c>
      <c r="L40" s="14">
        <f t="shared" si="25"/>
        <v>190.85508168894546</v>
      </c>
      <c r="M40" s="3">
        <f t="shared" si="27"/>
        <v>1451.5</v>
      </c>
      <c r="N40" s="3">
        <f t="shared" si="27"/>
        <v>1202.7</v>
      </c>
      <c r="O40" s="14">
        <f t="shared" si="4"/>
        <v>82.85911126420945</v>
      </c>
      <c r="P40" s="3">
        <v>89.8</v>
      </c>
      <c r="Q40" s="3">
        <v>430.4</v>
      </c>
      <c r="R40" s="14">
        <f t="shared" si="26"/>
        <v>479.28730512249444</v>
      </c>
      <c r="S40" s="3">
        <v>-37.5</v>
      </c>
      <c r="T40" s="3">
        <v>128.1</v>
      </c>
      <c r="U40" s="14">
        <f t="shared" si="17"/>
        <v>-341.59999999999997</v>
      </c>
      <c r="V40" s="3">
        <v>0</v>
      </c>
      <c r="W40" s="3">
        <v>36.8</v>
      </c>
      <c r="X40" s="28" t="e">
        <f t="shared" si="18"/>
        <v>#DIV/0!</v>
      </c>
      <c r="Y40" s="3">
        <f t="shared" si="28"/>
        <v>52.3</v>
      </c>
      <c r="Z40" s="3">
        <f t="shared" si="28"/>
        <v>595.3</v>
      </c>
      <c r="AA40" s="14">
        <f t="shared" si="20"/>
        <v>1138.2409177820268</v>
      </c>
      <c r="AB40" s="3">
        <v>0</v>
      </c>
      <c r="AC40" s="3">
        <v>36.5</v>
      </c>
      <c r="AD40" s="14" t="e">
        <f t="shared" si="21"/>
        <v>#DIV/0!</v>
      </c>
      <c r="AE40" s="3"/>
      <c r="AF40" s="3"/>
      <c r="AG40" s="14" t="e">
        <f t="shared" si="32"/>
        <v>#DIV/0!</v>
      </c>
      <c r="AH40" s="3"/>
      <c r="AI40" s="3"/>
      <c r="AJ40" s="3">
        <f t="shared" si="29"/>
        <v>0</v>
      </c>
      <c r="AK40" s="3">
        <f t="shared" si="29"/>
        <v>36.5</v>
      </c>
      <c r="AL40" s="14" t="e">
        <f t="shared" si="23"/>
        <v>#DIV/0!</v>
      </c>
      <c r="AM40" s="3"/>
      <c r="AN40" s="3"/>
      <c r="AO40" s="3"/>
      <c r="AP40" s="3"/>
      <c r="AQ40" s="3"/>
      <c r="AR40" s="3"/>
      <c r="AS40" s="3">
        <f t="shared" si="30"/>
        <v>1503.8</v>
      </c>
      <c r="AT40" s="3">
        <f t="shared" si="30"/>
        <v>1834.5</v>
      </c>
      <c r="AU40" s="14">
        <f t="shared" si="31"/>
        <v>121.99095624418142</v>
      </c>
      <c r="AV40" s="14">
        <f>AS40-AT40</f>
        <v>-330.70000000000005</v>
      </c>
      <c r="AW40" s="4">
        <f>C40+AS40-AT40</f>
        <v>317.5999999999999</v>
      </c>
      <c r="AX40" s="99"/>
      <c r="AZ40" s="18"/>
    </row>
    <row r="41" spans="1:52" ht="27.75" customHeight="1">
      <c r="A41" s="98">
        <v>30</v>
      </c>
      <c r="B41" s="15" t="s">
        <v>121</v>
      </c>
      <c r="C41" s="2">
        <v>1529</v>
      </c>
      <c r="D41" s="3">
        <v>934.3</v>
      </c>
      <c r="E41" s="3">
        <v>0</v>
      </c>
      <c r="F41" s="119">
        <f t="shared" si="0"/>
        <v>0</v>
      </c>
      <c r="G41" s="3">
        <v>738.5</v>
      </c>
      <c r="H41" s="3">
        <v>1529.2</v>
      </c>
      <c r="I41" s="14">
        <f t="shared" si="15"/>
        <v>207.06838185511174</v>
      </c>
      <c r="J41" s="3">
        <v>850.2</v>
      </c>
      <c r="K41" s="3">
        <v>662</v>
      </c>
      <c r="L41" s="14">
        <f t="shared" si="25"/>
        <v>77.86403199247236</v>
      </c>
      <c r="M41" s="3">
        <f t="shared" si="27"/>
        <v>2523</v>
      </c>
      <c r="N41" s="3">
        <f t="shared" si="27"/>
        <v>2191.2</v>
      </c>
      <c r="O41" s="14">
        <f t="shared" si="4"/>
        <v>86.84898929845421</v>
      </c>
      <c r="P41" s="3">
        <v>151.2</v>
      </c>
      <c r="Q41" s="3">
        <v>1010.8</v>
      </c>
      <c r="R41" s="14">
        <f t="shared" si="26"/>
        <v>668.5185185185185</v>
      </c>
      <c r="S41" s="3">
        <v>1</v>
      </c>
      <c r="T41" s="3">
        <v>850.2</v>
      </c>
      <c r="U41" s="14"/>
      <c r="V41" s="3">
        <v>-0.2</v>
      </c>
      <c r="W41" s="3">
        <v>151.2</v>
      </c>
      <c r="X41" s="14"/>
      <c r="Y41" s="3">
        <f t="shared" si="28"/>
        <v>152</v>
      </c>
      <c r="Z41" s="3">
        <f t="shared" si="28"/>
        <v>2012.2</v>
      </c>
      <c r="AA41" s="14">
        <f t="shared" si="20"/>
        <v>1323.8157894736842</v>
      </c>
      <c r="AB41" s="3">
        <v>-0.2</v>
      </c>
      <c r="AC41" s="3">
        <v>0</v>
      </c>
      <c r="AD41" s="14">
        <f t="shared" si="21"/>
        <v>0</v>
      </c>
      <c r="AE41" s="3"/>
      <c r="AF41" s="3"/>
      <c r="AG41" s="14" t="e">
        <f t="shared" si="32"/>
        <v>#DIV/0!</v>
      </c>
      <c r="AH41" s="3"/>
      <c r="AI41" s="3"/>
      <c r="AJ41" s="3">
        <f t="shared" si="29"/>
        <v>-0.2</v>
      </c>
      <c r="AK41" s="3">
        <f t="shared" si="29"/>
        <v>0</v>
      </c>
      <c r="AL41" s="14">
        <f t="shared" si="23"/>
        <v>0</v>
      </c>
      <c r="AM41" s="3"/>
      <c r="AN41" s="3"/>
      <c r="AO41" s="3"/>
      <c r="AP41" s="3"/>
      <c r="AQ41" s="3"/>
      <c r="AR41" s="3"/>
      <c r="AS41" s="3">
        <f t="shared" si="30"/>
        <v>2674.8</v>
      </c>
      <c r="AT41" s="3">
        <f t="shared" si="30"/>
        <v>4203.4</v>
      </c>
      <c r="AU41" s="119">
        <f t="shared" si="31"/>
        <v>157.14819799611183</v>
      </c>
      <c r="AV41" s="14">
        <f>AS41-AT41</f>
        <v>-1528.5999999999995</v>
      </c>
      <c r="AW41" s="4">
        <f>C41+AS41-AT41</f>
        <v>0.4000000000005457</v>
      </c>
      <c r="AX41" s="99"/>
      <c r="AZ41" s="18"/>
    </row>
    <row r="42" spans="1:52" ht="24" customHeight="1">
      <c r="A42" s="98">
        <v>31</v>
      </c>
      <c r="B42" s="15" t="s">
        <v>122</v>
      </c>
      <c r="C42" s="2"/>
      <c r="D42" s="3"/>
      <c r="E42" s="3"/>
      <c r="F42" s="28"/>
      <c r="G42" s="3"/>
      <c r="H42" s="3"/>
      <c r="I42" s="28"/>
      <c r="J42" s="3"/>
      <c r="K42" s="3"/>
      <c r="L42" s="28"/>
      <c r="M42" s="3"/>
      <c r="N42" s="3"/>
      <c r="O42" s="14"/>
      <c r="P42" s="3"/>
      <c r="Q42" s="3"/>
      <c r="R42" s="28"/>
      <c r="S42" s="3"/>
      <c r="T42" s="3"/>
      <c r="U42" s="28"/>
      <c r="V42" s="3"/>
      <c r="W42" s="3"/>
      <c r="X42" s="28"/>
      <c r="Y42" s="3"/>
      <c r="Z42" s="3"/>
      <c r="AA42" s="14"/>
      <c r="AB42" s="3"/>
      <c r="AC42" s="3"/>
      <c r="AD42" s="28"/>
      <c r="AE42" s="3"/>
      <c r="AF42" s="3"/>
      <c r="AG42" s="28" t="e">
        <f t="shared" si="32"/>
        <v>#DIV/0!</v>
      </c>
      <c r="AH42" s="3"/>
      <c r="AI42" s="3"/>
      <c r="AJ42" s="3"/>
      <c r="AK42" s="3"/>
      <c r="AL42" s="14"/>
      <c r="AM42" s="3"/>
      <c r="AN42" s="3"/>
      <c r="AO42" s="3"/>
      <c r="AP42" s="3"/>
      <c r="AQ42" s="3"/>
      <c r="AR42" s="3"/>
      <c r="AS42" s="3"/>
      <c r="AT42" s="3"/>
      <c r="AU42" s="28"/>
      <c r="AV42" s="14"/>
      <c r="AW42" s="4"/>
      <c r="AX42" s="99"/>
      <c r="AZ42" s="18"/>
    </row>
    <row r="43" spans="1:52" ht="26.25" customHeight="1">
      <c r="A43" s="98">
        <v>32</v>
      </c>
      <c r="B43" s="1" t="s">
        <v>123</v>
      </c>
      <c r="C43" s="2">
        <v>405.9</v>
      </c>
      <c r="D43" s="3">
        <v>349.4</v>
      </c>
      <c r="E43" s="3">
        <v>430.4</v>
      </c>
      <c r="F43" s="14">
        <f t="shared" si="0"/>
        <v>123.18259874069835</v>
      </c>
      <c r="G43" s="3">
        <v>354.9</v>
      </c>
      <c r="H43" s="3">
        <v>0</v>
      </c>
      <c r="I43" s="14">
        <f t="shared" si="15"/>
        <v>0</v>
      </c>
      <c r="J43" s="3">
        <v>346.7</v>
      </c>
      <c r="K43" s="3">
        <v>676.8</v>
      </c>
      <c r="L43" s="14">
        <f>K43/J43*100</f>
        <v>195.21199884626478</v>
      </c>
      <c r="M43" s="3">
        <f>D43+G43+J43</f>
        <v>1051</v>
      </c>
      <c r="N43" s="3">
        <f>E43+H43+K43</f>
        <v>1107.1999999999998</v>
      </c>
      <c r="O43" s="14">
        <f t="shared" si="4"/>
        <v>105.34728829686011</v>
      </c>
      <c r="P43" s="3">
        <v>24.1</v>
      </c>
      <c r="Q43" s="3">
        <v>359.3</v>
      </c>
      <c r="R43" s="14">
        <f aca="true" t="shared" si="33" ref="R43:R48">Q43/P43*100</f>
        <v>1490.8713692946058</v>
      </c>
      <c r="S43" s="3">
        <v>0</v>
      </c>
      <c r="T43" s="3">
        <v>14.6</v>
      </c>
      <c r="U43" s="14"/>
      <c r="V43" s="3">
        <v>0</v>
      </c>
      <c r="W43" s="3">
        <v>0</v>
      </c>
      <c r="X43" s="14"/>
      <c r="Y43" s="3">
        <f>P43+S43+V43</f>
        <v>24.1</v>
      </c>
      <c r="Z43" s="3">
        <f>Q43+T43+W43</f>
        <v>373.90000000000003</v>
      </c>
      <c r="AA43" s="14">
        <f>Z43/Y43*100</f>
        <v>1551.4522821576763</v>
      </c>
      <c r="AB43" s="3">
        <v>0</v>
      </c>
      <c r="AC43" s="3">
        <v>0</v>
      </c>
      <c r="AD43" s="14">
        <v>0</v>
      </c>
      <c r="AE43" s="3"/>
      <c r="AF43" s="3"/>
      <c r="AG43" s="28" t="e">
        <f t="shared" si="32"/>
        <v>#DIV/0!</v>
      </c>
      <c r="AH43" s="3"/>
      <c r="AI43" s="3"/>
      <c r="AJ43" s="3">
        <f>AB43+AE43+AH43</f>
        <v>0</v>
      </c>
      <c r="AK43" s="3">
        <f>AC43+AF43+AI43</f>
        <v>0</v>
      </c>
      <c r="AL43" s="14" t="e">
        <f>AK43/AJ43*100</f>
        <v>#DIV/0!</v>
      </c>
      <c r="AM43" s="3"/>
      <c r="AN43" s="3"/>
      <c r="AO43" s="3"/>
      <c r="AP43" s="3"/>
      <c r="AQ43" s="3"/>
      <c r="AR43" s="3"/>
      <c r="AS43" s="3">
        <f>M43+Y43+AJ43+AM43+AO43+AQ43</f>
        <v>1075.1</v>
      </c>
      <c r="AT43" s="3">
        <f>N43+Z43+AK43+AN43+AP43+AR43</f>
        <v>1481.1</v>
      </c>
      <c r="AU43" s="14">
        <f t="shared" si="31"/>
        <v>137.7639289368431</v>
      </c>
      <c r="AV43" s="14">
        <f>AS43-AT43</f>
        <v>-406</v>
      </c>
      <c r="AW43" s="4">
        <f>C43+AS43-AT43</f>
        <v>-0.09999999999990905</v>
      </c>
      <c r="AX43" s="99"/>
      <c r="AZ43" s="18"/>
    </row>
    <row r="44" spans="1:52" ht="24" customHeight="1">
      <c r="A44" s="98">
        <v>33</v>
      </c>
      <c r="B44" s="15" t="s">
        <v>124</v>
      </c>
      <c r="C44" s="2">
        <v>1714.5</v>
      </c>
      <c r="D44" s="3">
        <v>987.3</v>
      </c>
      <c r="E44" s="3">
        <v>824.5</v>
      </c>
      <c r="F44" s="14">
        <f t="shared" si="0"/>
        <v>83.51058442216144</v>
      </c>
      <c r="G44" s="3">
        <v>995</v>
      </c>
      <c r="H44" s="3">
        <v>0</v>
      </c>
      <c r="I44" s="14">
        <f t="shared" si="15"/>
        <v>0</v>
      </c>
      <c r="J44" s="3">
        <v>954.7</v>
      </c>
      <c r="K44" s="3">
        <v>856.8</v>
      </c>
      <c r="L44" s="14">
        <f>K44/J44*100</f>
        <v>89.74546978108306</v>
      </c>
      <c r="M44" s="3">
        <f>D44+G44+J44</f>
        <v>2937</v>
      </c>
      <c r="N44" s="3">
        <f>E44+H44+K44</f>
        <v>1681.3</v>
      </c>
      <c r="O44" s="14">
        <f t="shared" si="4"/>
        <v>57.245488593803195</v>
      </c>
      <c r="P44" s="3">
        <v>262.5</v>
      </c>
      <c r="Q44" s="3">
        <v>1982.3</v>
      </c>
      <c r="R44" s="14">
        <f t="shared" si="33"/>
        <v>755.1619047619047</v>
      </c>
      <c r="S44" s="3">
        <v>128</v>
      </c>
      <c r="T44" s="3">
        <v>454.8</v>
      </c>
      <c r="U44" s="14"/>
      <c r="V44" s="3">
        <v>143.9</v>
      </c>
      <c r="W44" s="3">
        <v>0</v>
      </c>
      <c r="X44" s="14"/>
      <c r="Y44" s="3">
        <f>P44+S44+V44</f>
        <v>534.4</v>
      </c>
      <c r="Z44" s="3">
        <f>Q44+T44+W44</f>
        <v>2437.1</v>
      </c>
      <c r="AA44" s="14">
        <f>Z44/Y44*100</f>
        <v>456.0441616766467</v>
      </c>
      <c r="AB44" s="3">
        <v>148.6</v>
      </c>
      <c r="AC44" s="3">
        <v>157.2</v>
      </c>
      <c r="AD44" s="14">
        <v>0</v>
      </c>
      <c r="AE44" s="3"/>
      <c r="AF44" s="3"/>
      <c r="AG44" s="28" t="e">
        <f t="shared" si="32"/>
        <v>#DIV/0!</v>
      </c>
      <c r="AH44" s="3"/>
      <c r="AI44" s="3"/>
      <c r="AJ44" s="3">
        <f>AB44+AE44+AH44</f>
        <v>148.6</v>
      </c>
      <c r="AK44" s="3">
        <f>AC44+AF44+AI44</f>
        <v>157.2</v>
      </c>
      <c r="AL44" s="14">
        <f>AK44/AJ44*100</f>
        <v>105.78734858681023</v>
      </c>
      <c r="AM44" s="3"/>
      <c r="AN44" s="3"/>
      <c r="AO44" s="3"/>
      <c r="AP44" s="3"/>
      <c r="AQ44" s="3"/>
      <c r="AR44" s="3"/>
      <c r="AS44" s="3">
        <f>M44+Y44+AJ44+AM44+AO44+AQ44</f>
        <v>3620</v>
      </c>
      <c r="AT44" s="3">
        <f>N44+Z44+AK44+AN44+AP44+AR44</f>
        <v>4275.599999999999</v>
      </c>
      <c r="AU44" s="14">
        <f t="shared" si="31"/>
        <v>118.11049723756906</v>
      </c>
      <c r="AV44" s="14">
        <f>AS44-AT44</f>
        <v>-655.5999999999995</v>
      </c>
      <c r="AW44" s="4">
        <f>C44+AS44-AT44</f>
        <v>1058.9000000000005</v>
      </c>
      <c r="AX44" s="99"/>
      <c r="AZ44" s="18"/>
    </row>
    <row r="45" spans="1:59" s="8" customFormat="1" ht="24.75" customHeight="1">
      <c r="A45" s="16">
        <v>34</v>
      </c>
      <c r="B45" s="16" t="s">
        <v>2</v>
      </c>
      <c r="C45" s="48">
        <f>C46</f>
        <v>92364</v>
      </c>
      <c r="D45" s="4">
        <f>D46+D47</f>
        <v>20128</v>
      </c>
      <c r="E45" s="4">
        <f>E46+E47</f>
        <v>30619</v>
      </c>
      <c r="F45" s="14">
        <f>E45/D45*100</f>
        <v>152.1214228934817</v>
      </c>
      <c r="G45" s="4">
        <f>G46</f>
        <v>27015</v>
      </c>
      <c r="H45" s="4">
        <f>H46</f>
        <v>57143</v>
      </c>
      <c r="I45" s="14">
        <f>H45/G45*100</f>
        <v>211.52322783638718</v>
      </c>
      <c r="J45" s="4">
        <f>J46</f>
        <v>24759</v>
      </c>
      <c r="K45" s="4">
        <f>K46</f>
        <v>12436</v>
      </c>
      <c r="L45" s="4">
        <f>L46</f>
        <v>50.22819984652046</v>
      </c>
      <c r="M45" s="4">
        <f>M46</f>
        <v>71902</v>
      </c>
      <c r="N45" s="4">
        <f>N46</f>
        <v>100198</v>
      </c>
      <c r="O45" s="14">
        <f t="shared" si="4"/>
        <v>139.35356457400349</v>
      </c>
      <c r="P45" s="4">
        <f>P46</f>
        <v>11662</v>
      </c>
      <c r="Q45" s="4">
        <f>Q46</f>
        <v>37221</v>
      </c>
      <c r="R45" s="14">
        <f t="shared" si="33"/>
        <v>319.1648087806551</v>
      </c>
      <c r="S45" s="4">
        <f>S46</f>
        <v>2537</v>
      </c>
      <c r="T45" s="4">
        <f>T46</f>
        <v>5502</v>
      </c>
      <c r="U45" s="14">
        <f>T45/S45*100</f>
        <v>216.87031927473393</v>
      </c>
      <c r="V45" s="4">
        <f>V46</f>
        <v>2329</v>
      </c>
      <c r="W45" s="4">
        <f>W46</f>
        <v>619</v>
      </c>
      <c r="X45" s="14">
        <f>W45/V45*100</f>
        <v>26.57793044224989</v>
      </c>
      <c r="Y45" s="4">
        <f>Y46</f>
        <v>16528</v>
      </c>
      <c r="Z45" s="4">
        <f>Z46</f>
        <v>43342</v>
      </c>
      <c r="AA45" s="14">
        <f>Z45/Y45*100</f>
        <v>262.23378509196516</v>
      </c>
      <c r="AB45" s="4">
        <f>AB46</f>
        <v>1609</v>
      </c>
      <c r="AC45" s="4">
        <f>AC46</f>
        <v>1282</v>
      </c>
      <c r="AD45" s="14">
        <f>AC45/AB45*100</f>
        <v>79.67681789931635</v>
      </c>
      <c r="AE45" s="48">
        <f>AE46</f>
        <v>0</v>
      </c>
      <c r="AF45" s="48">
        <f>AF46</f>
        <v>0</v>
      </c>
      <c r="AG45" s="14" t="e">
        <f>AF45/AE45*100</f>
        <v>#DIV/0!</v>
      </c>
      <c r="AH45" s="48">
        <f>AH46</f>
        <v>0</v>
      </c>
      <c r="AI45" s="48">
        <f>AI46</f>
        <v>0</v>
      </c>
      <c r="AJ45" s="4">
        <f>AJ46</f>
        <v>1609</v>
      </c>
      <c r="AK45" s="4">
        <f>AK46</f>
        <v>1282</v>
      </c>
      <c r="AL45" s="14">
        <f>AK45/AJ45*100</f>
        <v>79.67681789931635</v>
      </c>
      <c r="AM45" s="48">
        <f aca="true" t="shared" si="34" ref="AM45:AT45">AM46</f>
        <v>0</v>
      </c>
      <c r="AN45" s="48">
        <f t="shared" si="34"/>
        <v>0</v>
      </c>
      <c r="AO45" s="48">
        <f t="shared" si="34"/>
        <v>0</v>
      </c>
      <c r="AP45" s="48">
        <f t="shared" si="34"/>
        <v>0</v>
      </c>
      <c r="AQ45" s="48">
        <f t="shared" si="34"/>
        <v>0</v>
      </c>
      <c r="AR45" s="48">
        <f t="shared" si="34"/>
        <v>0</v>
      </c>
      <c r="AS45" s="114">
        <f t="shared" si="34"/>
        <v>90039</v>
      </c>
      <c r="AT45" s="114">
        <f t="shared" si="34"/>
        <v>144822</v>
      </c>
      <c r="AU45" s="14">
        <f t="shared" si="31"/>
        <v>160.84363442508248</v>
      </c>
      <c r="AV45" s="49">
        <f>AV46</f>
        <v>-54783</v>
      </c>
      <c r="AW45" s="49">
        <f>AW46</f>
        <v>37581</v>
      </c>
      <c r="AX45" s="97"/>
      <c r="AY45" s="80"/>
      <c r="AZ45" s="18"/>
      <c r="BA45" s="80"/>
      <c r="BB45" s="80"/>
      <c r="BC45" s="80"/>
      <c r="BD45" s="80"/>
      <c r="BE45" s="80"/>
      <c r="BF45" s="80"/>
      <c r="BG45" s="80"/>
    </row>
    <row r="46" spans="1:59" s="8" customFormat="1" ht="24.75" customHeight="1">
      <c r="A46" s="16"/>
      <c r="B46" s="1" t="s">
        <v>7</v>
      </c>
      <c r="C46" s="2">
        <v>92364</v>
      </c>
      <c r="D46" s="3">
        <v>20128</v>
      </c>
      <c r="E46" s="3">
        <v>30619</v>
      </c>
      <c r="F46" s="14">
        <f t="shared" si="0"/>
        <v>152.1214228934817</v>
      </c>
      <c r="G46" s="3">
        <v>27015</v>
      </c>
      <c r="H46" s="3">
        <v>57143</v>
      </c>
      <c r="I46" s="14">
        <f t="shared" si="15"/>
        <v>211.52322783638718</v>
      </c>
      <c r="J46" s="3">
        <v>24759</v>
      </c>
      <c r="K46" s="3">
        <v>12436</v>
      </c>
      <c r="L46" s="14">
        <f>K46/J46*100</f>
        <v>50.22819984652046</v>
      </c>
      <c r="M46" s="3">
        <f>D46+G46+J46</f>
        <v>71902</v>
      </c>
      <c r="N46" s="3">
        <f>E46+H46+K46</f>
        <v>100198</v>
      </c>
      <c r="O46" s="14">
        <f t="shared" si="4"/>
        <v>139.35356457400349</v>
      </c>
      <c r="P46" s="3">
        <v>11662</v>
      </c>
      <c r="Q46" s="3">
        <v>37221</v>
      </c>
      <c r="R46" s="14">
        <f t="shared" si="33"/>
        <v>319.1648087806551</v>
      </c>
      <c r="S46" s="3">
        <v>2537</v>
      </c>
      <c r="T46" s="3">
        <v>5502</v>
      </c>
      <c r="U46" s="14">
        <f>T46/S46*100</f>
        <v>216.87031927473393</v>
      </c>
      <c r="V46" s="3">
        <v>2329</v>
      </c>
      <c r="W46" s="3">
        <v>619</v>
      </c>
      <c r="X46" s="14">
        <f>W46/V46*100</f>
        <v>26.57793044224989</v>
      </c>
      <c r="Y46" s="3">
        <f>P46+S46+V46</f>
        <v>16528</v>
      </c>
      <c r="Z46" s="3">
        <f>Q46+T46+W46</f>
        <v>43342</v>
      </c>
      <c r="AA46" s="14">
        <f>Z46/Y46*100</f>
        <v>262.23378509196516</v>
      </c>
      <c r="AB46" s="3">
        <v>1609</v>
      </c>
      <c r="AC46" s="3">
        <v>1282</v>
      </c>
      <c r="AD46" s="14">
        <f>AC46/AB46*100</f>
        <v>79.67681789931635</v>
      </c>
      <c r="AE46" s="3"/>
      <c r="AF46" s="3"/>
      <c r="AG46" s="14" t="e">
        <f>AF46/AE46*100</f>
        <v>#DIV/0!</v>
      </c>
      <c r="AH46" s="3"/>
      <c r="AI46" s="3"/>
      <c r="AJ46" s="3">
        <f>AB46+AE46+AH46</f>
        <v>1609</v>
      </c>
      <c r="AK46" s="3">
        <f>AC46+AF46+AI46</f>
        <v>1282</v>
      </c>
      <c r="AL46" s="14">
        <f>AK46/AJ46*100</f>
        <v>79.67681789931635</v>
      </c>
      <c r="AM46" s="3"/>
      <c r="AN46" s="3"/>
      <c r="AO46" s="3"/>
      <c r="AP46" s="3"/>
      <c r="AQ46" s="3"/>
      <c r="AR46" s="3"/>
      <c r="AS46" s="3">
        <f>M46+Y46+AJ46+AM46+AO46+AQ46</f>
        <v>90039</v>
      </c>
      <c r="AT46" s="3">
        <f>N46+Z46+AK46+AN46+AP46+AR46</f>
        <v>144822</v>
      </c>
      <c r="AU46" s="14">
        <f t="shared" si="31"/>
        <v>160.84363442508248</v>
      </c>
      <c r="AV46" s="14">
        <f>AS46-AT46</f>
        <v>-54783</v>
      </c>
      <c r="AW46" s="4">
        <f>C46+AS46-AT46</f>
        <v>37581</v>
      </c>
      <c r="AX46" s="99"/>
      <c r="AY46" s="80"/>
      <c r="AZ46" s="18"/>
      <c r="BA46" s="80"/>
      <c r="BB46" s="80"/>
      <c r="BC46" s="80"/>
      <c r="BD46" s="80"/>
      <c r="BE46" s="80"/>
      <c r="BF46" s="80"/>
      <c r="BG46" s="80"/>
    </row>
    <row r="47" spans="1:59" s="8" customFormat="1" ht="24.75" customHeight="1">
      <c r="A47" s="16"/>
      <c r="B47" s="1" t="s">
        <v>15</v>
      </c>
      <c r="C47" s="2"/>
      <c r="D47" s="21"/>
      <c r="E47" s="21"/>
      <c r="F47" s="36" t="e">
        <f>E47/D47*100</f>
        <v>#DIV/0!</v>
      </c>
      <c r="G47" s="21"/>
      <c r="H47" s="21"/>
      <c r="I47" s="36" t="e">
        <f t="shared" si="15"/>
        <v>#DIV/0!</v>
      </c>
      <c r="J47" s="21"/>
      <c r="K47" s="21"/>
      <c r="L47" s="36" t="e">
        <f>K47/J47*100</f>
        <v>#DIV/0!</v>
      </c>
      <c r="M47" s="36"/>
      <c r="N47" s="36"/>
      <c r="O47" s="14"/>
      <c r="P47" s="21"/>
      <c r="Q47" s="21"/>
      <c r="R47" s="36" t="e">
        <f t="shared" si="33"/>
        <v>#DIV/0!</v>
      </c>
      <c r="S47" s="21"/>
      <c r="T47" s="21"/>
      <c r="U47" s="36" t="e">
        <f>T47/S47*100</f>
        <v>#DIV/0!</v>
      </c>
      <c r="V47" s="21"/>
      <c r="W47" s="21"/>
      <c r="X47" s="36" t="e">
        <f>W47/V47*100</f>
        <v>#DIV/0!</v>
      </c>
      <c r="Y47" s="36"/>
      <c r="Z47" s="36"/>
      <c r="AA47" s="14"/>
      <c r="AB47" s="21"/>
      <c r="AC47" s="21"/>
      <c r="AD47" s="36" t="e">
        <f>AC47/AB47*100</f>
        <v>#DIV/0!</v>
      </c>
      <c r="AE47" s="21"/>
      <c r="AF47" s="21"/>
      <c r="AG47" s="36" t="e">
        <f>AF47/AE47*100</f>
        <v>#DIV/0!</v>
      </c>
      <c r="AH47" s="21"/>
      <c r="AI47" s="21"/>
      <c r="AJ47" s="36"/>
      <c r="AK47" s="36"/>
      <c r="AL47" s="14"/>
      <c r="AM47" s="21"/>
      <c r="AN47" s="21"/>
      <c r="AO47" s="21"/>
      <c r="AP47" s="21"/>
      <c r="AQ47" s="21"/>
      <c r="AR47" s="21"/>
      <c r="AS47" s="21"/>
      <c r="AT47" s="21"/>
      <c r="AU47" s="36" t="e">
        <f>AT47/AS47*100</f>
        <v>#DIV/0!</v>
      </c>
      <c r="AV47" s="36"/>
      <c r="AW47" s="69">
        <f>C47+D47-E47</f>
        <v>0</v>
      </c>
      <c r="AX47" s="99"/>
      <c r="AY47" s="80"/>
      <c r="AZ47" s="18"/>
      <c r="BA47" s="80"/>
      <c r="BB47" s="80"/>
      <c r="BC47" s="80"/>
      <c r="BD47" s="80"/>
      <c r="BE47" s="80"/>
      <c r="BF47" s="80"/>
      <c r="BG47" s="80"/>
    </row>
    <row r="48" spans="1:59" s="8" customFormat="1" ht="24.75" customHeight="1">
      <c r="A48" s="16"/>
      <c r="B48" s="16" t="s">
        <v>4</v>
      </c>
      <c r="C48" s="48">
        <f>C7+C45</f>
        <v>99515.3</v>
      </c>
      <c r="D48" s="4">
        <f>D7+D45</f>
        <v>25040.1</v>
      </c>
      <c r="E48" s="4">
        <f>E7+E45</f>
        <v>32718.5</v>
      </c>
      <c r="F48" s="14">
        <f>E48/D48*100</f>
        <v>130.6644142794957</v>
      </c>
      <c r="G48" s="4">
        <f>G7+G45</f>
        <v>31628.1</v>
      </c>
      <c r="H48" s="4">
        <f>H7+H45</f>
        <v>59719</v>
      </c>
      <c r="I48" s="14">
        <f>H48/G48*100</f>
        <v>188.81627413597403</v>
      </c>
      <c r="J48" s="4">
        <f>J7+J45</f>
        <v>29414.3</v>
      </c>
      <c r="K48" s="4">
        <f>K7+K45</f>
        <v>17386.6</v>
      </c>
      <c r="L48" s="4">
        <f>K48/J48*100</f>
        <v>59.109344774480434</v>
      </c>
      <c r="M48" s="4">
        <f>M7+M45</f>
        <v>86082.5</v>
      </c>
      <c r="N48" s="4">
        <f>N7+N45</f>
        <v>109824.1</v>
      </c>
      <c r="O48" s="14">
        <f t="shared" si="4"/>
        <v>127.5800540179479</v>
      </c>
      <c r="P48" s="4">
        <f>P7+P45</f>
        <v>12462.5</v>
      </c>
      <c r="Q48" s="4">
        <f>Q7+Q45</f>
        <v>44285.6</v>
      </c>
      <c r="R48" s="14">
        <f t="shared" si="33"/>
        <v>355.350852557673</v>
      </c>
      <c r="S48" s="4">
        <f>S7+S45</f>
        <v>2665.7</v>
      </c>
      <c r="T48" s="4">
        <f>T7+T45</f>
        <v>8159</v>
      </c>
      <c r="U48" s="14">
        <f>T48/S48*100</f>
        <v>306.07345162621453</v>
      </c>
      <c r="V48" s="4">
        <f>V7+V45</f>
        <v>2518.5</v>
      </c>
      <c r="W48" s="4">
        <f>W7+W45</f>
        <v>1009.3</v>
      </c>
      <c r="X48" s="14">
        <f>W48/V48*100</f>
        <v>40.0754417311892</v>
      </c>
      <c r="Y48" s="4">
        <f>Y7+Y45</f>
        <v>17646.7</v>
      </c>
      <c r="Z48" s="4">
        <f>Z7+Z45</f>
        <v>53453.9</v>
      </c>
      <c r="AA48" s="14">
        <f>Z48/Y48*100</f>
        <v>302.9115925357149</v>
      </c>
      <c r="AB48" s="4">
        <f>AB7+AB45</f>
        <v>1807.8</v>
      </c>
      <c r="AC48" s="4">
        <f>AC7+AC45</f>
        <v>1763.5</v>
      </c>
      <c r="AD48" s="14">
        <f>AC48/AB48*100</f>
        <v>97.54950768890365</v>
      </c>
      <c r="AE48" s="4">
        <f>AE7+AE45</f>
        <v>0</v>
      </c>
      <c r="AF48" s="4">
        <f>AF7+AF45</f>
        <v>0</v>
      </c>
      <c r="AG48" s="14" t="e">
        <f>AF48/AE48*100</f>
        <v>#DIV/0!</v>
      </c>
      <c r="AH48" s="4">
        <f>AH7+AH45</f>
        <v>0</v>
      </c>
      <c r="AI48" s="4">
        <f>AI7+AI45</f>
        <v>0</v>
      </c>
      <c r="AJ48" s="4">
        <f>AJ7+AJ45</f>
        <v>1807.8</v>
      </c>
      <c r="AK48" s="4">
        <f>AK7+AK45</f>
        <v>1763.5</v>
      </c>
      <c r="AL48" s="14">
        <f>AK48/AJ48*100</f>
        <v>97.54950768890365</v>
      </c>
      <c r="AM48" s="4">
        <f aca="true" t="shared" si="35" ref="AM48:AT48">AM7+AM45</f>
        <v>0</v>
      </c>
      <c r="AN48" s="4">
        <f t="shared" si="35"/>
        <v>0</v>
      </c>
      <c r="AO48" s="4">
        <f t="shared" si="35"/>
        <v>0</v>
      </c>
      <c r="AP48" s="4">
        <f t="shared" si="35"/>
        <v>0</v>
      </c>
      <c r="AQ48" s="4">
        <f>AQ7+AQ45</f>
        <v>0</v>
      </c>
      <c r="AR48" s="4">
        <f>AR7+AR45</f>
        <v>0</v>
      </c>
      <c r="AS48" s="4">
        <f t="shared" si="35"/>
        <v>105537</v>
      </c>
      <c r="AT48" s="4">
        <f t="shared" si="35"/>
        <v>165041.5</v>
      </c>
      <c r="AU48" s="14">
        <f>AT48/AS48*100</f>
        <v>156.3825956773454</v>
      </c>
      <c r="AV48" s="49">
        <f>AV7+AV45</f>
        <v>-59504.5</v>
      </c>
      <c r="AW48" s="49">
        <f>AW7+AW45</f>
        <v>40010.8</v>
      </c>
      <c r="AX48" s="97">
        <f>AS48-AT48</f>
        <v>-59504.5</v>
      </c>
      <c r="AY48" s="18">
        <f>C48+AS48-AT48</f>
        <v>40010.79999999999</v>
      </c>
      <c r="AZ48" s="18"/>
      <c r="BA48" s="80"/>
      <c r="BB48" s="80"/>
      <c r="BC48" s="80"/>
      <c r="BD48" s="80"/>
      <c r="BE48" s="80"/>
      <c r="BF48" s="80"/>
      <c r="BG48" s="80"/>
    </row>
    <row r="49" spans="1:59" s="8" customFormat="1" ht="24.75" customHeight="1">
      <c r="A49" s="80"/>
      <c r="B49" s="80"/>
      <c r="C49" s="81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75"/>
      <c r="AT49" s="17"/>
      <c r="AU49" s="17"/>
      <c r="AV49" s="17"/>
      <c r="AW49" s="31"/>
      <c r="AX49" s="79"/>
      <c r="AY49" s="80"/>
      <c r="AZ49" s="80"/>
      <c r="BA49" s="80"/>
      <c r="BB49" s="80"/>
      <c r="BC49" s="80"/>
      <c r="BD49" s="80"/>
      <c r="BE49" s="80"/>
      <c r="BF49" s="80"/>
      <c r="BG49" s="80"/>
    </row>
    <row r="50" spans="1:59" s="8" customFormat="1" ht="18.75" customHeight="1" hidden="1">
      <c r="A50" s="16"/>
      <c r="B50" s="8" t="s">
        <v>16</v>
      </c>
      <c r="C50" s="81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8"/>
      <c r="AX50" s="79"/>
      <c r="AY50" s="80"/>
      <c r="AZ50" s="80"/>
      <c r="BA50" s="80"/>
      <c r="BB50" s="80"/>
      <c r="BC50" s="80"/>
      <c r="BD50" s="80"/>
      <c r="BE50" s="80"/>
      <c r="BF50" s="80"/>
      <c r="BG50" s="80"/>
    </row>
    <row r="51" spans="1:59" s="8" customFormat="1" ht="6.75" customHeight="1" hidden="1">
      <c r="A51" s="80"/>
      <c r="C51" s="81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8"/>
      <c r="AX51" s="79"/>
      <c r="AY51" s="80"/>
      <c r="AZ51" s="80"/>
      <c r="BA51" s="80"/>
      <c r="BB51" s="80"/>
      <c r="BC51" s="80"/>
      <c r="BD51" s="80"/>
      <c r="BE51" s="80"/>
      <c r="BF51" s="80"/>
      <c r="BG51" s="80"/>
    </row>
    <row r="52" spans="1:59" s="8" customFormat="1" ht="18.75" customHeight="1" hidden="1">
      <c r="A52" s="16"/>
      <c r="B52" s="8" t="s">
        <v>17</v>
      </c>
      <c r="C52" s="81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8"/>
      <c r="AX52" s="79"/>
      <c r="AY52" s="80"/>
      <c r="AZ52" s="80"/>
      <c r="BA52" s="80"/>
      <c r="BB52" s="80"/>
      <c r="BC52" s="80"/>
      <c r="BD52" s="80"/>
      <c r="BE52" s="80"/>
      <c r="BF52" s="80"/>
      <c r="BG52" s="80"/>
    </row>
    <row r="53" spans="3:49" ht="24.75" customHeight="1">
      <c r="C53" s="66"/>
      <c r="D53" s="31"/>
      <c r="E53" s="31"/>
      <c r="F53" s="55"/>
      <c r="G53" s="31"/>
      <c r="H53" s="31"/>
      <c r="I53" s="55"/>
      <c r="J53" s="31"/>
      <c r="K53" s="31"/>
      <c r="L53" s="55"/>
      <c r="M53" s="55"/>
      <c r="N53" s="55"/>
      <c r="O53" s="55"/>
      <c r="P53" s="31"/>
      <c r="Q53" s="31"/>
      <c r="R53" s="55"/>
      <c r="S53" s="31"/>
      <c r="T53" s="31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6"/>
      <c r="AT53" s="56"/>
      <c r="AU53" s="55"/>
      <c r="AV53" s="31"/>
      <c r="AW53" s="57"/>
    </row>
    <row r="54" spans="1:59" ht="73.5" customHeight="1" hidden="1">
      <c r="A54" s="56" t="s">
        <v>59</v>
      </c>
      <c r="B54" s="56"/>
      <c r="C54" s="56"/>
      <c r="D54" s="56"/>
      <c r="E54" s="56"/>
      <c r="F54" s="55"/>
      <c r="G54" s="31"/>
      <c r="H54" s="31"/>
      <c r="I54" s="55"/>
      <c r="J54" s="31"/>
      <c r="K54" s="31"/>
      <c r="L54" s="55"/>
      <c r="M54" s="55"/>
      <c r="N54" s="55"/>
      <c r="O54" s="55"/>
      <c r="P54" s="31"/>
      <c r="Q54" s="31"/>
      <c r="R54" s="55"/>
      <c r="S54" s="31"/>
      <c r="T54" s="31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31"/>
      <c r="AT54" s="31"/>
      <c r="AU54" s="55"/>
      <c r="AV54" s="31"/>
      <c r="AW54" s="31"/>
      <c r="AX54" s="31"/>
      <c r="AY54" s="31"/>
      <c r="AZ54" s="55"/>
      <c r="BA54" s="57" t="s">
        <v>57</v>
      </c>
      <c r="BB54" s="5"/>
      <c r="BC54" s="5"/>
      <c r="BD54" s="5"/>
      <c r="BE54" s="5"/>
      <c r="BF54" s="5"/>
      <c r="BG54" s="5"/>
    </row>
    <row r="55" spans="1:49" s="64" customFormat="1" ht="42" customHeight="1">
      <c r="A55" s="59"/>
      <c r="B55" s="150" t="s">
        <v>61</v>
      </c>
      <c r="C55" s="150"/>
      <c r="D55" s="60"/>
      <c r="E55" s="60"/>
      <c r="F55" s="61"/>
      <c r="G55" s="62"/>
      <c r="H55" s="62"/>
      <c r="I55" s="61"/>
      <c r="J55" s="62"/>
      <c r="K55" s="62"/>
      <c r="L55" s="61"/>
      <c r="M55" s="61"/>
      <c r="N55" s="61"/>
      <c r="O55" s="61"/>
      <c r="P55" s="62"/>
      <c r="Q55" s="62"/>
      <c r="R55" s="61"/>
      <c r="S55" s="62"/>
      <c r="T55" s="62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0"/>
      <c r="AT55" s="60"/>
      <c r="AU55" s="61"/>
      <c r="AV55" s="62"/>
      <c r="AW55" s="63" t="s">
        <v>60</v>
      </c>
    </row>
    <row r="56" spans="3:49" ht="40.5" customHeight="1">
      <c r="C56" s="91"/>
      <c r="D56" s="27"/>
      <c r="E56" s="27"/>
      <c r="F56" s="65"/>
      <c r="G56" s="27"/>
      <c r="H56" s="27"/>
      <c r="I56" s="65"/>
      <c r="J56" s="27"/>
      <c r="K56" s="27"/>
      <c r="L56" s="65"/>
      <c r="M56" s="65"/>
      <c r="N56" s="65"/>
      <c r="O56" s="65"/>
      <c r="P56" s="27"/>
      <c r="Q56" s="27"/>
      <c r="R56" s="65"/>
      <c r="S56" s="27"/>
      <c r="T56" s="27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65"/>
      <c r="AK56" s="65"/>
      <c r="AL56" s="65"/>
      <c r="AM56" s="65"/>
      <c r="AN56" s="65"/>
      <c r="AO56" s="65"/>
      <c r="AP56" s="65"/>
      <c r="AQ56" s="65"/>
      <c r="AR56" s="65"/>
      <c r="AS56" s="27"/>
      <c r="AT56" s="27"/>
      <c r="AU56" s="65"/>
      <c r="AV56" s="27"/>
      <c r="AW56" s="27"/>
    </row>
    <row r="57" spans="3:49" ht="18.75">
      <c r="C57" s="91"/>
      <c r="D57" s="27"/>
      <c r="E57" s="27"/>
      <c r="F57" s="65"/>
      <c r="G57" s="3">
        <v>142.7</v>
      </c>
      <c r="H57" s="3">
        <v>103.3</v>
      </c>
      <c r="I57" s="14"/>
      <c r="J57" s="3">
        <v>142.7</v>
      </c>
      <c r="K57" s="3">
        <v>103.3</v>
      </c>
      <c r="L57" s="14"/>
      <c r="M57" s="14"/>
      <c r="N57" s="14"/>
      <c r="O57" s="14"/>
      <c r="P57" s="3">
        <v>142.7</v>
      </c>
      <c r="Q57" s="3">
        <v>103.3</v>
      </c>
      <c r="R57" s="14"/>
      <c r="S57" s="3">
        <v>142.7</v>
      </c>
      <c r="T57" s="3">
        <v>103.3</v>
      </c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3">
        <v>1154.2</v>
      </c>
      <c r="AT57" s="3">
        <v>1213.3</v>
      </c>
      <c r="AU57" s="14"/>
      <c r="AV57" s="3"/>
      <c r="AW57" s="4">
        <f>C57+D57-E57</f>
        <v>0</v>
      </c>
    </row>
    <row r="58" spans="2:49" ht="18.75">
      <c r="B58" s="5" t="s">
        <v>11</v>
      </c>
      <c r="C58" s="77">
        <v>27</v>
      </c>
      <c r="D58" s="101">
        <v>97.6</v>
      </c>
      <c r="E58" s="101">
        <v>107.2</v>
      </c>
      <c r="F58" s="102"/>
      <c r="G58" s="27"/>
      <c r="H58" s="27"/>
      <c r="I58" s="65"/>
      <c r="J58" s="27"/>
      <c r="K58" s="27"/>
      <c r="L58" s="65"/>
      <c r="M58" s="65"/>
      <c r="N58" s="65"/>
      <c r="O58" s="65"/>
      <c r="P58" s="27"/>
      <c r="Q58" s="27"/>
      <c r="R58" s="65"/>
      <c r="S58" s="27"/>
      <c r="T58" s="27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5"/>
      <c r="AI58" s="65"/>
      <c r="AJ58" s="65"/>
      <c r="AK58" s="65"/>
      <c r="AL58" s="65"/>
      <c r="AM58" s="65"/>
      <c r="AN58" s="65"/>
      <c r="AO58" s="65"/>
      <c r="AP58" s="65"/>
      <c r="AQ58" s="65"/>
      <c r="AR58" s="65"/>
      <c r="AS58" s="27">
        <v>1415.7</v>
      </c>
      <c r="AT58" s="27">
        <v>1436.1</v>
      </c>
      <c r="AU58" s="65"/>
      <c r="AV58" s="27"/>
      <c r="AW58" s="4">
        <f>C58+D58-E58</f>
        <v>17.39999999999999</v>
      </c>
    </row>
    <row r="59" spans="2:49" ht="18.75">
      <c r="B59" s="5" t="s">
        <v>12</v>
      </c>
      <c r="C59" s="66">
        <v>52.2</v>
      </c>
      <c r="D59" s="31">
        <v>256.6</v>
      </c>
      <c r="E59" s="31">
        <v>288.5</v>
      </c>
      <c r="F59" s="55"/>
      <c r="G59" s="27"/>
      <c r="H59" s="27"/>
      <c r="I59" s="65"/>
      <c r="J59" s="27"/>
      <c r="K59" s="27"/>
      <c r="L59" s="65"/>
      <c r="M59" s="65"/>
      <c r="N59" s="65"/>
      <c r="O59" s="65"/>
      <c r="P59" s="27"/>
      <c r="Q59" s="27"/>
      <c r="R59" s="65"/>
      <c r="S59" s="27"/>
      <c r="T59" s="27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O59" s="65"/>
      <c r="AP59" s="65"/>
      <c r="AQ59" s="65"/>
      <c r="AR59" s="65"/>
      <c r="AS59" s="27"/>
      <c r="AT59" s="27"/>
      <c r="AU59" s="65"/>
      <c r="AV59" s="27"/>
      <c r="AW59" s="27"/>
    </row>
    <row r="60" spans="3:49" ht="18.75">
      <c r="C60" s="66"/>
      <c r="D60" s="31"/>
      <c r="E60" s="31"/>
      <c r="F60" s="55"/>
      <c r="G60" s="27"/>
      <c r="H60" s="27"/>
      <c r="I60" s="65"/>
      <c r="J60" s="27"/>
      <c r="K60" s="27"/>
      <c r="L60" s="65"/>
      <c r="M60" s="65"/>
      <c r="N60" s="65"/>
      <c r="O60" s="65"/>
      <c r="P60" s="27"/>
      <c r="Q60" s="27"/>
      <c r="R60" s="65"/>
      <c r="S60" s="27"/>
      <c r="T60" s="27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65"/>
      <c r="AL60" s="65"/>
      <c r="AM60" s="65"/>
      <c r="AN60" s="65"/>
      <c r="AO60" s="65"/>
      <c r="AP60" s="65"/>
      <c r="AQ60" s="65"/>
      <c r="AR60" s="65"/>
      <c r="AS60" s="27"/>
      <c r="AT60" s="27"/>
      <c r="AU60" s="65"/>
      <c r="AV60" s="27"/>
      <c r="AW60" s="27"/>
    </row>
    <row r="61" spans="3:49" ht="18.75">
      <c r="C61" s="66"/>
      <c r="D61" s="31"/>
      <c r="E61" s="31"/>
      <c r="F61" s="55"/>
      <c r="G61" s="27"/>
      <c r="H61" s="27"/>
      <c r="I61" s="65"/>
      <c r="J61" s="27"/>
      <c r="K61" s="27"/>
      <c r="L61" s="65"/>
      <c r="M61" s="65"/>
      <c r="N61" s="65"/>
      <c r="O61" s="65"/>
      <c r="P61" s="27"/>
      <c r="Q61" s="27"/>
      <c r="R61" s="65"/>
      <c r="S61" s="27"/>
      <c r="T61" s="27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65"/>
      <c r="AJ61" s="65"/>
      <c r="AK61" s="65"/>
      <c r="AL61" s="65"/>
      <c r="AM61" s="65"/>
      <c r="AN61" s="65"/>
      <c r="AO61" s="65"/>
      <c r="AP61" s="65"/>
      <c r="AQ61" s="65"/>
      <c r="AR61" s="65"/>
      <c r="AS61" s="27"/>
      <c r="AT61" s="27"/>
      <c r="AU61" s="65"/>
      <c r="AV61" s="27"/>
      <c r="AW61" s="27">
        <f>AW9+AW17+AW20+AW26+AW38+AW40+AW42</f>
        <v>519</v>
      </c>
    </row>
    <row r="62" spans="2:49" ht="18.75">
      <c r="B62" s="5" t="s">
        <v>13</v>
      </c>
      <c r="C62" s="66">
        <f>C9+C17+C20+C26+C38+C40+C42</f>
        <v>901.9</v>
      </c>
      <c r="D62" s="31"/>
      <c r="E62" s="31"/>
      <c r="F62" s="55"/>
      <c r="G62" s="27"/>
      <c r="H62" s="27"/>
      <c r="I62" s="65"/>
      <c r="J62" s="27"/>
      <c r="K62" s="27"/>
      <c r="L62" s="65"/>
      <c r="M62" s="65"/>
      <c r="N62" s="65"/>
      <c r="O62" s="65"/>
      <c r="P62" s="27"/>
      <c r="Q62" s="27"/>
      <c r="R62" s="65"/>
      <c r="S62" s="27"/>
      <c r="T62" s="27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65"/>
      <c r="AH62" s="65"/>
      <c r="AI62" s="65"/>
      <c r="AJ62" s="65"/>
      <c r="AK62" s="65"/>
      <c r="AL62" s="65"/>
      <c r="AM62" s="65"/>
      <c r="AN62" s="65"/>
      <c r="AO62" s="65"/>
      <c r="AP62" s="65"/>
      <c r="AQ62" s="65"/>
      <c r="AR62" s="65"/>
      <c r="AS62" s="27"/>
      <c r="AT62" s="27"/>
      <c r="AU62" s="65"/>
      <c r="AV62" s="27"/>
      <c r="AW62" s="27">
        <f>AW11+AW13+AW14+AW16+AW18+AW19+AW25</f>
        <v>61.8</v>
      </c>
    </row>
    <row r="63" spans="2:49" ht="18.75">
      <c r="B63" s="5" t="s">
        <v>14</v>
      </c>
      <c r="C63" s="66">
        <f>C11+C13+C14+C16+C18+C19+C25</f>
        <v>133.7</v>
      </c>
      <c r="D63" s="31"/>
      <c r="E63" s="31"/>
      <c r="F63" s="55"/>
      <c r="G63" s="27"/>
      <c r="H63" s="27"/>
      <c r="I63" s="65"/>
      <c r="J63" s="27"/>
      <c r="K63" s="27"/>
      <c r="L63" s="65"/>
      <c r="M63" s="65"/>
      <c r="N63" s="65"/>
      <c r="O63" s="65"/>
      <c r="P63" s="27"/>
      <c r="Q63" s="27"/>
      <c r="R63" s="65"/>
      <c r="S63" s="27"/>
      <c r="T63" s="27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  <c r="AH63" s="65"/>
      <c r="AI63" s="65"/>
      <c r="AJ63" s="65"/>
      <c r="AK63" s="65"/>
      <c r="AL63" s="65"/>
      <c r="AM63" s="65"/>
      <c r="AN63" s="65"/>
      <c r="AO63" s="65"/>
      <c r="AP63" s="65"/>
      <c r="AQ63" s="65"/>
      <c r="AR63" s="65"/>
      <c r="AS63" s="27"/>
      <c r="AT63" s="27"/>
      <c r="AU63" s="65"/>
      <c r="AV63" s="27"/>
      <c r="AW63" s="27"/>
    </row>
    <row r="64" spans="3:49" ht="18.75">
      <c r="C64" s="91"/>
      <c r="D64" s="27"/>
      <c r="E64" s="27"/>
      <c r="F64" s="65"/>
      <c r="G64" s="27"/>
      <c r="H64" s="27"/>
      <c r="I64" s="65"/>
      <c r="J64" s="27"/>
      <c r="K64" s="27"/>
      <c r="L64" s="65"/>
      <c r="M64" s="65"/>
      <c r="N64" s="65"/>
      <c r="O64" s="65"/>
      <c r="P64" s="27"/>
      <c r="Q64" s="27"/>
      <c r="R64" s="65"/>
      <c r="S64" s="27"/>
      <c r="T64" s="27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5"/>
      <c r="AI64" s="65"/>
      <c r="AJ64" s="65"/>
      <c r="AK64" s="65"/>
      <c r="AL64" s="65"/>
      <c r="AM64" s="65"/>
      <c r="AN64" s="65"/>
      <c r="AO64" s="65"/>
      <c r="AP64" s="65"/>
      <c r="AQ64" s="65"/>
      <c r="AR64" s="65"/>
      <c r="AS64" s="27"/>
      <c r="AT64" s="27"/>
      <c r="AU64" s="65"/>
      <c r="AV64" s="27"/>
      <c r="AW64" s="27"/>
    </row>
    <row r="65" spans="3:49" ht="18.75">
      <c r="C65" s="91"/>
      <c r="D65" s="27"/>
      <c r="E65" s="27"/>
      <c r="F65" s="65"/>
      <c r="G65" s="27"/>
      <c r="H65" s="27"/>
      <c r="I65" s="65"/>
      <c r="J65" s="27"/>
      <c r="K65" s="27"/>
      <c r="L65" s="65"/>
      <c r="M65" s="65"/>
      <c r="N65" s="65"/>
      <c r="O65" s="65"/>
      <c r="P65" s="27"/>
      <c r="Q65" s="27"/>
      <c r="R65" s="65"/>
      <c r="S65" s="27"/>
      <c r="T65" s="27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5"/>
      <c r="AG65" s="65"/>
      <c r="AH65" s="65"/>
      <c r="AI65" s="65"/>
      <c r="AJ65" s="65"/>
      <c r="AK65" s="65"/>
      <c r="AL65" s="65"/>
      <c r="AM65" s="65"/>
      <c r="AN65" s="65"/>
      <c r="AO65" s="65"/>
      <c r="AP65" s="65"/>
      <c r="AQ65" s="65"/>
      <c r="AR65" s="65"/>
      <c r="AS65" s="27"/>
      <c r="AT65" s="27"/>
      <c r="AU65" s="65"/>
      <c r="AV65" s="27"/>
      <c r="AW65" s="27"/>
    </row>
    <row r="66" spans="3:49" ht="18.75">
      <c r="C66" s="91"/>
      <c r="D66" s="27"/>
      <c r="E66" s="27"/>
      <c r="F66" s="65"/>
      <c r="G66" s="27"/>
      <c r="H66" s="27"/>
      <c r="I66" s="65"/>
      <c r="J66" s="27"/>
      <c r="K66" s="27"/>
      <c r="L66" s="65"/>
      <c r="M66" s="65"/>
      <c r="N66" s="65"/>
      <c r="O66" s="65"/>
      <c r="P66" s="27"/>
      <c r="Q66" s="27"/>
      <c r="R66" s="65"/>
      <c r="S66" s="27"/>
      <c r="T66" s="27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5"/>
      <c r="AH66" s="65"/>
      <c r="AI66" s="65"/>
      <c r="AJ66" s="65"/>
      <c r="AK66" s="65"/>
      <c r="AL66" s="65"/>
      <c r="AM66" s="65"/>
      <c r="AN66" s="65"/>
      <c r="AO66" s="65"/>
      <c r="AP66" s="65"/>
      <c r="AQ66" s="65"/>
      <c r="AR66" s="65"/>
      <c r="AS66" s="27"/>
      <c r="AT66" s="27"/>
      <c r="AU66" s="65"/>
      <c r="AV66" s="27"/>
      <c r="AW66" s="27"/>
    </row>
    <row r="67" spans="3:49" ht="18.75">
      <c r="C67" s="91"/>
      <c r="D67" s="27"/>
      <c r="E67" s="27"/>
      <c r="F67" s="65"/>
      <c r="G67" s="27"/>
      <c r="H67" s="27"/>
      <c r="I67" s="65"/>
      <c r="J67" s="27"/>
      <c r="K67" s="27"/>
      <c r="L67" s="65"/>
      <c r="M67" s="65"/>
      <c r="N67" s="65"/>
      <c r="O67" s="65"/>
      <c r="P67" s="27"/>
      <c r="Q67" s="27"/>
      <c r="R67" s="65"/>
      <c r="S67" s="27"/>
      <c r="T67" s="27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5"/>
      <c r="AF67" s="65"/>
      <c r="AG67" s="65"/>
      <c r="AH67" s="65"/>
      <c r="AI67" s="65"/>
      <c r="AJ67" s="65"/>
      <c r="AK67" s="65"/>
      <c r="AL67" s="65"/>
      <c r="AM67" s="65"/>
      <c r="AN67" s="65"/>
      <c r="AO67" s="65"/>
      <c r="AP67" s="65"/>
      <c r="AQ67" s="65"/>
      <c r="AR67" s="65"/>
      <c r="AS67" s="27"/>
      <c r="AT67" s="27"/>
      <c r="AU67" s="65"/>
      <c r="AV67" s="27"/>
      <c r="AW67" s="27"/>
    </row>
    <row r="68" spans="3:49" ht="18.75">
      <c r="C68" s="91"/>
      <c r="D68" s="27"/>
      <c r="E68" s="27"/>
      <c r="F68" s="65"/>
      <c r="G68" s="27"/>
      <c r="H68" s="27"/>
      <c r="I68" s="65"/>
      <c r="J68" s="27"/>
      <c r="K68" s="27"/>
      <c r="L68" s="65"/>
      <c r="M68" s="65"/>
      <c r="N68" s="65"/>
      <c r="O68" s="65"/>
      <c r="P68" s="27"/>
      <c r="Q68" s="27"/>
      <c r="R68" s="65"/>
      <c r="S68" s="27"/>
      <c r="T68" s="27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  <c r="AG68" s="65"/>
      <c r="AH68" s="65"/>
      <c r="AI68" s="65"/>
      <c r="AJ68" s="65"/>
      <c r="AK68" s="65"/>
      <c r="AL68" s="65"/>
      <c r="AM68" s="65"/>
      <c r="AN68" s="65"/>
      <c r="AO68" s="65"/>
      <c r="AP68" s="65"/>
      <c r="AQ68" s="65"/>
      <c r="AR68" s="65"/>
      <c r="AS68" s="27"/>
      <c r="AT68" s="27"/>
      <c r="AU68" s="65"/>
      <c r="AV68" s="27"/>
      <c r="AW68" s="27"/>
    </row>
    <row r="69" spans="3:49" ht="18.75">
      <c r="C69" s="91"/>
      <c r="D69" s="27"/>
      <c r="E69" s="27"/>
      <c r="F69" s="65"/>
      <c r="G69" s="27"/>
      <c r="H69" s="27"/>
      <c r="I69" s="65"/>
      <c r="J69" s="27"/>
      <c r="K69" s="27"/>
      <c r="L69" s="65"/>
      <c r="M69" s="65"/>
      <c r="N69" s="65"/>
      <c r="O69" s="65"/>
      <c r="P69" s="27"/>
      <c r="Q69" s="27"/>
      <c r="R69" s="65"/>
      <c r="S69" s="27"/>
      <c r="T69" s="27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  <c r="AG69" s="65"/>
      <c r="AH69" s="65"/>
      <c r="AI69" s="65"/>
      <c r="AJ69" s="65"/>
      <c r="AK69" s="65"/>
      <c r="AL69" s="65"/>
      <c r="AM69" s="65"/>
      <c r="AN69" s="65"/>
      <c r="AO69" s="65"/>
      <c r="AP69" s="65"/>
      <c r="AQ69" s="65"/>
      <c r="AR69" s="65"/>
      <c r="AS69" s="27"/>
      <c r="AT69" s="27"/>
      <c r="AU69" s="65"/>
      <c r="AV69" s="27"/>
      <c r="AW69" s="27"/>
    </row>
    <row r="70" spans="3:49" ht="18.75">
      <c r="C70" s="91"/>
      <c r="D70" s="27"/>
      <c r="E70" s="27"/>
      <c r="F70" s="65"/>
      <c r="G70" s="27"/>
      <c r="H70" s="27"/>
      <c r="I70" s="65"/>
      <c r="J70" s="27"/>
      <c r="K70" s="27"/>
      <c r="L70" s="65"/>
      <c r="M70" s="65"/>
      <c r="N70" s="65"/>
      <c r="O70" s="65"/>
      <c r="P70" s="27"/>
      <c r="Q70" s="27"/>
      <c r="R70" s="65"/>
      <c r="S70" s="27"/>
      <c r="T70" s="27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  <c r="AG70" s="65"/>
      <c r="AH70" s="65"/>
      <c r="AI70" s="65"/>
      <c r="AJ70" s="65"/>
      <c r="AK70" s="65"/>
      <c r="AL70" s="65"/>
      <c r="AM70" s="65"/>
      <c r="AN70" s="65"/>
      <c r="AO70" s="65"/>
      <c r="AP70" s="65"/>
      <c r="AQ70" s="65"/>
      <c r="AR70" s="65"/>
      <c r="AS70" s="27"/>
      <c r="AT70" s="27"/>
      <c r="AU70" s="65"/>
      <c r="AV70" s="27"/>
      <c r="AW70" s="27"/>
    </row>
    <row r="71" spans="3:49" ht="18.75">
      <c r="C71" s="91"/>
      <c r="D71" s="27"/>
      <c r="E71" s="27"/>
      <c r="F71" s="65"/>
      <c r="G71" s="27"/>
      <c r="H71" s="27"/>
      <c r="I71" s="65"/>
      <c r="J71" s="27"/>
      <c r="K71" s="27"/>
      <c r="L71" s="65"/>
      <c r="M71" s="65"/>
      <c r="N71" s="65"/>
      <c r="O71" s="65"/>
      <c r="P71" s="27"/>
      <c r="Q71" s="27"/>
      <c r="R71" s="65"/>
      <c r="S71" s="27"/>
      <c r="T71" s="27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65"/>
      <c r="AH71" s="65"/>
      <c r="AI71" s="65"/>
      <c r="AJ71" s="65"/>
      <c r="AK71" s="65"/>
      <c r="AL71" s="65"/>
      <c r="AM71" s="65"/>
      <c r="AN71" s="65"/>
      <c r="AO71" s="65"/>
      <c r="AP71" s="65"/>
      <c r="AQ71" s="65"/>
      <c r="AR71" s="65"/>
      <c r="AS71" s="27"/>
      <c r="AT71" s="27"/>
      <c r="AU71" s="65"/>
      <c r="AV71" s="27"/>
      <c r="AW71" s="27"/>
    </row>
    <row r="72" spans="3:49" ht="18.75">
      <c r="C72" s="91"/>
      <c r="D72" s="27"/>
      <c r="E72" s="27"/>
      <c r="F72" s="65"/>
      <c r="G72" s="27"/>
      <c r="H72" s="27"/>
      <c r="I72" s="65"/>
      <c r="J72" s="27"/>
      <c r="K72" s="27"/>
      <c r="L72" s="65"/>
      <c r="M72" s="65"/>
      <c r="N72" s="65"/>
      <c r="O72" s="65"/>
      <c r="P72" s="27"/>
      <c r="Q72" s="27"/>
      <c r="R72" s="65"/>
      <c r="S72" s="27"/>
      <c r="T72" s="27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  <c r="AG72" s="65"/>
      <c r="AH72" s="65"/>
      <c r="AI72" s="65"/>
      <c r="AJ72" s="65"/>
      <c r="AK72" s="65"/>
      <c r="AL72" s="65"/>
      <c r="AM72" s="65"/>
      <c r="AN72" s="65"/>
      <c r="AO72" s="65"/>
      <c r="AP72" s="65"/>
      <c r="AQ72" s="65"/>
      <c r="AR72" s="65"/>
      <c r="AS72" s="27"/>
      <c r="AT72" s="27"/>
      <c r="AU72" s="65"/>
      <c r="AV72" s="27"/>
      <c r="AW72" s="27"/>
    </row>
    <row r="73" spans="3:49" ht="18.75">
      <c r="C73" s="91"/>
      <c r="D73" s="27"/>
      <c r="E73" s="27"/>
      <c r="F73" s="65"/>
      <c r="G73" s="27"/>
      <c r="H73" s="27"/>
      <c r="I73" s="65"/>
      <c r="J73" s="27"/>
      <c r="K73" s="27"/>
      <c r="L73" s="65"/>
      <c r="M73" s="65"/>
      <c r="N73" s="65"/>
      <c r="O73" s="65"/>
      <c r="P73" s="27"/>
      <c r="Q73" s="27"/>
      <c r="R73" s="65"/>
      <c r="S73" s="27"/>
      <c r="T73" s="27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5"/>
      <c r="AG73" s="65"/>
      <c r="AH73" s="65"/>
      <c r="AI73" s="65"/>
      <c r="AJ73" s="65"/>
      <c r="AK73" s="65"/>
      <c r="AL73" s="65"/>
      <c r="AM73" s="65"/>
      <c r="AN73" s="65"/>
      <c r="AO73" s="65"/>
      <c r="AP73" s="65"/>
      <c r="AQ73" s="65"/>
      <c r="AR73" s="65"/>
      <c r="AS73" s="27"/>
      <c r="AT73" s="27"/>
      <c r="AU73" s="65"/>
      <c r="AV73" s="27"/>
      <c r="AW73" s="27"/>
    </row>
    <row r="74" spans="3:49" ht="18.75">
      <c r="C74" s="91"/>
      <c r="D74" s="27"/>
      <c r="E74" s="27"/>
      <c r="F74" s="65"/>
      <c r="G74" s="27"/>
      <c r="H74" s="27"/>
      <c r="I74" s="65"/>
      <c r="J74" s="27"/>
      <c r="K74" s="27"/>
      <c r="L74" s="65"/>
      <c r="M74" s="65"/>
      <c r="N74" s="65"/>
      <c r="O74" s="65"/>
      <c r="P74" s="27"/>
      <c r="Q74" s="27"/>
      <c r="R74" s="65"/>
      <c r="S74" s="27"/>
      <c r="T74" s="27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5"/>
      <c r="AH74" s="65"/>
      <c r="AI74" s="65"/>
      <c r="AJ74" s="65"/>
      <c r="AK74" s="65"/>
      <c r="AL74" s="65"/>
      <c r="AM74" s="65"/>
      <c r="AN74" s="65"/>
      <c r="AO74" s="65"/>
      <c r="AP74" s="65"/>
      <c r="AQ74" s="65"/>
      <c r="AR74" s="65"/>
      <c r="AS74" s="27"/>
      <c r="AT74" s="27"/>
      <c r="AU74" s="65"/>
      <c r="AV74" s="27"/>
      <c r="AW74" s="27"/>
    </row>
    <row r="75" spans="3:49" ht="18.75">
      <c r="C75" s="91"/>
      <c r="D75" s="27"/>
      <c r="E75" s="27"/>
      <c r="F75" s="65"/>
      <c r="G75" s="27"/>
      <c r="H75" s="27"/>
      <c r="I75" s="65"/>
      <c r="J75" s="27"/>
      <c r="K75" s="27"/>
      <c r="L75" s="65"/>
      <c r="M75" s="65"/>
      <c r="N75" s="65"/>
      <c r="O75" s="65"/>
      <c r="P75" s="27"/>
      <c r="Q75" s="27"/>
      <c r="R75" s="65"/>
      <c r="S75" s="27"/>
      <c r="T75" s="27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  <c r="AM75" s="65"/>
      <c r="AN75" s="65"/>
      <c r="AO75" s="65"/>
      <c r="AP75" s="65"/>
      <c r="AQ75" s="65"/>
      <c r="AR75" s="65"/>
      <c r="AS75" s="27"/>
      <c r="AT75" s="27"/>
      <c r="AU75" s="65"/>
      <c r="AV75" s="27"/>
      <c r="AW75" s="27"/>
    </row>
    <row r="76" spans="3:49" ht="18.75">
      <c r="C76" s="91"/>
      <c r="D76" s="27"/>
      <c r="E76" s="27"/>
      <c r="F76" s="65"/>
      <c r="G76" s="27"/>
      <c r="H76" s="27"/>
      <c r="I76" s="65"/>
      <c r="J76" s="27"/>
      <c r="K76" s="27"/>
      <c r="L76" s="65"/>
      <c r="M76" s="65"/>
      <c r="N76" s="65"/>
      <c r="O76" s="65"/>
      <c r="P76" s="27"/>
      <c r="Q76" s="27"/>
      <c r="R76" s="65"/>
      <c r="S76" s="27"/>
      <c r="T76" s="27"/>
      <c r="U76" s="65"/>
      <c r="V76" s="65"/>
      <c r="W76" s="65"/>
      <c r="X76" s="65"/>
      <c r="Y76" s="65"/>
      <c r="Z76" s="65"/>
      <c r="AA76" s="65"/>
      <c r="AB76" s="65"/>
      <c r="AC76" s="65"/>
      <c r="AD76" s="65"/>
      <c r="AE76" s="65"/>
      <c r="AF76" s="65"/>
      <c r="AG76" s="65"/>
      <c r="AH76" s="65"/>
      <c r="AI76" s="65"/>
      <c r="AJ76" s="65"/>
      <c r="AK76" s="65"/>
      <c r="AL76" s="65"/>
      <c r="AM76" s="65"/>
      <c r="AN76" s="65"/>
      <c r="AO76" s="65"/>
      <c r="AP76" s="65"/>
      <c r="AQ76" s="65"/>
      <c r="AR76" s="65"/>
      <c r="AS76" s="27"/>
      <c r="AT76" s="27"/>
      <c r="AU76" s="65"/>
      <c r="AV76" s="27"/>
      <c r="AW76" s="27"/>
    </row>
    <row r="77" spans="3:49" ht="18.75">
      <c r="C77" s="91"/>
      <c r="D77" s="27"/>
      <c r="E77" s="27"/>
      <c r="F77" s="65"/>
      <c r="G77" s="27"/>
      <c r="H77" s="27"/>
      <c r="I77" s="65"/>
      <c r="J77" s="27"/>
      <c r="K77" s="27"/>
      <c r="L77" s="65"/>
      <c r="M77" s="65"/>
      <c r="N77" s="65"/>
      <c r="O77" s="65"/>
      <c r="P77" s="27"/>
      <c r="Q77" s="27"/>
      <c r="R77" s="65"/>
      <c r="S77" s="27"/>
      <c r="T77" s="27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5"/>
      <c r="AR77" s="65"/>
      <c r="AS77" s="27"/>
      <c r="AT77" s="27"/>
      <c r="AU77" s="65"/>
      <c r="AV77" s="27"/>
      <c r="AW77" s="27"/>
    </row>
    <row r="78" spans="3:49" ht="18.75">
      <c r="C78" s="91"/>
      <c r="D78" s="27"/>
      <c r="E78" s="27"/>
      <c r="F78" s="65"/>
      <c r="G78" s="27"/>
      <c r="H78" s="27"/>
      <c r="I78" s="65"/>
      <c r="J78" s="27"/>
      <c r="K78" s="27"/>
      <c r="L78" s="65"/>
      <c r="M78" s="65"/>
      <c r="N78" s="65"/>
      <c r="O78" s="65"/>
      <c r="P78" s="27"/>
      <c r="Q78" s="27"/>
      <c r="R78" s="65"/>
      <c r="S78" s="27"/>
      <c r="T78" s="27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5"/>
      <c r="AG78" s="65"/>
      <c r="AH78" s="65"/>
      <c r="AI78" s="65"/>
      <c r="AJ78" s="65"/>
      <c r="AK78" s="65"/>
      <c r="AL78" s="65"/>
      <c r="AM78" s="65"/>
      <c r="AN78" s="65"/>
      <c r="AO78" s="65"/>
      <c r="AP78" s="65"/>
      <c r="AQ78" s="65"/>
      <c r="AR78" s="65"/>
      <c r="AS78" s="27"/>
      <c r="AT78" s="27"/>
      <c r="AU78" s="65"/>
      <c r="AV78" s="27"/>
      <c r="AW78" s="27"/>
    </row>
    <row r="79" spans="3:49" ht="18.75">
      <c r="C79" s="91"/>
      <c r="D79" s="27"/>
      <c r="E79" s="27"/>
      <c r="F79" s="65"/>
      <c r="G79" s="27"/>
      <c r="H79" s="27"/>
      <c r="I79" s="65"/>
      <c r="J79" s="27"/>
      <c r="K79" s="27"/>
      <c r="L79" s="65"/>
      <c r="M79" s="65"/>
      <c r="N79" s="65"/>
      <c r="O79" s="65"/>
      <c r="P79" s="27"/>
      <c r="Q79" s="27"/>
      <c r="R79" s="65"/>
      <c r="S79" s="27"/>
      <c r="T79" s="27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65"/>
      <c r="AG79" s="65"/>
      <c r="AH79" s="65"/>
      <c r="AI79" s="65"/>
      <c r="AJ79" s="65"/>
      <c r="AK79" s="65"/>
      <c r="AL79" s="65"/>
      <c r="AM79" s="65"/>
      <c r="AN79" s="65"/>
      <c r="AO79" s="65"/>
      <c r="AP79" s="65"/>
      <c r="AQ79" s="65"/>
      <c r="AR79" s="65"/>
      <c r="AS79" s="27"/>
      <c r="AT79" s="27"/>
      <c r="AU79" s="65"/>
      <c r="AV79" s="27"/>
      <c r="AW79" s="27"/>
    </row>
    <row r="80" spans="3:49" ht="18.75">
      <c r="C80" s="91"/>
      <c r="D80" s="27"/>
      <c r="E80" s="27"/>
      <c r="F80" s="65"/>
      <c r="G80" s="27"/>
      <c r="H80" s="27"/>
      <c r="I80" s="65"/>
      <c r="J80" s="27"/>
      <c r="K80" s="27"/>
      <c r="L80" s="65"/>
      <c r="M80" s="65"/>
      <c r="N80" s="65"/>
      <c r="O80" s="65"/>
      <c r="P80" s="27"/>
      <c r="Q80" s="27"/>
      <c r="R80" s="65"/>
      <c r="S80" s="27"/>
      <c r="T80" s="27"/>
      <c r="U80" s="65"/>
      <c r="V80" s="65"/>
      <c r="W80" s="65"/>
      <c r="X80" s="65"/>
      <c r="Y80" s="65"/>
      <c r="Z80" s="65"/>
      <c r="AA80" s="65"/>
      <c r="AB80" s="65"/>
      <c r="AC80" s="65"/>
      <c r="AD80" s="65"/>
      <c r="AE80" s="65"/>
      <c r="AF80" s="65"/>
      <c r="AG80" s="65"/>
      <c r="AH80" s="65"/>
      <c r="AI80" s="65"/>
      <c r="AJ80" s="65"/>
      <c r="AK80" s="65"/>
      <c r="AL80" s="65"/>
      <c r="AM80" s="65"/>
      <c r="AN80" s="65"/>
      <c r="AO80" s="65"/>
      <c r="AP80" s="65"/>
      <c r="AQ80" s="65"/>
      <c r="AR80" s="65"/>
      <c r="AS80" s="27"/>
      <c r="AT80" s="27"/>
      <c r="AU80" s="65"/>
      <c r="AV80" s="27"/>
      <c r="AW80" s="27"/>
    </row>
    <row r="81" spans="3:49" ht="18.75">
      <c r="C81" s="91"/>
      <c r="D81" s="27"/>
      <c r="E81" s="27"/>
      <c r="F81" s="65"/>
      <c r="G81" s="27"/>
      <c r="H81" s="27"/>
      <c r="I81" s="65"/>
      <c r="J81" s="27"/>
      <c r="K81" s="27"/>
      <c r="L81" s="65"/>
      <c r="M81" s="65"/>
      <c r="N81" s="65"/>
      <c r="O81" s="65"/>
      <c r="P81" s="27"/>
      <c r="Q81" s="27"/>
      <c r="R81" s="65"/>
      <c r="S81" s="27"/>
      <c r="T81" s="27"/>
      <c r="U81" s="65"/>
      <c r="V81" s="65"/>
      <c r="W81" s="65"/>
      <c r="X81" s="65"/>
      <c r="Y81" s="65"/>
      <c r="Z81" s="65"/>
      <c r="AA81" s="65"/>
      <c r="AB81" s="65"/>
      <c r="AC81" s="65"/>
      <c r="AD81" s="65"/>
      <c r="AE81" s="65"/>
      <c r="AF81" s="65"/>
      <c r="AG81" s="65"/>
      <c r="AH81" s="65"/>
      <c r="AI81" s="65"/>
      <c r="AJ81" s="65"/>
      <c r="AK81" s="65"/>
      <c r="AL81" s="65"/>
      <c r="AM81" s="65"/>
      <c r="AN81" s="65"/>
      <c r="AO81" s="65"/>
      <c r="AP81" s="65"/>
      <c r="AQ81" s="65"/>
      <c r="AR81" s="65"/>
      <c r="AS81" s="27"/>
      <c r="AT81" s="27"/>
      <c r="AU81" s="65"/>
      <c r="AV81" s="27"/>
      <c r="AW81" s="27"/>
    </row>
    <row r="82" spans="3:49" ht="18.75">
      <c r="C82" s="91"/>
      <c r="D82" s="27"/>
      <c r="E82" s="27"/>
      <c r="F82" s="65"/>
      <c r="G82" s="27"/>
      <c r="H82" s="27"/>
      <c r="I82" s="65"/>
      <c r="J82" s="27"/>
      <c r="K82" s="27"/>
      <c r="L82" s="65"/>
      <c r="M82" s="65"/>
      <c r="N82" s="65"/>
      <c r="O82" s="65"/>
      <c r="P82" s="27"/>
      <c r="Q82" s="27"/>
      <c r="R82" s="65"/>
      <c r="S82" s="27"/>
      <c r="T82" s="27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5"/>
      <c r="AI82" s="65"/>
      <c r="AJ82" s="65"/>
      <c r="AK82" s="65"/>
      <c r="AL82" s="65"/>
      <c r="AM82" s="65"/>
      <c r="AN82" s="65"/>
      <c r="AO82" s="65"/>
      <c r="AP82" s="65"/>
      <c r="AQ82" s="65"/>
      <c r="AR82" s="65"/>
      <c r="AS82" s="27"/>
      <c r="AT82" s="27"/>
      <c r="AU82" s="65"/>
      <c r="AV82" s="27"/>
      <c r="AW82" s="27"/>
    </row>
    <row r="83" spans="3:49" ht="18.75">
      <c r="C83" s="91"/>
      <c r="D83" s="27"/>
      <c r="E83" s="27"/>
      <c r="F83" s="65"/>
      <c r="G83" s="27"/>
      <c r="H83" s="27"/>
      <c r="I83" s="65"/>
      <c r="J83" s="27"/>
      <c r="K83" s="27"/>
      <c r="L83" s="65"/>
      <c r="M83" s="65"/>
      <c r="N83" s="65"/>
      <c r="O83" s="65"/>
      <c r="P83" s="27"/>
      <c r="Q83" s="27"/>
      <c r="R83" s="65"/>
      <c r="S83" s="27"/>
      <c r="T83" s="27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5"/>
      <c r="AL83" s="65"/>
      <c r="AM83" s="65"/>
      <c r="AN83" s="65"/>
      <c r="AO83" s="65"/>
      <c r="AP83" s="65"/>
      <c r="AQ83" s="65"/>
      <c r="AR83" s="65"/>
      <c r="AS83" s="27"/>
      <c r="AT83" s="27"/>
      <c r="AU83" s="65"/>
      <c r="AV83" s="27"/>
      <c r="AW83" s="27"/>
    </row>
    <row r="84" spans="3:49" ht="18.75">
      <c r="C84" s="91"/>
      <c r="D84" s="27"/>
      <c r="E84" s="27"/>
      <c r="F84" s="65"/>
      <c r="G84" s="27"/>
      <c r="H84" s="27"/>
      <c r="I84" s="65"/>
      <c r="J84" s="27"/>
      <c r="K84" s="27"/>
      <c r="L84" s="65"/>
      <c r="M84" s="65"/>
      <c r="N84" s="65"/>
      <c r="O84" s="65"/>
      <c r="P84" s="27"/>
      <c r="Q84" s="27"/>
      <c r="R84" s="65"/>
      <c r="S84" s="27"/>
      <c r="T84" s="27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  <c r="AM84" s="65"/>
      <c r="AN84" s="65"/>
      <c r="AO84" s="65"/>
      <c r="AP84" s="65"/>
      <c r="AQ84" s="65"/>
      <c r="AR84" s="65"/>
      <c r="AS84" s="27"/>
      <c r="AT84" s="27"/>
      <c r="AU84" s="65"/>
      <c r="AV84" s="27"/>
      <c r="AW84" s="27"/>
    </row>
    <row r="85" spans="3:49" ht="18.75">
      <c r="C85" s="91"/>
      <c r="D85" s="27"/>
      <c r="E85" s="27"/>
      <c r="F85" s="65"/>
      <c r="G85" s="27"/>
      <c r="H85" s="27"/>
      <c r="I85" s="65"/>
      <c r="J85" s="27"/>
      <c r="K85" s="27"/>
      <c r="L85" s="65"/>
      <c r="M85" s="65"/>
      <c r="N85" s="65"/>
      <c r="O85" s="65"/>
      <c r="P85" s="27"/>
      <c r="Q85" s="27"/>
      <c r="R85" s="65"/>
      <c r="S85" s="27"/>
      <c r="T85" s="27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5"/>
      <c r="AL85" s="65"/>
      <c r="AM85" s="65"/>
      <c r="AN85" s="65"/>
      <c r="AO85" s="65"/>
      <c r="AP85" s="65"/>
      <c r="AQ85" s="65"/>
      <c r="AR85" s="65"/>
      <c r="AS85" s="27"/>
      <c r="AT85" s="27"/>
      <c r="AU85" s="65"/>
      <c r="AV85" s="27"/>
      <c r="AW85" s="27"/>
    </row>
    <row r="86" spans="3:49" ht="18.75">
      <c r="C86" s="91"/>
      <c r="D86" s="27"/>
      <c r="E86" s="27"/>
      <c r="F86" s="65"/>
      <c r="G86" s="27"/>
      <c r="H86" s="27"/>
      <c r="I86" s="65"/>
      <c r="J86" s="27"/>
      <c r="K86" s="27"/>
      <c r="L86" s="65"/>
      <c r="M86" s="65"/>
      <c r="N86" s="65"/>
      <c r="O86" s="65"/>
      <c r="P86" s="27"/>
      <c r="Q86" s="27"/>
      <c r="R86" s="65"/>
      <c r="S86" s="27"/>
      <c r="T86" s="27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5"/>
      <c r="AL86" s="65"/>
      <c r="AM86" s="65"/>
      <c r="AN86" s="65"/>
      <c r="AO86" s="65"/>
      <c r="AP86" s="65"/>
      <c r="AQ86" s="65"/>
      <c r="AR86" s="65"/>
      <c r="AS86" s="27"/>
      <c r="AT86" s="27"/>
      <c r="AU86" s="65"/>
      <c r="AV86" s="27"/>
      <c r="AW86" s="27"/>
    </row>
    <row r="87" spans="3:49" ht="18.75">
      <c r="C87" s="91"/>
      <c r="D87" s="27"/>
      <c r="E87" s="27"/>
      <c r="F87" s="65"/>
      <c r="G87" s="27"/>
      <c r="H87" s="27"/>
      <c r="I87" s="65"/>
      <c r="J87" s="27"/>
      <c r="K87" s="27"/>
      <c r="L87" s="65"/>
      <c r="M87" s="65"/>
      <c r="N87" s="65"/>
      <c r="O87" s="65"/>
      <c r="P87" s="27"/>
      <c r="Q87" s="27"/>
      <c r="R87" s="65"/>
      <c r="S87" s="27"/>
      <c r="T87" s="27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  <c r="AG87" s="65"/>
      <c r="AH87" s="65"/>
      <c r="AI87" s="65"/>
      <c r="AJ87" s="65"/>
      <c r="AK87" s="65"/>
      <c r="AL87" s="65"/>
      <c r="AM87" s="65"/>
      <c r="AN87" s="65"/>
      <c r="AO87" s="65"/>
      <c r="AP87" s="65"/>
      <c r="AQ87" s="65"/>
      <c r="AR87" s="65"/>
      <c r="AS87" s="27"/>
      <c r="AT87" s="27"/>
      <c r="AU87" s="65"/>
      <c r="AV87" s="27"/>
      <c r="AW87" s="27"/>
    </row>
    <row r="88" spans="3:49" ht="18.75">
      <c r="C88" s="91"/>
      <c r="D88" s="27"/>
      <c r="E88" s="27"/>
      <c r="F88" s="65"/>
      <c r="G88" s="27"/>
      <c r="H88" s="27"/>
      <c r="I88" s="65"/>
      <c r="J88" s="27"/>
      <c r="K88" s="27"/>
      <c r="L88" s="65"/>
      <c r="M88" s="65"/>
      <c r="N88" s="65"/>
      <c r="O88" s="65"/>
      <c r="P88" s="27"/>
      <c r="Q88" s="27"/>
      <c r="R88" s="65"/>
      <c r="S88" s="27"/>
      <c r="T88" s="27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65"/>
      <c r="AF88" s="65"/>
      <c r="AG88" s="65"/>
      <c r="AH88" s="65"/>
      <c r="AI88" s="65"/>
      <c r="AJ88" s="65"/>
      <c r="AK88" s="65"/>
      <c r="AL88" s="65"/>
      <c r="AM88" s="65"/>
      <c r="AN88" s="65"/>
      <c r="AO88" s="65"/>
      <c r="AP88" s="65"/>
      <c r="AQ88" s="65"/>
      <c r="AR88" s="65"/>
      <c r="AS88" s="27"/>
      <c r="AT88" s="27"/>
      <c r="AU88" s="65"/>
      <c r="AV88" s="27"/>
      <c r="AW88" s="27"/>
    </row>
    <row r="89" spans="3:49" ht="18.75">
      <c r="C89" s="91"/>
      <c r="D89" s="27"/>
      <c r="E89" s="27"/>
      <c r="F89" s="65"/>
      <c r="G89" s="27"/>
      <c r="H89" s="27"/>
      <c r="I89" s="65"/>
      <c r="J89" s="27"/>
      <c r="K89" s="27"/>
      <c r="L89" s="65"/>
      <c r="M89" s="65"/>
      <c r="N89" s="65"/>
      <c r="O89" s="65"/>
      <c r="P89" s="27"/>
      <c r="Q89" s="27"/>
      <c r="R89" s="65"/>
      <c r="S89" s="27"/>
      <c r="T89" s="27"/>
      <c r="U89" s="65"/>
      <c r="V89" s="65"/>
      <c r="W89" s="65"/>
      <c r="X89" s="65"/>
      <c r="Y89" s="65"/>
      <c r="Z89" s="65"/>
      <c r="AA89" s="65"/>
      <c r="AB89" s="65"/>
      <c r="AC89" s="65"/>
      <c r="AD89" s="65"/>
      <c r="AE89" s="65"/>
      <c r="AF89" s="65"/>
      <c r="AG89" s="65"/>
      <c r="AH89" s="65"/>
      <c r="AI89" s="65"/>
      <c r="AJ89" s="65"/>
      <c r="AK89" s="65"/>
      <c r="AL89" s="65"/>
      <c r="AM89" s="65"/>
      <c r="AN89" s="65"/>
      <c r="AO89" s="65"/>
      <c r="AP89" s="65"/>
      <c r="AQ89" s="65"/>
      <c r="AR89" s="65"/>
      <c r="AS89" s="27"/>
      <c r="AT89" s="27"/>
      <c r="AU89" s="65"/>
      <c r="AV89" s="27"/>
      <c r="AW89" s="27"/>
    </row>
    <row r="90" spans="3:49" ht="18.75">
      <c r="C90" s="91"/>
      <c r="D90" s="27"/>
      <c r="E90" s="27"/>
      <c r="F90" s="65"/>
      <c r="G90" s="27"/>
      <c r="H90" s="27"/>
      <c r="I90" s="65"/>
      <c r="J90" s="27"/>
      <c r="K90" s="27"/>
      <c r="L90" s="65"/>
      <c r="M90" s="65"/>
      <c r="N90" s="65"/>
      <c r="O90" s="65"/>
      <c r="P90" s="27"/>
      <c r="Q90" s="27"/>
      <c r="R90" s="65"/>
      <c r="S90" s="27"/>
      <c r="T90" s="27"/>
      <c r="U90" s="65"/>
      <c r="V90" s="65"/>
      <c r="W90" s="65"/>
      <c r="X90" s="65"/>
      <c r="Y90" s="65"/>
      <c r="Z90" s="65"/>
      <c r="AA90" s="65"/>
      <c r="AB90" s="65"/>
      <c r="AC90" s="65"/>
      <c r="AD90" s="65"/>
      <c r="AE90" s="65"/>
      <c r="AF90" s="65"/>
      <c r="AG90" s="65"/>
      <c r="AH90" s="65"/>
      <c r="AI90" s="65"/>
      <c r="AJ90" s="65"/>
      <c r="AK90" s="65"/>
      <c r="AL90" s="65"/>
      <c r="AM90" s="65"/>
      <c r="AN90" s="65"/>
      <c r="AO90" s="65"/>
      <c r="AP90" s="65"/>
      <c r="AQ90" s="65"/>
      <c r="AR90" s="65"/>
      <c r="AS90" s="27"/>
      <c r="AT90" s="27"/>
      <c r="AU90" s="65"/>
      <c r="AV90" s="27"/>
      <c r="AW90" s="27"/>
    </row>
    <row r="91" spans="3:49" ht="18.75">
      <c r="C91" s="91"/>
      <c r="D91" s="27"/>
      <c r="E91" s="27"/>
      <c r="F91" s="65"/>
      <c r="G91" s="27"/>
      <c r="H91" s="27"/>
      <c r="I91" s="65"/>
      <c r="J91" s="27"/>
      <c r="K91" s="27"/>
      <c r="L91" s="65"/>
      <c r="M91" s="65"/>
      <c r="N91" s="65"/>
      <c r="O91" s="65"/>
      <c r="P91" s="27"/>
      <c r="Q91" s="27"/>
      <c r="R91" s="65"/>
      <c r="S91" s="27"/>
      <c r="T91" s="27"/>
      <c r="U91" s="65"/>
      <c r="V91" s="65"/>
      <c r="W91" s="65"/>
      <c r="X91" s="65"/>
      <c r="Y91" s="65"/>
      <c r="Z91" s="65"/>
      <c r="AA91" s="65"/>
      <c r="AB91" s="65"/>
      <c r="AC91" s="65"/>
      <c r="AD91" s="65"/>
      <c r="AE91" s="65"/>
      <c r="AF91" s="65"/>
      <c r="AG91" s="65"/>
      <c r="AH91" s="65"/>
      <c r="AI91" s="65"/>
      <c r="AJ91" s="65"/>
      <c r="AK91" s="65"/>
      <c r="AL91" s="65"/>
      <c r="AM91" s="65"/>
      <c r="AN91" s="65"/>
      <c r="AO91" s="65"/>
      <c r="AP91" s="65"/>
      <c r="AQ91" s="65"/>
      <c r="AR91" s="65"/>
      <c r="AS91" s="27"/>
      <c r="AT91" s="27"/>
      <c r="AU91" s="65"/>
      <c r="AV91" s="27"/>
      <c r="AW91" s="27"/>
    </row>
    <row r="92" spans="3:49" ht="18.75">
      <c r="C92" s="91"/>
      <c r="D92" s="27"/>
      <c r="E92" s="27"/>
      <c r="F92" s="65"/>
      <c r="G92" s="27"/>
      <c r="H92" s="27"/>
      <c r="I92" s="65"/>
      <c r="J92" s="27"/>
      <c r="K92" s="27"/>
      <c r="L92" s="65"/>
      <c r="M92" s="65"/>
      <c r="N92" s="65"/>
      <c r="O92" s="65"/>
      <c r="P92" s="27"/>
      <c r="Q92" s="27"/>
      <c r="R92" s="65"/>
      <c r="S92" s="27"/>
      <c r="T92" s="27"/>
      <c r="U92" s="65"/>
      <c r="V92" s="65"/>
      <c r="W92" s="65"/>
      <c r="X92" s="65"/>
      <c r="Y92" s="65"/>
      <c r="Z92" s="65"/>
      <c r="AA92" s="65"/>
      <c r="AB92" s="65"/>
      <c r="AC92" s="65"/>
      <c r="AD92" s="65"/>
      <c r="AE92" s="65"/>
      <c r="AF92" s="65"/>
      <c r="AG92" s="65"/>
      <c r="AH92" s="65"/>
      <c r="AI92" s="65"/>
      <c r="AJ92" s="65"/>
      <c r="AK92" s="65"/>
      <c r="AL92" s="65"/>
      <c r="AM92" s="65"/>
      <c r="AN92" s="65"/>
      <c r="AO92" s="65"/>
      <c r="AP92" s="65"/>
      <c r="AQ92" s="65"/>
      <c r="AR92" s="65"/>
      <c r="AS92" s="27"/>
      <c r="AT92" s="27"/>
      <c r="AU92" s="65"/>
      <c r="AV92" s="27"/>
      <c r="AW92" s="27"/>
    </row>
    <row r="93" spans="3:49" ht="18.75">
      <c r="C93" s="91"/>
      <c r="D93" s="27"/>
      <c r="E93" s="27"/>
      <c r="F93" s="65"/>
      <c r="G93" s="27"/>
      <c r="H93" s="27"/>
      <c r="I93" s="65"/>
      <c r="J93" s="27"/>
      <c r="K93" s="27"/>
      <c r="L93" s="65"/>
      <c r="M93" s="65"/>
      <c r="N93" s="65"/>
      <c r="O93" s="65"/>
      <c r="P93" s="27"/>
      <c r="Q93" s="27"/>
      <c r="R93" s="65"/>
      <c r="S93" s="27"/>
      <c r="T93" s="27"/>
      <c r="U93" s="65"/>
      <c r="V93" s="65"/>
      <c r="W93" s="65"/>
      <c r="X93" s="65"/>
      <c r="Y93" s="65"/>
      <c r="Z93" s="65"/>
      <c r="AA93" s="65"/>
      <c r="AB93" s="65"/>
      <c r="AC93" s="65"/>
      <c r="AD93" s="65"/>
      <c r="AE93" s="65"/>
      <c r="AF93" s="65"/>
      <c r="AG93" s="65"/>
      <c r="AH93" s="65"/>
      <c r="AI93" s="65"/>
      <c r="AJ93" s="65"/>
      <c r="AK93" s="65"/>
      <c r="AL93" s="65"/>
      <c r="AM93" s="65"/>
      <c r="AN93" s="65"/>
      <c r="AO93" s="65"/>
      <c r="AP93" s="65"/>
      <c r="AQ93" s="65"/>
      <c r="AR93" s="65"/>
      <c r="AS93" s="27"/>
      <c r="AT93" s="27"/>
      <c r="AU93" s="65"/>
      <c r="AV93" s="27"/>
      <c r="AW93" s="27"/>
    </row>
    <row r="94" spans="3:49" ht="18.75">
      <c r="C94" s="91"/>
      <c r="D94" s="27"/>
      <c r="E94" s="27"/>
      <c r="F94" s="65"/>
      <c r="G94" s="27"/>
      <c r="H94" s="27"/>
      <c r="I94" s="65"/>
      <c r="J94" s="27"/>
      <c r="K94" s="27"/>
      <c r="L94" s="65"/>
      <c r="M94" s="65"/>
      <c r="N94" s="65"/>
      <c r="O94" s="65"/>
      <c r="P94" s="27"/>
      <c r="Q94" s="27"/>
      <c r="R94" s="65"/>
      <c r="S94" s="27"/>
      <c r="T94" s="27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/>
      <c r="AF94" s="65"/>
      <c r="AG94" s="65"/>
      <c r="AH94" s="65"/>
      <c r="AI94" s="65"/>
      <c r="AJ94" s="65"/>
      <c r="AK94" s="65"/>
      <c r="AL94" s="65"/>
      <c r="AM94" s="65"/>
      <c r="AN94" s="65"/>
      <c r="AO94" s="65"/>
      <c r="AP94" s="65"/>
      <c r="AQ94" s="65"/>
      <c r="AR94" s="65"/>
      <c r="AS94" s="27"/>
      <c r="AT94" s="27"/>
      <c r="AU94" s="65"/>
      <c r="AV94" s="27"/>
      <c r="AW94" s="27"/>
    </row>
    <row r="95" spans="3:49" ht="18.75">
      <c r="C95" s="91"/>
      <c r="D95" s="27"/>
      <c r="E95" s="27"/>
      <c r="F95" s="65"/>
      <c r="G95" s="27"/>
      <c r="H95" s="27"/>
      <c r="I95" s="65"/>
      <c r="J95" s="27"/>
      <c r="K95" s="27"/>
      <c r="L95" s="65"/>
      <c r="M95" s="65"/>
      <c r="N95" s="65"/>
      <c r="O95" s="65"/>
      <c r="P95" s="27"/>
      <c r="Q95" s="27"/>
      <c r="R95" s="65"/>
      <c r="S95" s="27"/>
      <c r="T95" s="27"/>
      <c r="U95" s="65"/>
      <c r="V95" s="65"/>
      <c r="W95" s="65"/>
      <c r="X95" s="65"/>
      <c r="Y95" s="65"/>
      <c r="Z95" s="65"/>
      <c r="AA95" s="65"/>
      <c r="AB95" s="65"/>
      <c r="AC95" s="65"/>
      <c r="AD95" s="65"/>
      <c r="AE95" s="65"/>
      <c r="AF95" s="65"/>
      <c r="AG95" s="65"/>
      <c r="AH95" s="65"/>
      <c r="AI95" s="65"/>
      <c r="AJ95" s="65"/>
      <c r="AK95" s="65"/>
      <c r="AL95" s="65"/>
      <c r="AM95" s="65"/>
      <c r="AN95" s="65"/>
      <c r="AO95" s="65"/>
      <c r="AP95" s="65"/>
      <c r="AQ95" s="65"/>
      <c r="AR95" s="65"/>
      <c r="AS95" s="27"/>
      <c r="AT95" s="27"/>
      <c r="AU95" s="65"/>
      <c r="AV95" s="27"/>
      <c r="AW95" s="27"/>
    </row>
    <row r="96" spans="3:49" ht="18.75">
      <c r="C96" s="91"/>
      <c r="D96" s="27"/>
      <c r="E96" s="27"/>
      <c r="F96" s="65"/>
      <c r="G96" s="27"/>
      <c r="H96" s="27"/>
      <c r="I96" s="65"/>
      <c r="J96" s="27"/>
      <c r="K96" s="27"/>
      <c r="L96" s="65"/>
      <c r="M96" s="65"/>
      <c r="N96" s="65"/>
      <c r="O96" s="65"/>
      <c r="P96" s="27"/>
      <c r="Q96" s="27"/>
      <c r="R96" s="65"/>
      <c r="S96" s="27"/>
      <c r="T96" s="27"/>
      <c r="U96" s="65"/>
      <c r="V96" s="65"/>
      <c r="W96" s="65"/>
      <c r="X96" s="65"/>
      <c r="Y96" s="65"/>
      <c r="Z96" s="65"/>
      <c r="AA96" s="65"/>
      <c r="AB96" s="65"/>
      <c r="AC96" s="65"/>
      <c r="AD96" s="65"/>
      <c r="AE96" s="65"/>
      <c r="AF96" s="65"/>
      <c r="AG96" s="65"/>
      <c r="AH96" s="65"/>
      <c r="AI96" s="65"/>
      <c r="AJ96" s="65"/>
      <c r="AK96" s="65"/>
      <c r="AL96" s="65"/>
      <c r="AM96" s="65"/>
      <c r="AN96" s="65"/>
      <c r="AO96" s="65"/>
      <c r="AP96" s="65"/>
      <c r="AQ96" s="65"/>
      <c r="AR96" s="65"/>
      <c r="AS96" s="27"/>
      <c r="AT96" s="27"/>
      <c r="AU96" s="65"/>
      <c r="AV96" s="27"/>
      <c r="AW96" s="27"/>
    </row>
    <row r="97" spans="3:49" ht="18.75">
      <c r="C97" s="91"/>
      <c r="D97" s="27"/>
      <c r="E97" s="27"/>
      <c r="F97" s="65"/>
      <c r="G97" s="27"/>
      <c r="H97" s="27"/>
      <c r="I97" s="65"/>
      <c r="J97" s="27"/>
      <c r="K97" s="27"/>
      <c r="L97" s="65"/>
      <c r="M97" s="65"/>
      <c r="N97" s="65"/>
      <c r="O97" s="65"/>
      <c r="P97" s="27"/>
      <c r="Q97" s="27"/>
      <c r="R97" s="65"/>
      <c r="S97" s="27"/>
      <c r="T97" s="27"/>
      <c r="U97" s="65"/>
      <c r="V97" s="65"/>
      <c r="W97" s="65"/>
      <c r="X97" s="65"/>
      <c r="Y97" s="65"/>
      <c r="Z97" s="65"/>
      <c r="AA97" s="65"/>
      <c r="AB97" s="65"/>
      <c r="AC97" s="65"/>
      <c r="AD97" s="65"/>
      <c r="AE97" s="65"/>
      <c r="AF97" s="65"/>
      <c r="AG97" s="65"/>
      <c r="AH97" s="65"/>
      <c r="AI97" s="65"/>
      <c r="AJ97" s="65"/>
      <c r="AK97" s="65"/>
      <c r="AL97" s="65"/>
      <c r="AM97" s="65"/>
      <c r="AN97" s="65"/>
      <c r="AO97" s="65"/>
      <c r="AP97" s="65"/>
      <c r="AQ97" s="65"/>
      <c r="AR97" s="65"/>
      <c r="AS97" s="27"/>
      <c r="AT97" s="27"/>
      <c r="AU97" s="65"/>
      <c r="AV97" s="27"/>
      <c r="AW97" s="27"/>
    </row>
    <row r="98" spans="3:49" ht="18.75">
      <c r="C98" s="91"/>
      <c r="D98" s="27"/>
      <c r="E98" s="27"/>
      <c r="F98" s="65"/>
      <c r="G98" s="27"/>
      <c r="H98" s="27"/>
      <c r="I98" s="65"/>
      <c r="J98" s="27"/>
      <c r="K98" s="27"/>
      <c r="L98" s="65"/>
      <c r="M98" s="65"/>
      <c r="N98" s="65"/>
      <c r="O98" s="65"/>
      <c r="P98" s="27"/>
      <c r="Q98" s="27"/>
      <c r="R98" s="65"/>
      <c r="S98" s="27"/>
      <c r="T98" s="27"/>
      <c r="U98" s="65"/>
      <c r="V98" s="65"/>
      <c r="W98" s="65"/>
      <c r="X98" s="65"/>
      <c r="Y98" s="65"/>
      <c r="Z98" s="65"/>
      <c r="AA98" s="65"/>
      <c r="AB98" s="65"/>
      <c r="AC98" s="65"/>
      <c r="AD98" s="65"/>
      <c r="AE98" s="65"/>
      <c r="AF98" s="65"/>
      <c r="AG98" s="65"/>
      <c r="AH98" s="65"/>
      <c r="AI98" s="65"/>
      <c r="AJ98" s="65"/>
      <c r="AK98" s="65"/>
      <c r="AL98" s="65"/>
      <c r="AM98" s="65"/>
      <c r="AN98" s="65"/>
      <c r="AO98" s="65"/>
      <c r="AP98" s="65"/>
      <c r="AQ98" s="65"/>
      <c r="AR98" s="65"/>
      <c r="AS98" s="27"/>
      <c r="AT98" s="27"/>
      <c r="AU98" s="65"/>
      <c r="AV98" s="27"/>
      <c r="AW98" s="27"/>
    </row>
    <row r="99" spans="3:49" ht="18.75">
      <c r="C99" s="91"/>
      <c r="D99" s="27"/>
      <c r="E99" s="27"/>
      <c r="F99" s="65"/>
      <c r="G99" s="27"/>
      <c r="H99" s="27"/>
      <c r="I99" s="65"/>
      <c r="J99" s="27"/>
      <c r="K99" s="27"/>
      <c r="L99" s="65"/>
      <c r="M99" s="65"/>
      <c r="N99" s="65"/>
      <c r="O99" s="65"/>
      <c r="P99" s="27"/>
      <c r="Q99" s="27"/>
      <c r="R99" s="65"/>
      <c r="S99" s="27"/>
      <c r="T99" s="27"/>
      <c r="U99" s="65"/>
      <c r="V99" s="65"/>
      <c r="W99" s="65"/>
      <c r="X99" s="65"/>
      <c r="Y99" s="65"/>
      <c r="Z99" s="65"/>
      <c r="AA99" s="65"/>
      <c r="AB99" s="65"/>
      <c r="AC99" s="65"/>
      <c r="AD99" s="65"/>
      <c r="AE99" s="65"/>
      <c r="AF99" s="65"/>
      <c r="AG99" s="65"/>
      <c r="AH99" s="65"/>
      <c r="AI99" s="65"/>
      <c r="AJ99" s="65"/>
      <c r="AK99" s="65"/>
      <c r="AL99" s="65"/>
      <c r="AM99" s="65"/>
      <c r="AN99" s="65"/>
      <c r="AO99" s="65"/>
      <c r="AP99" s="65"/>
      <c r="AQ99" s="65"/>
      <c r="AR99" s="65"/>
      <c r="AS99" s="27"/>
      <c r="AT99" s="27"/>
      <c r="AU99" s="65"/>
      <c r="AV99" s="27"/>
      <c r="AW99" s="27"/>
    </row>
    <row r="100" spans="3:49" ht="18.75">
      <c r="C100" s="91"/>
      <c r="D100" s="27"/>
      <c r="E100" s="27"/>
      <c r="F100" s="65"/>
      <c r="G100" s="27"/>
      <c r="H100" s="27"/>
      <c r="I100" s="65"/>
      <c r="J100" s="27"/>
      <c r="K100" s="27"/>
      <c r="L100" s="65"/>
      <c r="M100" s="65"/>
      <c r="N100" s="65"/>
      <c r="O100" s="65"/>
      <c r="P100" s="27"/>
      <c r="Q100" s="27"/>
      <c r="R100" s="65"/>
      <c r="S100" s="27"/>
      <c r="T100" s="27"/>
      <c r="U100" s="65"/>
      <c r="V100" s="65"/>
      <c r="W100" s="65"/>
      <c r="X100" s="65"/>
      <c r="Y100" s="65"/>
      <c r="Z100" s="65"/>
      <c r="AA100" s="65"/>
      <c r="AB100" s="65"/>
      <c r="AC100" s="65"/>
      <c r="AD100" s="65"/>
      <c r="AE100" s="65"/>
      <c r="AF100" s="65"/>
      <c r="AG100" s="65"/>
      <c r="AH100" s="65"/>
      <c r="AI100" s="65"/>
      <c r="AJ100" s="65"/>
      <c r="AK100" s="65"/>
      <c r="AL100" s="65"/>
      <c r="AM100" s="65"/>
      <c r="AN100" s="65"/>
      <c r="AO100" s="65"/>
      <c r="AP100" s="65"/>
      <c r="AQ100" s="65"/>
      <c r="AR100" s="65"/>
      <c r="AS100" s="27"/>
      <c r="AT100" s="27"/>
      <c r="AU100" s="65"/>
      <c r="AV100" s="27"/>
      <c r="AW100" s="27"/>
    </row>
    <row r="101" spans="3:49" ht="18.75">
      <c r="C101" s="91"/>
      <c r="D101" s="27"/>
      <c r="E101" s="27"/>
      <c r="F101" s="65"/>
      <c r="G101" s="27"/>
      <c r="H101" s="27"/>
      <c r="I101" s="65"/>
      <c r="J101" s="27"/>
      <c r="K101" s="27"/>
      <c r="L101" s="65"/>
      <c r="M101" s="65"/>
      <c r="N101" s="65"/>
      <c r="O101" s="65"/>
      <c r="P101" s="27"/>
      <c r="Q101" s="27"/>
      <c r="R101" s="65"/>
      <c r="S101" s="27"/>
      <c r="T101" s="27"/>
      <c r="U101" s="65"/>
      <c r="V101" s="65"/>
      <c r="W101" s="65"/>
      <c r="X101" s="65"/>
      <c r="Y101" s="65"/>
      <c r="Z101" s="65"/>
      <c r="AA101" s="65"/>
      <c r="AB101" s="65"/>
      <c r="AC101" s="65"/>
      <c r="AD101" s="65"/>
      <c r="AE101" s="65"/>
      <c r="AF101" s="65"/>
      <c r="AG101" s="65"/>
      <c r="AH101" s="65"/>
      <c r="AI101" s="65"/>
      <c r="AJ101" s="65"/>
      <c r="AK101" s="65"/>
      <c r="AL101" s="65"/>
      <c r="AM101" s="65"/>
      <c r="AN101" s="65"/>
      <c r="AO101" s="65"/>
      <c r="AP101" s="65"/>
      <c r="AQ101" s="65"/>
      <c r="AR101" s="65"/>
      <c r="AS101" s="27"/>
      <c r="AT101" s="27"/>
      <c r="AU101" s="65"/>
      <c r="AV101" s="27"/>
      <c r="AW101" s="27"/>
    </row>
    <row r="102" spans="3:49" ht="18.75">
      <c r="C102" s="91"/>
      <c r="D102" s="27"/>
      <c r="E102" s="27"/>
      <c r="F102" s="65"/>
      <c r="G102" s="27"/>
      <c r="H102" s="27"/>
      <c r="I102" s="65"/>
      <c r="J102" s="27"/>
      <c r="K102" s="27"/>
      <c r="L102" s="65"/>
      <c r="M102" s="65"/>
      <c r="N102" s="65"/>
      <c r="O102" s="65"/>
      <c r="P102" s="27"/>
      <c r="Q102" s="27"/>
      <c r="R102" s="65"/>
      <c r="S102" s="27"/>
      <c r="T102" s="27"/>
      <c r="U102" s="65"/>
      <c r="V102" s="65"/>
      <c r="W102" s="65"/>
      <c r="X102" s="65"/>
      <c r="Y102" s="65"/>
      <c r="Z102" s="65"/>
      <c r="AA102" s="65"/>
      <c r="AB102" s="65"/>
      <c r="AC102" s="65"/>
      <c r="AD102" s="65"/>
      <c r="AE102" s="65"/>
      <c r="AF102" s="65"/>
      <c r="AG102" s="65"/>
      <c r="AH102" s="65"/>
      <c r="AI102" s="65"/>
      <c r="AJ102" s="65"/>
      <c r="AK102" s="65"/>
      <c r="AL102" s="65"/>
      <c r="AM102" s="65"/>
      <c r="AN102" s="65"/>
      <c r="AO102" s="65"/>
      <c r="AP102" s="65"/>
      <c r="AQ102" s="65"/>
      <c r="AR102" s="65"/>
      <c r="AS102" s="27"/>
      <c r="AT102" s="27"/>
      <c r="AU102" s="65"/>
      <c r="AV102" s="27"/>
      <c r="AW102" s="27"/>
    </row>
    <row r="103" spans="3:49" ht="18.75">
      <c r="C103" s="91"/>
      <c r="D103" s="27"/>
      <c r="E103" s="27"/>
      <c r="F103" s="65"/>
      <c r="G103" s="27"/>
      <c r="H103" s="27"/>
      <c r="I103" s="65"/>
      <c r="J103" s="27"/>
      <c r="K103" s="27"/>
      <c r="L103" s="65"/>
      <c r="M103" s="65"/>
      <c r="N103" s="65"/>
      <c r="O103" s="65"/>
      <c r="P103" s="27"/>
      <c r="Q103" s="27"/>
      <c r="R103" s="65"/>
      <c r="S103" s="27"/>
      <c r="T103" s="27"/>
      <c r="U103" s="65"/>
      <c r="V103" s="65"/>
      <c r="W103" s="65"/>
      <c r="X103" s="65"/>
      <c r="Y103" s="65"/>
      <c r="Z103" s="65"/>
      <c r="AA103" s="65"/>
      <c r="AB103" s="65"/>
      <c r="AC103" s="65"/>
      <c r="AD103" s="65"/>
      <c r="AE103" s="65"/>
      <c r="AF103" s="65"/>
      <c r="AG103" s="65"/>
      <c r="AH103" s="65"/>
      <c r="AI103" s="65"/>
      <c r="AJ103" s="65"/>
      <c r="AK103" s="65"/>
      <c r="AL103" s="65"/>
      <c r="AM103" s="65"/>
      <c r="AN103" s="65"/>
      <c r="AO103" s="65"/>
      <c r="AP103" s="65"/>
      <c r="AQ103" s="65"/>
      <c r="AR103" s="65"/>
      <c r="AS103" s="27"/>
      <c r="AT103" s="27"/>
      <c r="AU103" s="65"/>
      <c r="AV103" s="27"/>
      <c r="AW103" s="27"/>
    </row>
    <row r="104" spans="3:49" ht="18.75">
      <c r="C104" s="91"/>
      <c r="D104" s="27"/>
      <c r="E104" s="27"/>
      <c r="F104" s="65"/>
      <c r="G104" s="27"/>
      <c r="H104" s="27"/>
      <c r="I104" s="65"/>
      <c r="J104" s="27"/>
      <c r="K104" s="27"/>
      <c r="L104" s="65"/>
      <c r="M104" s="65"/>
      <c r="N104" s="65"/>
      <c r="O104" s="65"/>
      <c r="P104" s="27"/>
      <c r="Q104" s="27"/>
      <c r="R104" s="65"/>
      <c r="S104" s="27"/>
      <c r="T104" s="27"/>
      <c r="U104" s="65"/>
      <c r="V104" s="65"/>
      <c r="W104" s="65"/>
      <c r="X104" s="65"/>
      <c r="Y104" s="65"/>
      <c r="Z104" s="65"/>
      <c r="AA104" s="65"/>
      <c r="AB104" s="65"/>
      <c r="AC104" s="65"/>
      <c r="AD104" s="65"/>
      <c r="AE104" s="65"/>
      <c r="AF104" s="65"/>
      <c r="AG104" s="65"/>
      <c r="AH104" s="65"/>
      <c r="AI104" s="65"/>
      <c r="AJ104" s="65"/>
      <c r="AK104" s="65"/>
      <c r="AL104" s="65"/>
      <c r="AM104" s="65"/>
      <c r="AN104" s="65"/>
      <c r="AO104" s="65"/>
      <c r="AP104" s="65"/>
      <c r="AQ104" s="65"/>
      <c r="AR104" s="65"/>
      <c r="AS104" s="27"/>
      <c r="AT104" s="27"/>
      <c r="AU104" s="65"/>
      <c r="AV104" s="27"/>
      <c r="AW104" s="27"/>
    </row>
  </sheetData>
  <sheetProtection/>
  <mergeCells count="23">
    <mergeCell ref="AV5:AV6"/>
    <mergeCell ref="AJ5:AL5"/>
    <mergeCell ref="AB5:AD5"/>
    <mergeCell ref="AQ5:AR5"/>
    <mergeCell ref="AM5:AN5"/>
    <mergeCell ref="M5:O5"/>
    <mergeCell ref="B55:C55"/>
    <mergeCell ref="P5:R5"/>
    <mergeCell ref="Y5:AA5"/>
    <mergeCell ref="AE5:AG5"/>
    <mergeCell ref="AH5:AI5"/>
    <mergeCell ref="S5:U5"/>
    <mergeCell ref="G5:I5"/>
    <mergeCell ref="D1:AW1"/>
    <mergeCell ref="B2:AW2"/>
    <mergeCell ref="B3:AW3"/>
    <mergeCell ref="B4:C4"/>
    <mergeCell ref="D5:F5"/>
    <mergeCell ref="V5:X5"/>
    <mergeCell ref="J5:L5"/>
    <mergeCell ref="AW5:AW6"/>
    <mergeCell ref="AS5:AU5"/>
    <mergeCell ref="AO5:AP5"/>
  </mergeCells>
  <printOptions horizontalCentered="1"/>
  <pageMargins left="0.03937007874015748" right="0.03937007874015748" top="0.03937007874015748" bottom="0.03937007874015748" header="0" footer="0"/>
  <pageSetup fitToHeight="1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105"/>
  <sheetViews>
    <sheetView view="pageBreakPreview" zoomScale="70" zoomScaleNormal="75" zoomScaleSheetLayoutView="70" zoomScalePageLayoutView="0" workbookViewId="0" topLeftCell="A2">
      <pane xSplit="2" ySplit="6" topLeftCell="O29" activePane="bottomRight" state="frozen"/>
      <selection pane="topLeft" activeCell="B3" sqref="B3:U3"/>
      <selection pane="topRight" activeCell="B3" sqref="B3:U3"/>
      <selection pane="bottomLeft" activeCell="B3" sqref="B3:U3"/>
      <selection pane="bottomRight" activeCell="AS37" sqref="AS37"/>
    </sheetView>
  </sheetViews>
  <sheetFormatPr defaultColWidth="7.875" defaultRowHeight="12.75"/>
  <cols>
    <col min="1" max="1" width="6.125" style="5" customWidth="1"/>
    <col min="2" max="2" width="59.00390625" style="5" customWidth="1"/>
    <col min="3" max="3" width="16.875" style="39" customWidth="1"/>
    <col min="4" max="5" width="19.75390625" style="5" hidden="1" customWidth="1"/>
    <col min="6" max="6" width="13.75390625" style="8" hidden="1" customWidth="1"/>
    <col min="7" max="8" width="14.75390625" style="5" hidden="1" customWidth="1"/>
    <col min="9" max="9" width="12.00390625" style="8" hidden="1" customWidth="1"/>
    <col min="10" max="11" width="14.75390625" style="5" hidden="1" customWidth="1"/>
    <col min="12" max="12" width="12.00390625" style="8" hidden="1" customWidth="1"/>
    <col min="13" max="13" width="13.00390625" style="8" customWidth="1"/>
    <col min="14" max="14" width="12.625" style="8" customWidth="1"/>
    <col min="15" max="15" width="12.00390625" style="8" customWidth="1"/>
    <col min="16" max="17" width="14.75390625" style="5" hidden="1" customWidth="1"/>
    <col min="18" max="18" width="12.00390625" style="8" hidden="1" customWidth="1"/>
    <col min="19" max="20" width="14.75390625" style="5" hidden="1" customWidth="1"/>
    <col min="21" max="21" width="12.00390625" style="8" hidden="1" customWidth="1"/>
    <col min="22" max="22" width="14.00390625" style="8" hidden="1" customWidth="1"/>
    <col min="23" max="23" width="13.125" style="8" hidden="1" customWidth="1"/>
    <col min="24" max="24" width="12.75390625" style="8" hidden="1" customWidth="1"/>
    <col min="25" max="25" width="14.375" style="8" customWidth="1"/>
    <col min="26" max="26" width="12.625" style="8" customWidth="1"/>
    <col min="27" max="27" width="12.00390625" style="8" hidden="1" customWidth="1"/>
    <col min="28" max="28" width="14.00390625" style="8" customWidth="1"/>
    <col min="29" max="29" width="13.125" style="8" customWidth="1"/>
    <col min="30" max="30" width="12.75390625" style="8" hidden="1" customWidth="1"/>
    <col min="31" max="31" width="14.625" style="8" hidden="1" customWidth="1"/>
    <col min="32" max="32" width="14.25390625" style="8" hidden="1" customWidth="1"/>
    <col min="33" max="33" width="11.875" style="8" hidden="1" customWidth="1"/>
    <col min="34" max="34" width="14.875" style="8" hidden="1" customWidth="1"/>
    <col min="35" max="35" width="13.625" style="8" hidden="1" customWidth="1"/>
    <col min="36" max="36" width="14.375" style="8" hidden="1" customWidth="1"/>
    <col min="37" max="37" width="12.625" style="8" hidden="1" customWidth="1"/>
    <col min="38" max="38" width="13.125" style="8" hidden="1" customWidth="1"/>
    <col min="39" max="39" width="14.875" style="8" hidden="1" customWidth="1"/>
    <col min="40" max="40" width="13.625" style="8" hidden="1" customWidth="1"/>
    <col min="41" max="41" width="14.875" style="8" hidden="1" customWidth="1"/>
    <col min="42" max="42" width="13.625" style="8" hidden="1" customWidth="1"/>
    <col min="43" max="43" width="14.875" style="8" hidden="1" customWidth="1"/>
    <col min="44" max="44" width="13.625" style="8" hidden="1" customWidth="1"/>
    <col min="45" max="46" width="14.75390625" style="5" customWidth="1"/>
    <col min="47" max="47" width="12.00390625" style="8" customWidth="1"/>
    <col min="48" max="48" width="20.75390625" style="5" customWidth="1"/>
    <col min="49" max="49" width="22.875" style="11" customWidth="1"/>
    <col min="50" max="50" width="13.125" style="5" customWidth="1"/>
    <col min="51" max="51" width="14.25390625" style="5" customWidth="1"/>
    <col min="52" max="16384" width="7.875" style="5" customWidth="1"/>
  </cols>
  <sheetData>
    <row r="1" spans="4:49" ht="18.75"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147"/>
      <c r="AM1" s="147"/>
      <c r="AN1" s="147"/>
      <c r="AO1" s="147"/>
      <c r="AP1" s="147"/>
      <c r="AQ1" s="147"/>
      <c r="AR1" s="147"/>
      <c r="AS1" s="147"/>
      <c r="AT1" s="147"/>
      <c r="AU1" s="147"/>
      <c r="AV1" s="147"/>
      <c r="AW1" s="147"/>
    </row>
    <row r="2" spans="2:49" s="30" customFormat="1" ht="42" customHeight="1">
      <c r="B2" s="146" t="s">
        <v>54</v>
      </c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146"/>
      <c r="AP2" s="146"/>
      <c r="AQ2" s="146"/>
      <c r="AR2" s="146"/>
      <c r="AS2" s="146"/>
      <c r="AT2" s="146"/>
      <c r="AU2" s="146"/>
      <c r="AV2" s="146"/>
      <c r="AW2" s="146"/>
    </row>
    <row r="3" spans="1:49" s="30" customFormat="1" ht="42" customHeight="1">
      <c r="A3" s="29"/>
      <c r="B3" s="146" t="s">
        <v>126</v>
      </c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146"/>
      <c r="AK3" s="146"/>
      <c r="AL3" s="146"/>
      <c r="AM3" s="146"/>
      <c r="AN3" s="146"/>
      <c r="AO3" s="146"/>
      <c r="AP3" s="146"/>
      <c r="AQ3" s="146"/>
      <c r="AR3" s="146"/>
      <c r="AS3" s="146"/>
      <c r="AT3" s="146"/>
      <c r="AU3" s="146"/>
      <c r="AV3" s="146"/>
      <c r="AW3" s="146"/>
    </row>
    <row r="4" spans="2:49" ht="18.75">
      <c r="B4" s="147"/>
      <c r="C4" s="147"/>
      <c r="AW4" s="11" t="s">
        <v>20</v>
      </c>
    </row>
    <row r="5" spans="1:49" ht="36.75" customHeight="1">
      <c r="A5" s="22" t="s">
        <v>8</v>
      </c>
      <c r="B5" s="23"/>
      <c r="C5" s="24" t="s">
        <v>1</v>
      </c>
      <c r="D5" s="143" t="s">
        <v>64</v>
      </c>
      <c r="E5" s="144"/>
      <c r="F5" s="145"/>
      <c r="G5" s="140" t="s">
        <v>66</v>
      </c>
      <c r="H5" s="141"/>
      <c r="I5" s="142"/>
      <c r="J5" s="140" t="s">
        <v>68</v>
      </c>
      <c r="K5" s="141"/>
      <c r="L5" s="142"/>
      <c r="M5" s="140" t="s">
        <v>81</v>
      </c>
      <c r="N5" s="141"/>
      <c r="O5" s="142"/>
      <c r="P5" s="140" t="s">
        <v>69</v>
      </c>
      <c r="Q5" s="141"/>
      <c r="R5" s="142"/>
      <c r="S5" s="140" t="s">
        <v>70</v>
      </c>
      <c r="T5" s="141"/>
      <c r="U5" s="142"/>
      <c r="V5" s="140" t="s">
        <v>71</v>
      </c>
      <c r="W5" s="141"/>
      <c r="X5" s="142"/>
      <c r="Y5" s="140" t="s">
        <v>72</v>
      </c>
      <c r="Z5" s="141"/>
      <c r="AA5" s="142"/>
      <c r="AB5" s="140" t="s">
        <v>73</v>
      </c>
      <c r="AC5" s="141"/>
      <c r="AD5" s="142"/>
      <c r="AE5" s="140" t="s">
        <v>74</v>
      </c>
      <c r="AF5" s="141"/>
      <c r="AG5" s="142"/>
      <c r="AH5" s="140" t="s">
        <v>75</v>
      </c>
      <c r="AI5" s="142"/>
      <c r="AJ5" s="140" t="s">
        <v>77</v>
      </c>
      <c r="AK5" s="141"/>
      <c r="AL5" s="142"/>
      <c r="AM5" s="140" t="s">
        <v>76</v>
      </c>
      <c r="AN5" s="142"/>
      <c r="AO5" s="140" t="s">
        <v>78</v>
      </c>
      <c r="AP5" s="142"/>
      <c r="AQ5" s="140" t="s">
        <v>79</v>
      </c>
      <c r="AR5" s="142"/>
      <c r="AS5" s="143" t="s">
        <v>67</v>
      </c>
      <c r="AT5" s="144"/>
      <c r="AU5" s="145"/>
      <c r="AV5" s="148" t="s">
        <v>127</v>
      </c>
      <c r="AW5" s="148" t="s">
        <v>128</v>
      </c>
    </row>
    <row r="6" spans="1:49" ht="55.5" customHeight="1">
      <c r="A6" s="25" t="s">
        <v>5</v>
      </c>
      <c r="B6" s="40" t="s">
        <v>18</v>
      </c>
      <c r="C6" s="137" t="s">
        <v>80</v>
      </c>
      <c r="D6" s="26" t="s">
        <v>65</v>
      </c>
      <c r="E6" s="26" t="s">
        <v>19</v>
      </c>
      <c r="F6" s="12" t="s">
        <v>0</v>
      </c>
      <c r="G6" s="26" t="s">
        <v>65</v>
      </c>
      <c r="H6" s="26" t="s">
        <v>19</v>
      </c>
      <c r="I6" s="12" t="s">
        <v>0</v>
      </c>
      <c r="J6" s="26" t="s">
        <v>65</v>
      </c>
      <c r="K6" s="26" t="s">
        <v>19</v>
      </c>
      <c r="L6" s="12" t="s">
        <v>0</v>
      </c>
      <c r="M6" s="26" t="s">
        <v>65</v>
      </c>
      <c r="N6" s="26" t="s">
        <v>19</v>
      </c>
      <c r="O6" s="12" t="s">
        <v>0</v>
      </c>
      <c r="P6" s="26" t="s">
        <v>65</v>
      </c>
      <c r="Q6" s="26" t="s">
        <v>19</v>
      </c>
      <c r="R6" s="12" t="s">
        <v>0</v>
      </c>
      <c r="S6" s="26" t="s">
        <v>65</v>
      </c>
      <c r="T6" s="26" t="s">
        <v>19</v>
      </c>
      <c r="U6" s="12" t="s">
        <v>0</v>
      </c>
      <c r="V6" s="26" t="s">
        <v>65</v>
      </c>
      <c r="W6" s="26" t="s">
        <v>19</v>
      </c>
      <c r="X6" s="12" t="s">
        <v>0</v>
      </c>
      <c r="Y6" s="26" t="s">
        <v>65</v>
      </c>
      <c r="Z6" s="26" t="s">
        <v>19</v>
      </c>
      <c r="AA6" s="12" t="s">
        <v>0</v>
      </c>
      <c r="AB6" s="26" t="s">
        <v>65</v>
      </c>
      <c r="AC6" s="26" t="s">
        <v>19</v>
      </c>
      <c r="AD6" s="12" t="s">
        <v>0</v>
      </c>
      <c r="AE6" s="26" t="s">
        <v>65</v>
      </c>
      <c r="AF6" s="26" t="s">
        <v>19</v>
      </c>
      <c r="AG6" s="12" t="s">
        <v>0</v>
      </c>
      <c r="AH6" s="26" t="s">
        <v>65</v>
      </c>
      <c r="AI6" s="26" t="s">
        <v>19</v>
      </c>
      <c r="AJ6" s="26" t="s">
        <v>65</v>
      </c>
      <c r="AK6" s="26" t="s">
        <v>19</v>
      </c>
      <c r="AL6" s="12" t="s">
        <v>0</v>
      </c>
      <c r="AM6" s="26" t="s">
        <v>65</v>
      </c>
      <c r="AN6" s="26" t="s">
        <v>19</v>
      </c>
      <c r="AO6" s="26" t="s">
        <v>65</v>
      </c>
      <c r="AP6" s="26" t="s">
        <v>19</v>
      </c>
      <c r="AQ6" s="26" t="s">
        <v>65</v>
      </c>
      <c r="AR6" s="26" t="s">
        <v>19</v>
      </c>
      <c r="AS6" s="26" t="s">
        <v>65</v>
      </c>
      <c r="AT6" s="26" t="s">
        <v>19</v>
      </c>
      <c r="AU6" s="12" t="s">
        <v>0</v>
      </c>
      <c r="AV6" s="149"/>
      <c r="AW6" s="149"/>
    </row>
    <row r="7" spans="1:51" s="8" customFormat="1" ht="36" customHeight="1">
      <c r="A7" s="95"/>
      <c r="B7" s="96" t="s">
        <v>3</v>
      </c>
      <c r="C7" s="41">
        <f>SUM(C8:C44)</f>
        <v>100940.69999999998</v>
      </c>
      <c r="D7" s="14">
        <f>SUM(D8:D44)</f>
        <v>65050.9</v>
      </c>
      <c r="E7" s="14">
        <f>SUM(E8:E44)</f>
        <v>34240.9</v>
      </c>
      <c r="F7" s="14">
        <f aca="true" t="shared" si="0" ref="F7:F48">E7/D7*100</f>
        <v>52.6370888027683</v>
      </c>
      <c r="G7" s="14">
        <f>SUM(G8:G44)</f>
        <v>68452.2</v>
      </c>
      <c r="H7" s="14">
        <f>SUM(H8:H44)</f>
        <v>60854.799999999996</v>
      </c>
      <c r="I7" s="14">
        <f aca="true" t="shared" si="1" ref="I7:I46">H7/G7*100</f>
        <v>88.90116022567572</v>
      </c>
      <c r="J7" s="14">
        <f>SUM(J8:J44)</f>
        <v>68891.3</v>
      </c>
      <c r="K7" s="14">
        <f>SUM(K8:K44)</f>
        <v>44336.90000000001</v>
      </c>
      <c r="L7" s="14">
        <f aca="true" t="shared" si="2" ref="L7:L37">K7/J7*100</f>
        <v>64.35776360730601</v>
      </c>
      <c r="M7" s="14">
        <f>SUM(M8:M44)</f>
        <v>202394.4</v>
      </c>
      <c r="N7" s="14">
        <f>SUM(N8:N44)</f>
        <v>139432.59999999998</v>
      </c>
      <c r="O7" s="14">
        <f>N7/M7*100</f>
        <v>68.89153059570818</v>
      </c>
      <c r="P7" s="14">
        <f>SUM(P8:P44)</f>
        <v>15776.520000000002</v>
      </c>
      <c r="Q7" s="14">
        <f>SUM(Q8:Q44)</f>
        <v>133008.5</v>
      </c>
      <c r="R7" s="14">
        <f aca="true" t="shared" si="3" ref="R7:R37">Q7/P7*100</f>
        <v>843.0788285375987</v>
      </c>
      <c r="S7" s="14">
        <f>SUM(S8:S44)</f>
        <v>-9197.2</v>
      </c>
      <c r="T7" s="14">
        <f>SUM(T8:T44)</f>
        <v>6129.8</v>
      </c>
      <c r="U7" s="14">
        <f aca="true" t="shared" si="4" ref="U7:U37">T7/S7*100</f>
        <v>-66.64854520941155</v>
      </c>
      <c r="V7" s="14">
        <f>SUM(V8:V44)</f>
        <v>653.2</v>
      </c>
      <c r="W7" s="14">
        <f>SUM(W8:W44)</f>
        <v>2174.5</v>
      </c>
      <c r="X7" s="14">
        <f aca="true" t="shared" si="5" ref="X7:X37">W7/V7*100</f>
        <v>332.89957134109</v>
      </c>
      <c r="Y7" s="14">
        <f>SUM(Y8:Y44)</f>
        <v>7232.52</v>
      </c>
      <c r="Z7" s="14">
        <f>SUM(Z8:Z44)</f>
        <v>141312.80000000002</v>
      </c>
      <c r="AA7" s="14">
        <f>Z7/Y7*100</f>
        <v>1953.8528756228811</v>
      </c>
      <c r="AB7" s="14">
        <f>SUM(AB8:AB44)</f>
        <v>293.90000000000003</v>
      </c>
      <c r="AC7" s="14">
        <f>SUM(AC8:AC44)</f>
        <v>2413.1</v>
      </c>
      <c r="AD7" s="14">
        <f aca="true" t="shared" si="6" ref="AD7:AD36">AC7/AB7*100</f>
        <v>821.0615855733241</v>
      </c>
      <c r="AE7" s="14">
        <f>SUM(AE8:AE44)</f>
        <v>0</v>
      </c>
      <c r="AF7" s="14">
        <f>SUM(AF8:AF44)</f>
        <v>0</v>
      </c>
      <c r="AG7" s="14" t="e">
        <f>AF7/AE7*100</f>
        <v>#DIV/0!</v>
      </c>
      <c r="AH7" s="14">
        <f>SUM(AH8:AH44)</f>
        <v>0</v>
      </c>
      <c r="AI7" s="14">
        <f>SUM(AI8:AI44)</f>
        <v>0</v>
      </c>
      <c r="AJ7" s="14">
        <f>SUM(AJ8:AJ44)</f>
        <v>293.90000000000003</v>
      </c>
      <c r="AK7" s="14">
        <f>SUM(AK8:AK44)</f>
        <v>2413.1</v>
      </c>
      <c r="AL7" s="14">
        <f>AK7/AJ7*100</f>
        <v>821.0615855733241</v>
      </c>
      <c r="AM7" s="14">
        <f aca="true" t="shared" si="7" ref="AM7:AT7">SUM(AM8:AM44)</f>
        <v>0</v>
      </c>
      <c r="AN7" s="14">
        <f t="shared" si="7"/>
        <v>0</v>
      </c>
      <c r="AO7" s="14">
        <f t="shared" si="7"/>
        <v>0</v>
      </c>
      <c r="AP7" s="14">
        <f t="shared" si="7"/>
        <v>0</v>
      </c>
      <c r="AQ7" s="14">
        <f t="shared" si="7"/>
        <v>0</v>
      </c>
      <c r="AR7" s="14">
        <f t="shared" si="7"/>
        <v>0</v>
      </c>
      <c r="AS7" s="14">
        <f t="shared" si="7"/>
        <v>209920.81999999998</v>
      </c>
      <c r="AT7" s="14">
        <f t="shared" si="7"/>
        <v>283158.5</v>
      </c>
      <c r="AU7" s="14">
        <f>AT7/AS7*100</f>
        <v>134.88824024220182</v>
      </c>
      <c r="AV7" s="42">
        <f>SUM(AV8:AV44)</f>
        <v>-73237.68000000001</v>
      </c>
      <c r="AW7" s="42">
        <f>SUM(AW8:AW44)</f>
        <v>27703.01999999999</v>
      </c>
      <c r="AX7" s="20">
        <f>AS7-AT7</f>
        <v>-73237.68000000002</v>
      </c>
      <c r="AY7" s="20">
        <f>C7+AS7-AT7</f>
        <v>27703.01999999996</v>
      </c>
    </row>
    <row r="8" spans="1:49" ht="36.75" customHeight="1">
      <c r="A8" s="98">
        <v>1</v>
      </c>
      <c r="B8" s="1" t="s">
        <v>98</v>
      </c>
      <c r="C8" s="2">
        <v>7587</v>
      </c>
      <c r="D8" s="3">
        <v>7413</v>
      </c>
      <c r="E8" s="3">
        <v>2502.2</v>
      </c>
      <c r="F8" s="14">
        <f t="shared" si="0"/>
        <v>33.754215567246725</v>
      </c>
      <c r="G8" s="3">
        <v>7204.1</v>
      </c>
      <c r="H8" s="3">
        <v>4739.1</v>
      </c>
      <c r="I8" s="14">
        <f t="shared" si="1"/>
        <v>65.78337335683847</v>
      </c>
      <c r="J8" s="3">
        <v>7051.7</v>
      </c>
      <c r="K8" s="3">
        <v>6187.6</v>
      </c>
      <c r="L8" s="14">
        <f t="shared" si="2"/>
        <v>87.74621722421546</v>
      </c>
      <c r="M8" s="3">
        <f>D8+G8+J8</f>
        <v>21668.8</v>
      </c>
      <c r="N8" s="3">
        <f>E8+H8+K8</f>
        <v>13428.900000000001</v>
      </c>
      <c r="O8" s="14">
        <f aca="true" t="shared" si="8" ref="O8:O52">N8/M8*100</f>
        <v>61.97343646164071</v>
      </c>
      <c r="P8" s="3">
        <v>1273.7</v>
      </c>
      <c r="Q8" s="3">
        <v>15826.8</v>
      </c>
      <c r="R8" s="14">
        <f t="shared" si="3"/>
        <v>1242.5845960587264</v>
      </c>
      <c r="S8" s="3">
        <v>-526.9</v>
      </c>
      <c r="T8" s="3">
        <v>0</v>
      </c>
      <c r="U8" s="14">
        <f t="shared" si="4"/>
        <v>0</v>
      </c>
      <c r="V8" s="3">
        <v>-83.2</v>
      </c>
      <c r="W8" s="3">
        <v>57</v>
      </c>
      <c r="X8" s="14">
        <f t="shared" si="5"/>
        <v>-68.50961538461539</v>
      </c>
      <c r="Y8" s="3">
        <f>P8+S8+V8</f>
        <v>663.6</v>
      </c>
      <c r="Z8" s="3">
        <f>Q8+T8+W8</f>
        <v>15883.8</v>
      </c>
      <c r="AA8" s="14">
        <f>Z8/Y8*100</f>
        <v>2393.5804701627485</v>
      </c>
      <c r="AB8" s="3">
        <v>1.4</v>
      </c>
      <c r="AC8" s="3">
        <v>1.5</v>
      </c>
      <c r="AD8" s="14">
        <f t="shared" si="6"/>
        <v>107.14285714285714</v>
      </c>
      <c r="AE8" s="3"/>
      <c r="AF8" s="3"/>
      <c r="AG8" s="14" t="e">
        <f>AF8/AE8*100</f>
        <v>#DIV/0!</v>
      </c>
      <c r="AH8" s="3"/>
      <c r="AI8" s="3"/>
      <c r="AJ8" s="3">
        <f>AB8+AE8+AH8</f>
        <v>1.4</v>
      </c>
      <c r="AK8" s="3">
        <f>AC8+AF8+AI8</f>
        <v>1.5</v>
      </c>
      <c r="AL8" s="14">
        <f>AK8/AJ8*100</f>
        <v>107.14285714285714</v>
      </c>
      <c r="AM8" s="3"/>
      <c r="AN8" s="3"/>
      <c r="AO8" s="3"/>
      <c r="AP8" s="3"/>
      <c r="AQ8" s="3"/>
      <c r="AR8" s="3"/>
      <c r="AS8" s="3">
        <f>M8+Y8+AJ8+AM8+AO8+AQ8</f>
        <v>22333.8</v>
      </c>
      <c r="AT8" s="3">
        <f>N8+Z8+AK8+AN8+AP8+AR8</f>
        <v>29314.2</v>
      </c>
      <c r="AU8" s="14">
        <f>AT8/AS8*100</f>
        <v>131.2548693012385</v>
      </c>
      <c r="AV8" s="3">
        <f>AS8-AT8</f>
        <v>-6980.4000000000015</v>
      </c>
      <c r="AW8" s="103">
        <f>C8+AS8-AT8</f>
        <v>606.5999999999985</v>
      </c>
    </row>
    <row r="9" spans="1:49" ht="26.25" customHeight="1">
      <c r="A9" s="98">
        <v>2</v>
      </c>
      <c r="B9" s="32" t="s">
        <v>99</v>
      </c>
      <c r="C9" s="2">
        <f>46.2+197.1</f>
        <v>243.3</v>
      </c>
      <c r="D9" s="3">
        <v>200</v>
      </c>
      <c r="E9" s="3">
        <v>69.6</v>
      </c>
      <c r="F9" s="14">
        <f t="shared" si="0"/>
        <v>34.8</v>
      </c>
      <c r="G9" s="3">
        <v>193.8</v>
      </c>
      <c r="H9" s="3">
        <v>161.8</v>
      </c>
      <c r="I9" s="14">
        <f t="shared" si="1"/>
        <v>83.48813209494324</v>
      </c>
      <c r="J9" s="3">
        <v>193.5</v>
      </c>
      <c r="K9" s="3">
        <v>173.6</v>
      </c>
      <c r="L9" s="14">
        <f t="shared" si="2"/>
        <v>89.71576227390182</v>
      </c>
      <c r="M9" s="3">
        <f>D9+G9+J9</f>
        <v>587.3</v>
      </c>
      <c r="N9" s="3">
        <f>E9+H9+K9</f>
        <v>405</v>
      </c>
      <c r="O9" s="14">
        <f t="shared" si="8"/>
        <v>68.95964583688064</v>
      </c>
      <c r="P9" s="3">
        <v>50.8</v>
      </c>
      <c r="Q9" s="3">
        <v>379.4</v>
      </c>
      <c r="R9" s="14">
        <f t="shared" si="3"/>
        <v>746.8503937007874</v>
      </c>
      <c r="S9" s="3">
        <v>-32.6</v>
      </c>
      <c r="T9" s="3">
        <v>0</v>
      </c>
      <c r="U9" s="14">
        <f t="shared" si="4"/>
        <v>0</v>
      </c>
      <c r="V9" s="3">
        <v>0</v>
      </c>
      <c r="W9" s="3">
        <v>0</v>
      </c>
      <c r="X9" s="14" t="e">
        <f t="shared" si="5"/>
        <v>#DIV/0!</v>
      </c>
      <c r="Y9" s="3">
        <f>P9+S9+V9</f>
        <v>18.199999999999996</v>
      </c>
      <c r="Z9" s="3">
        <f>Q9+T9+W9</f>
        <v>379.4</v>
      </c>
      <c r="AA9" s="14">
        <f>Z9/Y9*100</f>
        <v>2084.615384615385</v>
      </c>
      <c r="AB9" s="3">
        <v>0</v>
      </c>
      <c r="AC9" s="3">
        <v>0.6</v>
      </c>
      <c r="AD9" s="28" t="e">
        <f t="shared" si="6"/>
        <v>#DIV/0!</v>
      </c>
      <c r="AE9" s="3"/>
      <c r="AF9" s="3"/>
      <c r="AG9" s="28" t="e">
        <f aca="true" t="shared" si="9" ref="AG9:AG15">AF9/AE9*100</f>
        <v>#DIV/0!</v>
      </c>
      <c r="AH9" s="3"/>
      <c r="AI9" s="3"/>
      <c r="AJ9" s="3">
        <f aca="true" t="shared" si="10" ref="AJ9:AJ44">AB9+AE9+AH9</f>
        <v>0</v>
      </c>
      <c r="AK9" s="3">
        <f aca="true" t="shared" si="11" ref="AK9:AK44">AC9+AF9+AI9</f>
        <v>0.6</v>
      </c>
      <c r="AL9" s="14" t="e">
        <f>AK9/AJ9*100</f>
        <v>#DIV/0!</v>
      </c>
      <c r="AM9" s="3"/>
      <c r="AN9" s="3"/>
      <c r="AO9" s="3"/>
      <c r="AP9" s="3"/>
      <c r="AQ9" s="3"/>
      <c r="AR9" s="3"/>
      <c r="AS9" s="3">
        <f>M9+Y9+AJ9+AM9+AO9+AQ9</f>
        <v>605.5</v>
      </c>
      <c r="AT9" s="3">
        <f>N9+Z9+AK9+AN9+AP9+AR9</f>
        <v>785</v>
      </c>
      <c r="AU9" s="14">
        <f>AT9/AS9*100</f>
        <v>129.64492155243602</v>
      </c>
      <c r="AV9" s="3">
        <f>AS9-AT9</f>
        <v>-179.5</v>
      </c>
      <c r="AW9" s="103">
        <f>C9+AS9-AT9</f>
        <v>63.799999999999955</v>
      </c>
    </row>
    <row r="10" spans="1:49" ht="25.5" customHeight="1">
      <c r="A10" s="98">
        <v>3</v>
      </c>
      <c r="B10" s="15" t="s">
        <v>83</v>
      </c>
      <c r="C10" s="2"/>
      <c r="D10" s="21"/>
      <c r="E10" s="21"/>
      <c r="F10" s="36" t="e">
        <f t="shared" si="0"/>
        <v>#DIV/0!</v>
      </c>
      <c r="G10" s="21"/>
      <c r="H10" s="21"/>
      <c r="I10" s="36" t="e">
        <f t="shared" si="1"/>
        <v>#DIV/0!</v>
      </c>
      <c r="J10" s="21"/>
      <c r="K10" s="21"/>
      <c r="L10" s="36" t="e">
        <f t="shared" si="2"/>
        <v>#DIV/0!</v>
      </c>
      <c r="M10" s="3"/>
      <c r="N10" s="3"/>
      <c r="O10" s="14"/>
      <c r="P10" s="21"/>
      <c r="Q10" s="21"/>
      <c r="R10" s="36" t="e">
        <f t="shared" si="3"/>
        <v>#DIV/0!</v>
      </c>
      <c r="S10" s="21"/>
      <c r="T10" s="21"/>
      <c r="U10" s="36" t="e">
        <f t="shared" si="4"/>
        <v>#DIV/0!</v>
      </c>
      <c r="V10" s="21"/>
      <c r="W10" s="21"/>
      <c r="X10" s="36" t="e">
        <f t="shared" si="5"/>
        <v>#DIV/0!</v>
      </c>
      <c r="Y10" s="3"/>
      <c r="Z10" s="3"/>
      <c r="AA10" s="14"/>
      <c r="AB10" s="21"/>
      <c r="AC10" s="21"/>
      <c r="AD10" s="36" t="e">
        <f t="shared" si="6"/>
        <v>#DIV/0!</v>
      </c>
      <c r="AE10" s="21"/>
      <c r="AF10" s="21"/>
      <c r="AG10" s="36" t="e">
        <f t="shared" si="9"/>
        <v>#DIV/0!</v>
      </c>
      <c r="AH10" s="21"/>
      <c r="AI10" s="21"/>
      <c r="AJ10" s="3"/>
      <c r="AK10" s="3"/>
      <c r="AL10" s="14"/>
      <c r="AM10" s="21"/>
      <c r="AN10" s="21"/>
      <c r="AO10" s="21"/>
      <c r="AP10" s="21"/>
      <c r="AQ10" s="21"/>
      <c r="AR10" s="21"/>
      <c r="AS10" s="3"/>
      <c r="AT10" s="3"/>
      <c r="AU10" s="14"/>
      <c r="AV10" s="3"/>
      <c r="AW10" s="103"/>
    </row>
    <row r="11" spans="1:49" ht="24" customHeight="1">
      <c r="A11" s="98">
        <v>4</v>
      </c>
      <c r="B11" s="1" t="s">
        <v>63</v>
      </c>
      <c r="C11" s="2"/>
      <c r="D11" s="3"/>
      <c r="E11" s="3"/>
      <c r="F11" s="14"/>
      <c r="G11" s="3"/>
      <c r="H11" s="3"/>
      <c r="I11" s="36" t="e">
        <f t="shared" si="1"/>
        <v>#DIV/0!</v>
      </c>
      <c r="J11" s="3"/>
      <c r="K11" s="3"/>
      <c r="L11" s="36" t="e">
        <f t="shared" si="2"/>
        <v>#DIV/0!</v>
      </c>
      <c r="M11" s="3"/>
      <c r="N11" s="3"/>
      <c r="O11" s="14"/>
      <c r="P11" s="3"/>
      <c r="Q11" s="3"/>
      <c r="R11" s="36" t="e">
        <f t="shared" si="3"/>
        <v>#DIV/0!</v>
      </c>
      <c r="S11" s="3"/>
      <c r="T11" s="3"/>
      <c r="U11" s="36" t="e">
        <f t="shared" si="4"/>
        <v>#DIV/0!</v>
      </c>
      <c r="V11" s="3"/>
      <c r="W11" s="3"/>
      <c r="X11" s="36" t="e">
        <f t="shared" si="5"/>
        <v>#DIV/0!</v>
      </c>
      <c r="Y11" s="3"/>
      <c r="Z11" s="3"/>
      <c r="AA11" s="14"/>
      <c r="AB11" s="3"/>
      <c r="AC11" s="3"/>
      <c r="AD11" s="36" t="e">
        <f t="shared" si="6"/>
        <v>#DIV/0!</v>
      </c>
      <c r="AE11" s="3"/>
      <c r="AF11" s="3"/>
      <c r="AG11" s="36" t="e">
        <f t="shared" si="9"/>
        <v>#DIV/0!</v>
      </c>
      <c r="AH11" s="3"/>
      <c r="AI11" s="3"/>
      <c r="AJ11" s="3"/>
      <c r="AK11" s="3"/>
      <c r="AL11" s="14"/>
      <c r="AM11" s="3"/>
      <c r="AN11" s="3"/>
      <c r="AO11" s="3"/>
      <c r="AP11" s="3"/>
      <c r="AQ11" s="3"/>
      <c r="AR11" s="3"/>
      <c r="AS11" s="3"/>
      <c r="AT11" s="3"/>
      <c r="AU11" s="14"/>
      <c r="AV11" s="3"/>
      <c r="AW11" s="103"/>
    </row>
    <row r="12" spans="1:49" ht="24" customHeight="1">
      <c r="A12" s="98">
        <v>5</v>
      </c>
      <c r="B12" s="1" t="s">
        <v>100</v>
      </c>
      <c r="C12" s="2">
        <v>1531.5</v>
      </c>
      <c r="D12" s="3">
        <v>1713.3</v>
      </c>
      <c r="E12" s="3">
        <v>519.7</v>
      </c>
      <c r="F12" s="14">
        <f t="shared" si="0"/>
        <v>30.33327496643904</v>
      </c>
      <c r="G12" s="3">
        <v>1741.6</v>
      </c>
      <c r="H12" s="3">
        <v>939.6</v>
      </c>
      <c r="I12" s="14">
        <f t="shared" si="1"/>
        <v>53.9503904455673</v>
      </c>
      <c r="J12" s="3">
        <v>1685.5</v>
      </c>
      <c r="K12" s="3">
        <v>1504.3</v>
      </c>
      <c r="L12" s="14">
        <f t="shared" si="2"/>
        <v>89.24948086621181</v>
      </c>
      <c r="M12" s="3">
        <f>D12+G12+J12</f>
        <v>5140.4</v>
      </c>
      <c r="N12" s="3">
        <f>E12+H12+K12</f>
        <v>2963.6000000000004</v>
      </c>
      <c r="O12" s="14">
        <f t="shared" si="8"/>
        <v>57.65310092599799</v>
      </c>
      <c r="P12" s="3">
        <v>285.2</v>
      </c>
      <c r="Q12" s="3">
        <v>3708.4</v>
      </c>
      <c r="R12" s="14">
        <f t="shared" si="3"/>
        <v>1300.280504908836</v>
      </c>
      <c r="S12" s="3">
        <v>-506</v>
      </c>
      <c r="T12" s="3">
        <v>3.2</v>
      </c>
      <c r="U12" s="14">
        <f t="shared" si="4"/>
        <v>-0.6324110671936759</v>
      </c>
      <c r="V12" s="3">
        <v>0.8</v>
      </c>
      <c r="W12" s="3">
        <v>0</v>
      </c>
      <c r="X12" s="14">
        <f t="shared" si="5"/>
        <v>0</v>
      </c>
      <c r="Y12" s="3">
        <f>P12+S12+V12</f>
        <v>-220</v>
      </c>
      <c r="Z12" s="3">
        <f>Q12+T12+W12</f>
        <v>3711.6</v>
      </c>
      <c r="AA12" s="14">
        <f>Z12/Y12*100</f>
        <v>-1687.090909090909</v>
      </c>
      <c r="AB12" s="3">
        <v>0</v>
      </c>
      <c r="AC12" s="3">
        <v>0</v>
      </c>
      <c r="AD12" s="28" t="e">
        <f t="shared" si="6"/>
        <v>#DIV/0!</v>
      </c>
      <c r="AE12" s="3"/>
      <c r="AF12" s="3"/>
      <c r="AG12" s="28" t="e">
        <f t="shared" si="9"/>
        <v>#DIV/0!</v>
      </c>
      <c r="AH12" s="3"/>
      <c r="AI12" s="3"/>
      <c r="AJ12" s="3">
        <f t="shared" si="10"/>
        <v>0</v>
      </c>
      <c r="AK12" s="3">
        <f t="shared" si="11"/>
        <v>0</v>
      </c>
      <c r="AL12" s="14" t="e">
        <f>AK12/AJ12*100</f>
        <v>#DIV/0!</v>
      </c>
      <c r="AM12" s="3"/>
      <c r="AN12" s="3"/>
      <c r="AO12" s="3"/>
      <c r="AP12" s="3"/>
      <c r="AQ12" s="3"/>
      <c r="AR12" s="3"/>
      <c r="AS12" s="3">
        <f>M12+Y12+AJ12+AM12+AO12+AQ12</f>
        <v>4920.4</v>
      </c>
      <c r="AT12" s="3">
        <f>N12+Z12+AK12+AN12+AP12+AR12</f>
        <v>6675.200000000001</v>
      </c>
      <c r="AU12" s="14">
        <f>AT12/AS12*100</f>
        <v>135.66376717340057</v>
      </c>
      <c r="AV12" s="3">
        <f>AS12-AT12</f>
        <v>-1754.800000000001</v>
      </c>
      <c r="AW12" s="103">
        <f>C12+AS12-AT12</f>
        <v>-223.3000000000011</v>
      </c>
    </row>
    <row r="13" spans="1:49" ht="24" customHeight="1">
      <c r="A13" s="98">
        <v>6</v>
      </c>
      <c r="B13" s="1" t="s">
        <v>101</v>
      </c>
      <c r="C13" s="2">
        <v>49.2</v>
      </c>
      <c r="D13" s="3">
        <v>66.1</v>
      </c>
      <c r="E13" s="3">
        <v>17.2</v>
      </c>
      <c r="F13" s="14">
        <f t="shared" si="0"/>
        <v>26.021180030257185</v>
      </c>
      <c r="G13" s="3">
        <v>94.2</v>
      </c>
      <c r="H13" s="3">
        <v>32.6</v>
      </c>
      <c r="I13" s="14">
        <f t="shared" si="1"/>
        <v>34.6072186836518</v>
      </c>
      <c r="J13" s="3">
        <v>99.2</v>
      </c>
      <c r="K13" s="3">
        <v>68</v>
      </c>
      <c r="L13" s="14">
        <f t="shared" si="2"/>
        <v>68.54838709677419</v>
      </c>
      <c r="M13" s="3">
        <f>D13+G13+J13</f>
        <v>259.5</v>
      </c>
      <c r="N13" s="3">
        <f>E13+H13+K13</f>
        <v>117.8</v>
      </c>
      <c r="O13" s="14">
        <f t="shared" si="8"/>
        <v>45.394990366088635</v>
      </c>
      <c r="P13" s="3">
        <v>21</v>
      </c>
      <c r="Q13" s="3">
        <v>191</v>
      </c>
      <c r="R13" s="14">
        <f t="shared" si="3"/>
        <v>909.5238095238095</v>
      </c>
      <c r="S13" s="3">
        <v>-8.4</v>
      </c>
      <c r="T13" s="3">
        <v>3.5</v>
      </c>
      <c r="U13" s="14">
        <f t="shared" si="4"/>
        <v>-41.666666666666664</v>
      </c>
      <c r="V13" s="3"/>
      <c r="W13" s="3"/>
      <c r="X13" s="28" t="e">
        <f t="shared" si="5"/>
        <v>#DIV/0!</v>
      </c>
      <c r="Y13" s="3">
        <f>P13+S13+V13</f>
        <v>12.6</v>
      </c>
      <c r="Z13" s="3">
        <f>Q13+T13+W13</f>
        <v>194.5</v>
      </c>
      <c r="AA13" s="14">
        <f>Z13/Y13*100</f>
        <v>1543.6507936507937</v>
      </c>
      <c r="AB13" s="3">
        <v>0</v>
      </c>
      <c r="AC13" s="3">
        <v>0</v>
      </c>
      <c r="AD13" s="28" t="e">
        <f t="shared" si="6"/>
        <v>#DIV/0!</v>
      </c>
      <c r="AE13" s="3"/>
      <c r="AF13" s="3"/>
      <c r="AG13" s="28" t="e">
        <f t="shared" si="9"/>
        <v>#DIV/0!</v>
      </c>
      <c r="AH13" s="3"/>
      <c r="AI13" s="3"/>
      <c r="AJ13" s="3">
        <f t="shared" si="10"/>
        <v>0</v>
      </c>
      <c r="AK13" s="3">
        <f t="shared" si="11"/>
        <v>0</v>
      </c>
      <c r="AL13" s="14" t="e">
        <f>AK13/AJ13*100</f>
        <v>#DIV/0!</v>
      </c>
      <c r="AM13" s="3"/>
      <c r="AN13" s="3"/>
      <c r="AO13" s="3"/>
      <c r="AP13" s="3"/>
      <c r="AQ13" s="3"/>
      <c r="AR13" s="3"/>
      <c r="AS13" s="3">
        <f>M13+Y13+AJ13+AM13+AO13+AQ13</f>
        <v>272.1</v>
      </c>
      <c r="AT13" s="3">
        <f>N13+Z13+AK13+AN13+AP13+AR13</f>
        <v>312.3</v>
      </c>
      <c r="AU13" s="14">
        <f>AT13/AS13*100</f>
        <v>114.773980154355</v>
      </c>
      <c r="AV13" s="3">
        <f>AS13-AT13</f>
        <v>-40.19999999999999</v>
      </c>
      <c r="AW13" s="103">
        <f>C13+AS13-AT13</f>
        <v>9</v>
      </c>
    </row>
    <row r="14" spans="1:49" ht="24" customHeight="1">
      <c r="A14" s="98">
        <v>7</v>
      </c>
      <c r="B14" s="1" t="s">
        <v>102</v>
      </c>
      <c r="C14" s="2"/>
      <c r="D14" s="21"/>
      <c r="E14" s="21"/>
      <c r="F14" s="14"/>
      <c r="G14" s="21"/>
      <c r="H14" s="21"/>
      <c r="I14" s="36" t="e">
        <f t="shared" si="1"/>
        <v>#DIV/0!</v>
      </c>
      <c r="J14" s="21"/>
      <c r="K14" s="21"/>
      <c r="L14" s="36" t="e">
        <f t="shared" si="2"/>
        <v>#DIV/0!</v>
      </c>
      <c r="M14" s="3"/>
      <c r="N14" s="3"/>
      <c r="O14" s="14"/>
      <c r="P14" s="21"/>
      <c r="Q14" s="21"/>
      <c r="R14" s="36" t="e">
        <f t="shared" si="3"/>
        <v>#DIV/0!</v>
      </c>
      <c r="S14" s="21"/>
      <c r="T14" s="21"/>
      <c r="U14" s="36" t="e">
        <f t="shared" si="4"/>
        <v>#DIV/0!</v>
      </c>
      <c r="V14" s="21"/>
      <c r="W14" s="21"/>
      <c r="X14" s="36" t="e">
        <f t="shared" si="5"/>
        <v>#DIV/0!</v>
      </c>
      <c r="Y14" s="3"/>
      <c r="Z14" s="3"/>
      <c r="AA14" s="14"/>
      <c r="AB14" s="21"/>
      <c r="AC14" s="21"/>
      <c r="AD14" s="36" t="e">
        <f t="shared" si="6"/>
        <v>#DIV/0!</v>
      </c>
      <c r="AE14" s="21"/>
      <c r="AF14" s="21"/>
      <c r="AG14" s="36" t="e">
        <f t="shared" si="9"/>
        <v>#DIV/0!</v>
      </c>
      <c r="AH14" s="21"/>
      <c r="AI14" s="21"/>
      <c r="AJ14" s="3"/>
      <c r="AK14" s="3"/>
      <c r="AL14" s="14"/>
      <c r="AM14" s="21"/>
      <c r="AN14" s="21"/>
      <c r="AO14" s="21"/>
      <c r="AP14" s="21"/>
      <c r="AQ14" s="21"/>
      <c r="AR14" s="21"/>
      <c r="AS14" s="3"/>
      <c r="AT14" s="3"/>
      <c r="AU14" s="14"/>
      <c r="AV14" s="3"/>
      <c r="AW14" s="103"/>
    </row>
    <row r="15" spans="1:49" ht="24" customHeight="1">
      <c r="A15" s="98">
        <v>8</v>
      </c>
      <c r="B15" s="1" t="s">
        <v>103</v>
      </c>
      <c r="C15" s="2">
        <v>1501</v>
      </c>
      <c r="D15" s="3">
        <v>1207.4</v>
      </c>
      <c r="E15" s="3">
        <v>494.9</v>
      </c>
      <c r="F15" s="14">
        <f t="shared" si="0"/>
        <v>40.98890177240351</v>
      </c>
      <c r="G15" s="3">
        <v>1278.6</v>
      </c>
      <c r="H15" s="3">
        <v>935.3</v>
      </c>
      <c r="I15" s="14">
        <f t="shared" si="1"/>
        <v>73.15032066322541</v>
      </c>
      <c r="J15" s="3">
        <v>1298.7</v>
      </c>
      <c r="K15" s="3">
        <v>1093.5</v>
      </c>
      <c r="L15" s="14">
        <f t="shared" si="2"/>
        <v>84.1995841995842</v>
      </c>
      <c r="M15" s="3">
        <f>D15+G15+J15</f>
        <v>3784.7</v>
      </c>
      <c r="N15" s="3">
        <f>E15+H15+K15</f>
        <v>2523.7</v>
      </c>
      <c r="O15" s="14">
        <f t="shared" si="8"/>
        <v>66.6816392316432</v>
      </c>
      <c r="P15" s="3">
        <v>423.3</v>
      </c>
      <c r="Q15" s="3">
        <v>2762.1</v>
      </c>
      <c r="R15" s="14">
        <f t="shared" si="3"/>
        <v>652.5159461374911</v>
      </c>
      <c r="S15" s="3">
        <v>-177</v>
      </c>
      <c r="T15" s="3">
        <v>51.2</v>
      </c>
      <c r="U15" s="14">
        <f t="shared" si="4"/>
        <v>-28.926553672316384</v>
      </c>
      <c r="V15" s="3">
        <v>-0.2</v>
      </c>
      <c r="W15" s="3">
        <v>15</v>
      </c>
      <c r="X15" s="14">
        <f t="shared" si="5"/>
        <v>-7500</v>
      </c>
      <c r="Y15" s="3">
        <f>P15+S15+V15</f>
        <v>246.10000000000002</v>
      </c>
      <c r="Z15" s="3">
        <f>Q15+T15+W15</f>
        <v>2828.2999999999997</v>
      </c>
      <c r="AA15" s="14">
        <f>Z15/Y15*100</f>
        <v>1149.2482730597317</v>
      </c>
      <c r="AB15" s="3">
        <v>-0.3</v>
      </c>
      <c r="AC15" s="3">
        <v>18.4</v>
      </c>
      <c r="AD15" s="14">
        <f t="shared" si="6"/>
        <v>-6133.333333333333</v>
      </c>
      <c r="AE15" s="3"/>
      <c r="AF15" s="3"/>
      <c r="AG15" s="14" t="e">
        <f t="shared" si="9"/>
        <v>#DIV/0!</v>
      </c>
      <c r="AH15" s="3"/>
      <c r="AI15" s="3"/>
      <c r="AJ15" s="3">
        <f t="shared" si="10"/>
        <v>-0.3</v>
      </c>
      <c r="AK15" s="3">
        <f t="shared" si="11"/>
        <v>18.4</v>
      </c>
      <c r="AL15" s="14">
        <f>AK15/AJ15*100</f>
        <v>-6133.333333333333</v>
      </c>
      <c r="AM15" s="3"/>
      <c r="AN15" s="3"/>
      <c r="AO15" s="3"/>
      <c r="AP15" s="3"/>
      <c r="AQ15" s="3"/>
      <c r="AR15" s="3"/>
      <c r="AS15" s="3">
        <f>M15+Y15+AJ15+AM15+AO15+AQ15</f>
        <v>4030.4999999999995</v>
      </c>
      <c r="AT15" s="3">
        <f>N15+Z15+AK15+AN15+AP15+AR15</f>
        <v>5370.4</v>
      </c>
      <c r="AU15" s="14">
        <f>AT15/AS15*100</f>
        <v>133.24401439027415</v>
      </c>
      <c r="AV15" s="3">
        <f>AS15-AT15</f>
        <v>-1339.9</v>
      </c>
      <c r="AW15" s="103">
        <f>C15+AS15-AT15</f>
        <v>161.10000000000036</v>
      </c>
    </row>
    <row r="16" spans="1:49" ht="24" customHeight="1">
      <c r="A16" s="98">
        <v>9</v>
      </c>
      <c r="B16" s="1" t="s">
        <v>104</v>
      </c>
      <c r="C16" s="2"/>
      <c r="D16" s="21"/>
      <c r="E16" s="21"/>
      <c r="F16" s="36" t="e">
        <f t="shared" si="0"/>
        <v>#DIV/0!</v>
      </c>
      <c r="G16" s="21"/>
      <c r="H16" s="21"/>
      <c r="I16" s="36" t="e">
        <f t="shared" si="1"/>
        <v>#DIV/0!</v>
      </c>
      <c r="J16" s="21"/>
      <c r="K16" s="21"/>
      <c r="L16" s="36" t="e">
        <f t="shared" si="2"/>
        <v>#DIV/0!</v>
      </c>
      <c r="M16" s="3"/>
      <c r="N16" s="3"/>
      <c r="O16" s="14"/>
      <c r="P16" s="21"/>
      <c r="Q16" s="21"/>
      <c r="R16" s="36" t="e">
        <f t="shared" si="3"/>
        <v>#DIV/0!</v>
      </c>
      <c r="S16" s="21"/>
      <c r="T16" s="21"/>
      <c r="U16" s="36" t="e">
        <f t="shared" si="4"/>
        <v>#DIV/0!</v>
      </c>
      <c r="V16" s="21"/>
      <c r="W16" s="21"/>
      <c r="X16" s="36" t="e">
        <f t="shared" si="5"/>
        <v>#DIV/0!</v>
      </c>
      <c r="Y16" s="3"/>
      <c r="Z16" s="3"/>
      <c r="AA16" s="14"/>
      <c r="AB16" s="21"/>
      <c r="AC16" s="21"/>
      <c r="AD16" s="36" t="e">
        <f t="shared" si="6"/>
        <v>#DIV/0!</v>
      </c>
      <c r="AE16" s="21"/>
      <c r="AF16" s="21"/>
      <c r="AG16" s="36"/>
      <c r="AH16" s="21"/>
      <c r="AI16" s="21"/>
      <c r="AJ16" s="3"/>
      <c r="AK16" s="3"/>
      <c r="AL16" s="14"/>
      <c r="AM16" s="21"/>
      <c r="AN16" s="21"/>
      <c r="AO16" s="21"/>
      <c r="AP16" s="21"/>
      <c r="AQ16" s="21"/>
      <c r="AR16" s="21"/>
      <c r="AS16" s="3"/>
      <c r="AT16" s="3"/>
      <c r="AU16" s="14"/>
      <c r="AV16" s="3"/>
      <c r="AW16" s="103"/>
    </row>
    <row r="17" spans="1:49" ht="24" customHeight="1">
      <c r="A17" s="98">
        <v>10</v>
      </c>
      <c r="B17" s="15" t="s">
        <v>105</v>
      </c>
      <c r="C17" s="2">
        <f>0+1000.9</f>
        <v>1000.9</v>
      </c>
      <c r="D17" s="3">
        <v>421.8</v>
      </c>
      <c r="E17" s="3">
        <v>0</v>
      </c>
      <c r="F17" s="14">
        <f t="shared" si="0"/>
        <v>0</v>
      </c>
      <c r="G17" s="3">
        <v>418.1</v>
      </c>
      <c r="H17" s="3">
        <v>1000.9</v>
      </c>
      <c r="I17" s="14">
        <f t="shared" si="1"/>
        <v>239.3924898349677</v>
      </c>
      <c r="J17" s="3">
        <v>819.4</v>
      </c>
      <c r="K17" s="3">
        <v>336</v>
      </c>
      <c r="L17" s="14">
        <f t="shared" si="2"/>
        <v>41.00561386380278</v>
      </c>
      <c r="M17" s="3">
        <f aca="true" t="shared" si="12" ref="M17:N19">D17+G17+J17</f>
        <v>1659.3000000000002</v>
      </c>
      <c r="N17" s="3">
        <f t="shared" si="12"/>
        <v>1336.9</v>
      </c>
      <c r="O17" s="14">
        <f t="shared" si="8"/>
        <v>80.570119930091</v>
      </c>
      <c r="P17" s="3">
        <v>326.1</v>
      </c>
      <c r="Q17" s="3">
        <v>1323.4</v>
      </c>
      <c r="R17" s="14">
        <f t="shared" si="3"/>
        <v>405.8264336093223</v>
      </c>
      <c r="S17" s="3">
        <v>-201.4</v>
      </c>
      <c r="T17" s="3">
        <v>69.1</v>
      </c>
      <c r="U17" s="14">
        <f t="shared" si="4"/>
        <v>-34.3098311817279</v>
      </c>
      <c r="V17" s="3">
        <v>-0.1</v>
      </c>
      <c r="W17" s="3">
        <v>0</v>
      </c>
      <c r="X17" s="14">
        <f t="shared" si="5"/>
        <v>0</v>
      </c>
      <c r="Y17" s="3">
        <f aca="true" t="shared" si="13" ref="Y17:Z19">P17+S17+V17</f>
        <v>124.60000000000002</v>
      </c>
      <c r="Z17" s="3">
        <f t="shared" si="13"/>
        <v>1392.5</v>
      </c>
      <c r="AA17" s="14">
        <f>Z17/Y17*100</f>
        <v>1117.5762439807381</v>
      </c>
      <c r="AB17" s="3">
        <v>0</v>
      </c>
      <c r="AC17" s="3">
        <v>0</v>
      </c>
      <c r="AD17" s="28" t="e">
        <f t="shared" si="6"/>
        <v>#DIV/0!</v>
      </c>
      <c r="AE17" s="3"/>
      <c r="AF17" s="3"/>
      <c r="AG17" s="14" t="e">
        <f>AF17/AE17*100</f>
        <v>#DIV/0!</v>
      </c>
      <c r="AH17" s="3"/>
      <c r="AI17" s="3"/>
      <c r="AJ17" s="3">
        <f t="shared" si="10"/>
        <v>0</v>
      </c>
      <c r="AK17" s="3">
        <f t="shared" si="11"/>
        <v>0</v>
      </c>
      <c r="AL17" s="14" t="e">
        <f>AK17/AJ17*100</f>
        <v>#DIV/0!</v>
      </c>
      <c r="AM17" s="3"/>
      <c r="AN17" s="3"/>
      <c r="AO17" s="3"/>
      <c r="AP17" s="3"/>
      <c r="AQ17" s="3"/>
      <c r="AR17" s="3"/>
      <c r="AS17" s="3">
        <f aca="true" t="shared" si="14" ref="AS17:AT19">M17+Y17+AJ17+AM17+AO17+AQ17</f>
        <v>1783.9</v>
      </c>
      <c r="AT17" s="3">
        <f t="shared" si="14"/>
        <v>2729.4</v>
      </c>
      <c r="AU17" s="14">
        <f>AT17/AS17*100</f>
        <v>153.00184987947753</v>
      </c>
      <c r="AV17" s="3">
        <f>AS17-AT17</f>
        <v>-945.5</v>
      </c>
      <c r="AW17" s="103">
        <f>C17+AS17-AT17</f>
        <v>55.40000000000009</v>
      </c>
    </row>
    <row r="18" spans="1:49" ht="24" customHeight="1">
      <c r="A18" s="98">
        <v>11</v>
      </c>
      <c r="B18" s="15" t="s">
        <v>106</v>
      </c>
      <c r="C18" s="2">
        <v>125.8</v>
      </c>
      <c r="D18" s="3">
        <v>99.1</v>
      </c>
      <c r="E18" s="3">
        <v>33.2</v>
      </c>
      <c r="F18" s="14">
        <f t="shared" si="0"/>
        <v>33.50151362260343</v>
      </c>
      <c r="G18" s="3">
        <v>144</v>
      </c>
      <c r="H18" s="3">
        <v>86.3</v>
      </c>
      <c r="I18" s="89">
        <f t="shared" si="1"/>
        <v>59.93055555555556</v>
      </c>
      <c r="J18" s="3">
        <v>148.2</v>
      </c>
      <c r="K18" s="3">
        <v>83.4</v>
      </c>
      <c r="L18" s="89">
        <f t="shared" si="2"/>
        <v>56.275303643724705</v>
      </c>
      <c r="M18" s="3">
        <f t="shared" si="12"/>
        <v>391.29999999999995</v>
      </c>
      <c r="N18" s="3">
        <f t="shared" si="12"/>
        <v>202.9</v>
      </c>
      <c r="O18" s="14">
        <f t="shared" si="8"/>
        <v>51.85279836442628</v>
      </c>
      <c r="P18" s="3">
        <v>41.8</v>
      </c>
      <c r="Q18" s="3">
        <v>276.2</v>
      </c>
      <c r="R18" s="33">
        <f t="shared" si="3"/>
        <v>660.7655502392345</v>
      </c>
      <c r="S18" s="3">
        <v>-22.5</v>
      </c>
      <c r="T18" s="3"/>
      <c r="U18" s="89">
        <f t="shared" si="4"/>
        <v>0</v>
      </c>
      <c r="V18" s="3"/>
      <c r="W18" s="3"/>
      <c r="X18" s="28" t="e">
        <f t="shared" si="5"/>
        <v>#DIV/0!</v>
      </c>
      <c r="Y18" s="3">
        <f t="shared" si="13"/>
        <v>19.299999999999997</v>
      </c>
      <c r="Z18" s="3">
        <f t="shared" si="13"/>
        <v>276.2</v>
      </c>
      <c r="AA18" s="14">
        <f>Z18/Y18*100</f>
        <v>1431.0880829015546</v>
      </c>
      <c r="AB18" s="3">
        <v>0</v>
      </c>
      <c r="AC18" s="3">
        <v>6.7</v>
      </c>
      <c r="AD18" s="28" t="e">
        <f t="shared" si="6"/>
        <v>#DIV/0!</v>
      </c>
      <c r="AE18" s="3"/>
      <c r="AF18" s="3"/>
      <c r="AG18" s="28" t="e">
        <f>AF18/AE18*100</f>
        <v>#DIV/0!</v>
      </c>
      <c r="AH18" s="3"/>
      <c r="AI18" s="3"/>
      <c r="AJ18" s="3">
        <f t="shared" si="10"/>
        <v>0</v>
      </c>
      <c r="AK18" s="3">
        <f t="shared" si="11"/>
        <v>6.7</v>
      </c>
      <c r="AL18" s="14" t="e">
        <f>AK18/AJ18*100</f>
        <v>#DIV/0!</v>
      </c>
      <c r="AM18" s="3"/>
      <c r="AN18" s="3"/>
      <c r="AO18" s="3"/>
      <c r="AP18" s="3"/>
      <c r="AQ18" s="3"/>
      <c r="AR18" s="3"/>
      <c r="AS18" s="3">
        <f t="shared" si="14"/>
        <v>410.59999999999997</v>
      </c>
      <c r="AT18" s="3">
        <f t="shared" si="14"/>
        <v>485.8</v>
      </c>
      <c r="AU18" s="14">
        <f>AT18/AS18*100</f>
        <v>118.31466147101804</v>
      </c>
      <c r="AV18" s="3">
        <f>AS18-AT18</f>
        <v>-75.20000000000005</v>
      </c>
      <c r="AW18" s="103">
        <f>C18+AS18-AT18</f>
        <v>50.599999999999966</v>
      </c>
    </row>
    <row r="19" spans="1:49" ht="24" customHeight="1">
      <c r="A19" s="98">
        <v>12</v>
      </c>
      <c r="B19" s="1" t="s">
        <v>107</v>
      </c>
      <c r="C19" s="2">
        <v>972.1</v>
      </c>
      <c r="D19" s="3">
        <v>870</v>
      </c>
      <c r="E19" s="3">
        <v>437.1</v>
      </c>
      <c r="F19" s="14">
        <f t="shared" si="0"/>
        <v>50.241379310344826</v>
      </c>
      <c r="G19" s="3">
        <v>788.1</v>
      </c>
      <c r="H19" s="3">
        <v>722.9</v>
      </c>
      <c r="I19" s="14">
        <f t="shared" si="1"/>
        <v>91.72693820581144</v>
      </c>
      <c r="J19" s="3">
        <v>816.6</v>
      </c>
      <c r="K19" s="3">
        <v>744.4</v>
      </c>
      <c r="L19" s="14">
        <f t="shared" si="2"/>
        <v>91.15846191525839</v>
      </c>
      <c r="M19" s="3">
        <f t="shared" si="12"/>
        <v>2474.7</v>
      </c>
      <c r="N19" s="3">
        <f t="shared" si="12"/>
        <v>1904.4</v>
      </c>
      <c r="O19" s="14">
        <f t="shared" si="8"/>
        <v>76.95478239786641</v>
      </c>
      <c r="P19" s="3">
        <v>200.42</v>
      </c>
      <c r="Q19" s="3">
        <v>1752.1</v>
      </c>
      <c r="R19" s="14">
        <f t="shared" si="3"/>
        <v>874.2141502844028</v>
      </c>
      <c r="S19" s="3">
        <v>-594.9</v>
      </c>
      <c r="T19" s="3"/>
      <c r="U19" s="14">
        <f t="shared" si="4"/>
        <v>0</v>
      </c>
      <c r="V19" s="3">
        <v>366.5</v>
      </c>
      <c r="W19" s="3">
        <v>0</v>
      </c>
      <c r="X19" s="14">
        <f t="shared" si="5"/>
        <v>0</v>
      </c>
      <c r="Y19" s="3">
        <f t="shared" si="13"/>
        <v>-27.980000000000018</v>
      </c>
      <c r="Z19" s="3">
        <f t="shared" si="13"/>
        <v>1752.1</v>
      </c>
      <c r="AA19" s="14">
        <f>Z19/Y19*100</f>
        <v>-6261.972837741239</v>
      </c>
      <c r="AB19" s="3">
        <v>-12.9</v>
      </c>
      <c r="AC19" s="3">
        <v>0</v>
      </c>
      <c r="AD19" s="28">
        <f t="shared" si="6"/>
        <v>0</v>
      </c>
      <c r="AE19" s="3"/>
      <c r="AF19" s="3"/>
      <c r="AG19" s="28" t="e">
        <f>AF19/AE19*100</f>
        <v>#DIV/0!</v>
      </c>
      <c r="AH19" s="3"/>
      <c r="AI19" s="3"/>
      <c r="AJ19" s="3">
        <f t="shared" si="10"/>
        <v>-12.9</v>
      </c>
      <c r="AK19" s="3">
        <f t="shared" si="11"/>
        <v>0</v>
      </c>
      <c r="AL19" s="14">
        <f>AK19/AJ19*100</f>
        <v>0</v>
      </c>
      <c r="AM19" s="3"/>
      <c r="AN19" s="3"/>
      <c r="AO19" s="3"/>
      <c r="AP19" s="3"/>
      <c r="AQ19" s="3"/>
      <c r="AR19" s="3"/>
      <c r="AS19" s="3">
        <f t="shared" si="14"/>
        <v>2433.8199999999997</v>
      </c>
      <c r="AT19" s="3">
        <f t="shared" si="14"/>
        <v>3656.5</v>
      </c>
      <c r="AU19" s="14">
        <f>AT19/AS19*100</f>
        <v>150.23707587249675</v>
      </c>
      <c r="AV19" s="3">
        <f>AS19-AT19</f>
        <v>-1222.6800000000003</v>
      </c>
      <c r="AW19" s="103">
        <f>C19+AS19-AT19</f>
        <v>-250.58000000000038</v>
      </c>
    </row>
    <row r="20" spans="1:49" ht="24" customHeight="1">
      <c r="A20" s="98">
        <v>13</v>
      </c>
      <c r="B20" s="15" t="s">
        <v>108</v>
      </c>
      <c r="C20" s="2"/>
      <c r="D20" s="21"/>
      <c r="E20" s="21"/>
      <c r="F20" s="36" t="e">
        <f t="shared" si="0"/>
        <v>#DIV/0!</v>
      </c>
      <c r="G20" s="21"/>
      <c r="H20" s="21"/>
      <c r="I20" s="36" t="e">
        <f t="shared" si="1"/>
        <v>#DIV/0!</v>
      </c>
      <c r="J20" s="21"/>
      <c r="K20" s="21"/>
      <c r="L20" s="36" t="e">
        <f t="shared" si="2"/>
        <v>#DIV/0!</v>
      </c>
      <c r="M20" s="3"/>
      <c r="N20" s="3"/>
      <c r="O20" s="14"/>
      <c r="P20" s="21"/>
      <c r="Q20" s="21"/>
      <c r="R20" s="36" t="e">
        <f t="shared" si="3"/>
        <v>#DIV/0!</v>
      </c>
      <c r="S20" s="21"/>
      <c r="T20" s="21"/>
      <c r="U20" s="36" t="e">
        <f t="shared" si="4"/>
        <v>#DIV/0!</v>
      </c>
      <c r="V20" s="21"/>
      <c r="W20" s="21"/>
      <c r="X20" s="36" t="e">
        <f t="shared" si="5"/>
        <v>#DIV/0!</v>
      </c>
      <c r="Y20" s="3"/>
      <c r="Z20" s="3"/>
      <c r="AA20" s="14"/>
      <c r="AB20" s="21"/>
      <c r="AC20" s="21"/>
      <c r="AD20" s="36" t="e">
        <f t="shared" si="6"/>
        <v>#DIV/0!</v>
      </c>
      <c r="AE20" s="21"/>
      <c r="AF20" s="21"/>
      <c r="AG20" s="36"/>
      <c r="AH20" s="21"/>
      <c r="AI20" s="21"/>
      <c r="AJ20" s="3"/>
      <c r="AK20" s="3"/>
      <c r="AL20" s="14"/>
      <c r="AM20" s="21"/>
      <c r="AN20" s="21"/>
      <c r="AO20" s="21"/>
      <c r="AP20" s="21"/>
      <c r="AQ20" s="21"/>
      <c r="AR20" s="21"/>
      <c r="AS20" s="3"/>
      <c r="AT20" s="3"/>
      <c r="AU20" s="14"/>
      <c r="AV20" s="3"/>
      <c r="AW20" s="103"/>
    </row>
    <row r="21" spans="1:49" ht="24" customHeight="1">
      <c r="A21" s="98">
        <v>14</v>
      </c>
      <c r="B21" s="15" t="s">
        <v>109</v>
      </c>
      <c r="C21" s="2"/>
      <c r="D21" s="21"/>
      <c r="E21" s="21"/>
      <c r="F21" s="36" t="e">
        <f t="shared" si="0"/>
        <v>#DIV/0!</v>
      </c>
      <c r="G21" s="21"/>
      <c r="H21" s="21"/>
      <c r="I21" s="36" t="e">
        <f t="shared" si="1"/>
        <v>#DIV/0!</v>
      </c>
      <c r="J21" s="21"/>
      <c r="K21" s="21"/>
      <c r="L21" s="36" t="e">
        <f t="shared" si="2"/>
        <v>#DIV/0!</v>
      </c>
      <c r="M21" s="3"/>
      <c r="N21" s="3"/>
      <c r="O21" s="14"/>
      <c r="P21" s="21"/>
      <c r="Q21" s="21"/>
      <c r="R21" s="36" t="e">
        <f t="shared" si="3"/>
        <v>#DIV/0!</v>
      </c>
      <c r="S21" s="21"/>
      <c r="T21" s="21"/>
      <c r="U21" s="36" t="e">
        <f t="shared" si="4"/>
        <v>#DIV/0!</v>
      </c>
      <c r="V21" s="21"/>
      <c r="W21" s="21"/>
      <c r="X21" s="36" t="e">
        <f t="shared" si="5"/>
        <v>#DIV/0!</v>
      </c>
      <c r="Y21" s="3"/>
      <c r="Z21" s="3"/>
      <c r="AA21" s="14"/>
      <c r="AB21" s="21"/>
      <c r="AC21" s="21"/>
      <c r="AD21" s="36" t="e">
        <f t="shared" si="6"/>
        <v>#DIV/0!</v>
      </c>
      <c r="AE21" s="21"/>
      <c r="AF21" s="21"/>
      <c r="AG21" s="36"/>
      <c r="AH21" s="21"/>
      <c r="AI21" s="21"/>
      <c r="AJ21" s="3"/>
      <c r="AK21" s="3"/>
      <c r="AL21" s="14"/>
      <c r="AM21" s="21"/>
      <c r="AN21" s="21"/>
      <c r="AO21" s="21"/>
      <c r="AP21" s="21"/>
      <c r="AQ21" s="21"/>
      <c r="AR21" s="21"/>
      <c r="AS21" s="3"/>
      <c r="AT21" s="3"/>
      <c r="AU21" s="14"/>
      <c r="AV21" s="3"/>
      <c r="AW21" s="103"/>
    </row>
    <row r="22" spans="1:49" ht="36.75" customHeight="1">
      <c r="A22" s="98">
        <v>15</v>
      </c>
      <c r="B22" s="15" t="s">
        <v>110</v>
      </c>
      <c r="C22" s="2"/>
      <c r="D22" s="21"/>
      <c r="E22" s="21"/>
      <c r="F22" s="36" t="e">
        <f t="shared" si="0"/>
        <v>#DIV/0!</v>
      </c>
      <c r="G22" s="21"/>
      <c r="H22" s="21"/>
      <c r="I22" s="36" t="e">
        <f t="shared" si="1"/>
        <v>#DIV/0!</v>
      </c>
      <c r="J22" s="21"/>
      <c r="K22" s="21"/>
      <c r="L22" s="36" t="e">
        <f t="shared" si="2"/>
        <v>#DIV/0!</v>
      </c>
      <c r="M22" s="3"/>
      <c r="N22" s="3"/>
      <c r="O22" s="14"/>
      <c r="P22" s="21"/>
      <c r="Q22" s="21"/>
      <c r="R22" s="36" t="e">
        <f t="shared" si="3"/>
        <v>#DIV/0!</v>
      </c>
      <c r="S22" s="21"/>
      <c r="T22" s="21"/>
      <c r="U22" s="36" t="e">
        <f t="shared" si="4"/>
        <v>#DIV/0!</v>
      </c>
      <c r="V22" s="21"/>
      <c r="W22" s="21"/>
      <c r="X22" s="36" t="e">
        <f t="shared" si="5"/>
        <v>#DIV/0!</v>
      </c>
      <c r="Y22" s="3"/>
      <c r="Z22" s="3"/>
      <c r="AA22" s="14"/>
      <c r="AB22" s="21"/>
      <c r="AC22" s="21"/>
      <c r="AD22" s="36" t="e">
        <f t="shared" si="6"/>
        <v>#DIV/0!</v>
      </c>
      <c r="AE22" s="21"/>
      <c r="AF22" s="21"/>
      <c r="AG22" s="36"/>
      <c r="AH22" s="21"/>
      <c r="AI22" s="21"/>
      <c r="AJ22" s="3"/>
      <c r="AK22" s="3"/>
      <c r="AL22" s="14"/>
      <c r="AM22" s="21"/>
      <c r="AN22" s="21"/>
      <c r="AO22" s="21"/>
      <c r="AP22" s="21"/>
      <c r="AQ22" s="21"/>
      <c r="AR22" s="21"/>
      <c r="AS22" s="3"/>
      <c r="AT22" s="3"/>
      <c r="AU22" s="14"/>
      <c r="AV22" s="3"/>
      <c r="AW22" s="103"/>
    </row>
    <row r="23" spans="1:49" ht="24" customHeight="1">
      <c r="A23" s="98">
        <v>16</v>
      </c>
      <c r="B23" s="15" t="s">
        <v>29</v>
      </c>
      <c r="C23" s="2"/>
      <c r="D23" s="21"/>
      <c r="E23" s="21"/>
      <c r="F23" s="36"/>
      <c r="G23" s="21"/>
      <c r="H23" s="21"/>
      <c r="I23" s="36" t="e">
        <f t="shared" si="1"/>
        <v>#DIV/0!</v>
      </c>
      <c r="J23" s="21"/>
      <c r="K23" s="21"/>
      <c r="L23" s="36" t="e">
        <f t="shared" si="2"/>
        <v>#DIV/0!</v>
      </c>
      <c r="M23" s="3"/>
      <c r="N23" s="3"/>
      <c r="O23" s="14"/>
      <c r="P23" s="21"/>
      <c r="Q23" s="21"/>
      <c r="R23" s="36" t="e">
        <f t="shared" si="3"/>
        <v>#DIV/0!</v>
      </c>
      <c r="S23" s="21"/>
      <c r="T23" s="21"/>
      <c r="U23" s="36" t="e">
        <f t="shared" si="4"/>
        <v>#DIV/0!</v>
      </c>
      <c r="V23" s="21"/>
      <c r="W23" s="21"/>
      <c r="X23" s="36" t="e">
        <f t="shared" si="5"/>
        <v>#DIV/0!</v>
      </c>
      <c r="Y23" s="3"/>
      <c r="Z23" s="3"/>
      <c r="AA23" s="14"/>
      <c r="AB23" s="21"/>
      <c r="AC23" s="21"/>
      <c r="AD23" s="36" t="e">
        <f t="shared" si="6"/>
        <v>#DIV/0!</v>
      </c>
      <c r="AE23" s="90"/>
      <c r="AF23" s="90"/>
      <c r="AG23" s="90"/>
      <c r="AH23" s="90"/>
      <c r="AI23" s="90"/>
      <c r="AJ23" s="3"/>
      <c r="AK23" s="3"/>
      <c r="AL23" s="14"/>
      <c r="AM23" s="90"/>
      <c r="AN23" s="90"/>
      <c r="AO23" s="90"/>
      <c r="AP23" s="90"/>
      <c r="AQ23" s="90"/>
      <c r="AR23" s="90"/>
      <c r="AS23" s="3"/>
      <c r="AT23" s="3"/>
      <c r="AU23" s="14"/>
      <c r="AV23" s="3"/>
      <c r="AW23" s="103"/>
    </row>
    <row r="24" spans="1:49" ht="36.75" customHeight="1">
      <c r="A24" s="98">
        <v>17</v>
      </c>
      <c r="B24" s="15" t="s">
        <v>111</v>
      </c>
      <c r="C24" s="2">
        <v>3236.4</v>
      </c>
      <c r="D24" s="3">
        <v>3028.3</v>
      </c>
      <c r="E24" s="3">
        <v>1019.3</v>
      </c>
      <c r="F24" s="14">
        <f t="shared" si="0"/>
        <v>33.659148697288906</v>
      </c>
      <c r="G24" s="3">
        <v>3048.1</v>
      </c>
      <c r="H24" s="3">
        <v>2213</v>
      </c>
      <c r="I24" s="14">
        <f t="shared" si="1"/>
        <v>72.602604901414</v>
      </c>
      <c r="J24" s="3">
        <v>3076</v>
      </c>
      <c r="K24" s="3">
        <v>2731.7</v>
      </c>
      <c r="L24" s="14">
        <f t="shared" si="2"/>
        <v>88.80689206762028</v>
      </c>
      <c r="M24" s="3">
        <f>D24+G24+J24</f>
        <v>9152.4</v>
      </c>
      <c r="N24" s="3">
        <f>E24+H24+K24</f>
        <v>5964</v>
      </c>
      <c r="O24" s="14">
        <f t="shared" si="8"/>
        <v>65.16323587255802</v>
      </c>
      <c r="P24" s="3">
        <v>465.2</v>
      </c>
      <c r="Q24" s="3">
        <v>6424.8</v>
      </c>
      <c r="R24" s="14">
        <f t="shared" si="3"/>
        <v>1381.0834049871025</v>
      </c>
      <c r="S24" s="3">
        <v>-168.1</v>
      </c>
      <c r="T24" s="3">
        <v>0</v>
      </c>
      <c r="U24" s="14">
        <f t="shared" si="4"/>
        <v>0</v>
      </c>
      <c r="V24" s="3">
        <v>1.3</v>
      </c>
      <c r="W24" s="3">
        <v>27.2</v>
      </c>
      <c r="X24" s="14">
        <f t="shared" si="5"/>
        <v>2092.3076923076924</v>
      </c>
      <c r="Y24" s="3">
        <f>P24+S24+V24</f>
        <v>298.40000000000003</v>
      </c>
      <c r="Z24" s="3">
        <f>Q24+T24+W24</f>
        <v>6452</v>
      </c>
      <c r="AA24" s="14">
        <f>Z24/Y24*100</f>
        <v>2162.1983914209113</v>
      </c>
      <c r="AB24" s="3">
        <v>0.8</v>
      </c>
      <c r="AC24" s="3">
        <v>0</v>
      </c>
      <c r="AD24" s="14">
        <f t="shared" si="6"/>
        <v>0</v>
      </c>
      <c r="AE24" s="3"/>
      <c r="AF24" s="3"/>
      <c r="AG24" s="14" t="e">
        <f>AF24/AE24*100</f>
        <v>#DIV/0!</v>
      </c>
      <c r="AH24" s="3"/>
      <c r="AI24" s="3"/>
      <c r="AJ24" s="3">
        <f t="shared" si="10"/>
        <v>0.8</v>
      </c>
      <c r="AK24" s="3">
        <f t="shared" si="11"/>
        <v>0</v>
      </c>
      <c r="AL24" s="14">
        <f>AK24/AJ24*100</f>
        <v>0</v>
      </c>
      <c r="AM24" s="3"/>
      <c r="AN24" s="3"/>
      <c r="AO24" s="3"/>
      <c r="AP24" s="3"/>
      <c r="AQ24" s="3"/>
      <c r="AR24" s="3"/>
      <c r="AS24" s="3">
        <f>M24+Y24+AJ24+AM24+AO24+AQ24</f>
        <v>9451.599999999999</v>
      </c>
      <c r="AT24" s="3">
        <f>N24+Z24+AK24+AN24+AP24+AR24</f>
        <v>12416</v>
      </c>
      <c r="AU24" s="14">
        <f>AT24/AS24*100</f>
        <v>131.3640018621186</v>
      </c>
      <c r="AV24" s="3">
        <f>AS24-AT24</f>
        <v>-2964.4000000000015</v>
      </c>
      <c r="AW24" s="103">
        <f>C24+AS24-AT24</f>
        <v>271.9999999999982</v>
      </c>
    </row>
    <row r="25" spans="1:49" ht="24" customHeight="1">
      <c r="A25" s="98">
        <v>18</v>
      </c>
      <c r="B25" s="1" t="s">
        <v>112</v>
      </c>
      <c r="C25" s="2"/>
      <c r="D25" s="21"/>
      <c r="E25" s="21"/>
      <c r="F25" s="36" t="e">
        <f t="shared" si="0"/>
        <v>#DIV/0!</v>
      </c>
      <c r="G25" s="21"/>
      <c r="H25" s="21"/>
      <c r="I25" s="36" t="e">
        <f t="shared" si="1"/>
        <v>#DIV/0!</v>
      </c>
      <c r="J25" s="21"/>
      <c r="K25" s="21"/>
      <c r="L25" s="36" t="e">
        <f t="shared" si="2"/>
        <v>#DIV/0!</v>
      </c>
      <c r="M25" s="3"/>
      <c r="N25" s="3"/>
      <c r="O25" s="14"/>
      <c r="P25" s="21"/>
      <c r="Q25" s="21"/>
      <c r="R25" s="36" t="e">
        <f t="shared" si="3"/>
        <v>#DIV/0!</v>
      </c>
      <c r="S25" s="21"/>
      <c r="T25" s="21"/>
      <c r="U25" s="36" t="e">
        <f t="shared" si="4"/>
        <v>#DIV/0!</v>
      </c>
      <c r="V25" s="21"/>
      <c r="W25" s="21"/>
      <c r="X25" s="36" t="e">
        <f t="shared" si="5"/>
        <v>#DIV/0!</v>
      </c>
      <c r="Y25" s="3"/>
      <c r="Z25" s="3"/>
      <c r="AA25" s="14"/>
      <c r="AB25" s="21"/>
      <c r="AC25" s="21"/>
      <c r="AD25" s="28" t="e">
        <f t="shared" si="6"/>
        <v>#DIV/0!</v>
      </c>
      <c r="AE25" s="21"/>
      <c r="AF25" s="21"/>
      <c r="AG25" s="14"/>
      <c r="AH25" s="21"/>
      <c r="AI25" s="21"/>
      <c r="AJ25" s="3"/>
      <c r="AK25" s="3"/>
      <c r="AL25" s="14"/>
      <c r="AM25" s="21"/>
      <c r="AN25" s="21"/>
      <c r="AO25" s="21"/>
      <c r="AP25" s="21"/>
      <c r="AQ25" s="21"/>
      <c r="AR25" s="21"/>
      <c r="AS25" s="3"/>
      <c r="AT25" s="3"/>
      <c r="AU25" s="14"/>
      <c r="AV25" s="3"/>
      <c r="AW25" s="103"/>
    </row>
    <row r="26" spans="1:49" ht="24" customHeight="1">
      <c r="A26" s="98">
        <v>19</v>
      </c>
      <c r="B26" s="15" t="s">
        <v>113</v>
      </c>
      <c r="C26" s="2">
        <f>346.7</f>
        <v>346.7</v>
      </c>
      <c r="D26" s="3">
        <v>373.5</v>
      </c>
      <c r="E26" s="3">
        <v>141.6</v>
      </c>
      <c r="F26" s="14">
        <f t="shared" si="0"/>
        <v>37.911646586345384</v>
      </c>
      <c r="G26" s="3">
        <v>378.8</v>
      </c>
      <c r="H26" s="3">
        <v>203.5</v>
      </c>
      <c r="I26" s="14">
        <f t="shared" si="1"/>
        <v>53.72228088701161</v>
      </c>
      <c r="J26" s="3">
        <v>385.9</v>
      </c>
      <c r="K26" s="3">
        <v>310.7</v>
      </c>
      <c r="L26" s="14">
        <f t="shared" si="2"/>
        <v>80.51308629178544</v>
      </c>
      <c r="M26" s="3">
        <f>D26+G26+J26</f>
        <v>1138.1999999999998</v>
      </c>
      <c r="N26" s="3">
        <f>E26+H26+K26</f>
        <v>655.8</v>
      </c>
      <c r="O26" s="14">
        <f t="shared" si="8"/>
        <v>57.617290458618875</v>
      </c>
      <c r="P26" s="3">
        <v>41.1</v>
      </c>
      <c r="Q26" s="3">
        <v>815</v>
      </c>
      <c r="R26" s="14">
        <f t="shared" si="3"/>
        <v>1982.9683698296838</v>
      </c>
      <c r="S26" s="3">
        <v>-5.8</v>
      </c>
      <c r="T26" s="3">
        <v>13.8</v>
      </c>
      <c r="U26" s="14">
        <f t="shared" si="4"/>
        <v>-237.93103448275863</v>
      </c>
      <c r="V26" s="3">
        <v>0.4</v>
      </c>
      <c r="W26" s="3">
        <v>0.4</v>
      </c>
      <c r="X26" s="28">
        <f t="shared" si="5"/>
        <v>100</v>
      </c>
      <c r="Y26" s="3">
        <f>P26+S26+V26</f>
        <v>35.7</v>
      </c>
      <c r="Z26" s="3">
        <f>Q26+T26+W26</f>
        <v>829.1999999999999</v>
      </c>
      <c r="AA26" s="14">
        <f>Z26/Y26*100</f>
        <v>2322.689075630252</v>
      </c>
      <c r="AB26" s="3">
        <v>0</v>
      </c>
      <c r="AC26" s="3">
        <v>0</v>
      </c>
      <c r="AD26" s="33">
        <v>0</v>
      </c>
      <c r="AE26" s="3"/>
      <c r="AF26" s="3"/>
      <c r="AG26" s="28" t="e">
        <f>AF26/AE26*100</f>
        <v>#DIV/0!</v>
      </c>
      <c r="AH26" s="3"/>
      <c r="AI26" s="3"/>
      <c r="AJ26" s="3">
        <f t="shared" si="10"/>
        <v>0</v>
      </c>
      <c r="AK26" s="3">
        <f t="shared" si="11"/>
        <v>0</v>
      </c>
      <c r="AL26" s="14" t="e">
        <f>AK26/AJ26*100</f>
        <v>#DIV/0!</v>
      </c>
      <c r="AM26" s="3"/>
      <c r="AN26" s="3"/>
      <c r="AO26" s="3"/>
      <c r="AP26" s="3"/>
      <c r="AQ26" s="3"/>
      <c r="AR26" s="3"/>
      <c r="AS26" s="3">
        <f>M26+Y26+AJ26+AM26+AO26+AQ26</f>
        <v>1173.8999999999999</v>
      </c>
      <c r="AT26" s="3">
        <f>N26+Z26+AK26+AN26+AP26+AR26</f>
        <v>1485</v>
      </c>
      <c r="AU26" s="14">
        <f>AT26/AS26*100</f>
        <v>126.50140557117302</v>
      </c>
      <c r="AV26" s="3">
        <f>AS26-AT26</f>
        <v>-311.10000000000014</v>
      </c>
      <c r="AW26" s="103">
        <f>C26+AS26-AT26</f>
        <v>35.59999999999991</v>
      </c>
    </row>
    <row r="27" spans="1:49" ht="36.75" customHeight="1">
      <c r="A27" s="98">
        <v>20</v>
      </c>
      <c r="B27" s="15" t="s">
        <v>114</v>
      </c>
      <c r="C27" s="2">
        <v>5313.6</v>
      </c>
      <c r="D27" s="3">
        <v>2613.7</v>
      </c>
      <c r="E27" s="3">
        <v>1645.8</v>
      </c>
      <c r="F27" s="14">
        <f t="shared" si="0"/>
        <v>62.968205991506295</v>
      </c>
      <c r="G27" s="3">
        <v>2615.5</v>
      </c>
      <c r="H27" s="3">
        <v>3417.5</v>
      </c>
      <c r="I27" s="14">
        <f t="shared" si="1"/>
        <v>130.6633530873638</v>
      </c>
      <c r="J27" s="3">
        <v>2598.9</v>
      </c>
      <c r="K27" s="3">
        <v>2278.2</v>
      </c>
      <c r="L27" s="14">
        <f t="shared" si="2"/>
        <v>87.6601639155027</v>
      </c>
      <c r="M27" s="3">
        <f>D27+G27+J27</f>
        <v>7828.1</v>
      </c>
      <c r="N27" s="3">
        <f>E27+H27+K27</f>
        <v>7341.5</v>
      </c>
      <c r="O27" s="14">
        <f t="shared" si="8"/>
        <v>93.783932244095</v>
      </c>
      <c r="P27" s="3">
        <v>660.4</v>
      </c>
      <c r="Q27" s="3">
        <v>5800.4</v>
      </c>
      <c r="R27" s="14">
        <f t="shared" si="3"/>
        <v>878.3161720169593</v>
      </c>
      <c r="S27" s="3">
        <v>-592.5</v>
      </c>
      <c r="T27" s="3">
        <v>3</v>
      </c>
      <c r="U27" s="14">
        <f t="shared" si="4"/>
        <v>-0.5063291139240507</v>
      </c>
      <c r="V27" s="3">
        <v>0</v>
      </c>
      <c r="W27" s="3">
        <v>5</v>
      </c>
      <c r="X27" s="28" t="e">
        <f t="shared" si="5"/>
        <v>#DIV/0!</v>
      </c>
      <c r="Y27" s="3">
        <f>P27+S27+V27</f>
        <v>67.89999999999998</v>
      </c>
      <c r="Z27" s="3">
        <f>Q27+T27+W27</f>
        <v>5808.4</v>
      </c>
      <c r="AA27" s="14">
        <f>Z27/Y27*100</f>
        <v>8554.34462444772</v>
      </c>
      <c r="AB27" s="3">
        <v>0</v>
      </c>
      <c r="AC27" s="3">
        <v>6.1</v>
      </c>
      <c r="AD27" s="14" t="e">
        <f t="shared" si="6"/>
        <v>#DIV/0!</v>
      </c>
      <c r="AE27" s="3"/>
      <c r="AF27" s="3"/>
      <c r="AG27" s="28" t="e">
        <f>AF27/AE27*100</f>
        <v>#DIV/0!</v>
      </c>
      <c r="AH27" s="3"/>
      <c r="AI27" s="3"/>
      <c r="AJ27" s="3">
        <f t="shared" si="10"/>
        <v>0</v>
      </c>
      <c r="AK27" s="3">
        <f t="shared" si="11"/>
        <v>6.1</v>
      </c>
      <c r="AL27" s="14" t="e">
        <f>AK27/AJ27*100</f>
        <v>#DIV/0!</v>
      </c>
      <c r="AM27" s="3"/>
      <c r="AN27" s="3"/>
      <c r="AO27" s="3"/>
      <c r="AP27" s="3"/>
      <c r="AQ27" s="3"/>
      <c r="AR27" s="3"/>
      <c r="AS27" s="3">
        <f>M27+Y27+AJ27+AM27+AO27+AQ27</f>
        <v>7896</v>
      </c>
      <c r="AT27" s="3">
        <f>N27+Z27+AK27+AN27+AP27+AR27</f>
        <v>13156</v>
      </c>
      <c r="AU27" s="14">
        <f>AT27/AS27*100</f>
        <v>166.61600810536981</v>
      </c>
      <c r="AV27" s="3">
        <f>AS27-AT27</f>
        <v>-5260</v>
      </c>
      <c r="AW27" s="103">
        <f>C27+AS27-AT27</f>
        <v>53.600000000000364</v>
      </c>
    </row>
    <row r="28" spans="1:49" ht="36.75" customHeight="1">
      <c r="A28" s="98">
        <v>21</v>
      </c>
      <c r="B28" s="1" t="s">
        <v>97</v>
      </c>
      <c r="C28" s="2"/>
      <c r="D28" s="44"/>
      <c r="E28" s="44"/>
      <c r="F28" s="14"/>
      <c r="G28" s="21"/>
      <c r="H28" s="21"/>
      <c r="I28" s="36" t="e">
        <f t="shared" si="1"/>
        <v>#DIV/0!</v>
      </c>
      <c r="J28" s="21"/>
      <c r="K28" s="21"/>
      <c r="L28" s="36" t="e">
        <f t="shared" si="2"/>
        <v>#DIV/0!</v>
      </c>
      <c r="M28" s="3"/>
      <c r="N28" s="3"/>
      <c r="O28" s="14"/>
      <c r="P28" s="21"/>
      <c r="Q28" s="21"/>
      <c r="R28" s="36" t="e">
        <f t="shared" si="3"/>
        <v>#DIV/0!</v>
      </c>
      <c r="S28" s="21"/>
      <c r="T28" s="21"/>
      <c r="U28" s="36" t="e">
        <f t="shared" si="4"/>
        <v>#DIV/0!</v>
      </c>
      <c r="V28" s="21"/>
      <c r="W28" s="21"/>
      <c r="X28" s="36" t="e">
        <f t="shared" si="5"/>
        <v>#DIV/0!</v>
      </c>
      <c r="Y28" s="3"/>
      <c r="Z28" s="3"/>
      <c r="AA28" s="14"/>
      <c r="AB28" s="21"/>
      <c r="AC28" s="21"/>
      <c r="AD28" s="36" t="e">
        <f t="shared" si="6"/>
        <v>#DIV/0!</v>
      </c>
      <c r="AE28" s="21"/>
      <c r="AF28" s="21"/>
      <c r="AG28" s="36"/>
      <c r="AH28" s="21"/>
      <c r="AI28" s="21"/>
      <c r="AJ28" s="3"/>
      <c r="AK28" s="3"/>
      <c r="AL28" s="14"/>
      <c r="AM28" s="21"/>
      <c r="AN28" s="21"/>
      <c r="AO28" s="21"/>
      <c r="AP28" s="21"/>
      <c r="AQ28" s="21"/>
      <c r="AR28" s="21"/>
      <c r="AS28" s="3"/>
      <c r="AT28" s="3"/>
      <c r="AU28" s="14"/>
      <c r="AV28" s="3"/>
      <c r="AW28" s="103"/>
    </row>
    <row r="29" spans="1:49" ht="24" customHeight="1">
      <c r="A29" s="98">
        <v>22</v>
      </c>
      <c r="B29" s="1" t="s">
        <v>31</v>
      </c>
      <c r="C29" s="2"/>
      <c r="D29" s="21"/>
      <c r="E29" s="21"/>
      <c r="F29" s="36" t="e">
        <f t="shared" si="0"/>
        <v>#DIV/0!</v>
      </c>
      <c r="G29" s="21"/>
      <c r="H29" s="21"/>
      <c r="I29" s="36" t="e">
        <f t="shared" si="1"/>
        <v>#DIV/0!</v>
      </c>
      <c r="J29" s="21"/>
      <c r="K29" s="21"/>
      <c r="L29" s="36" t="e">
        <f t="shared" si="2"/>
        <v>#DIV/0!</v>
      </c>
      <c r="M29" s="3"/>
      <c r="N29" s="3"/>
      <c r="O29" s="14"/>
      <c r="P29" s="21"/>
      <c r="Q29" s="21"/>
      <c r="R29" s="36" t="e">
        <f t="shared" si="3"/>
        <v>#DIV/0!</v>
      </c>
      <c r="S29" s="21"/>
      <c r="T29" s="21"/>
      <c r="U29" s="36" t="e">
        <f t="shared" si="4"/>
        <v>#DIV/0!</v>
      </c>
      <c r="V29" s="21"/>
      <c r="W29" s="21"/>
      <c r="X29" s="36" t="e">
        <f t="shared" si="5"/>
        <v>#DIV/0!</v>
      </c>
      <c r="Y29" s="3"/>
      <c r="Z29" s="3"/>
      <c r="AA29" s="14"/>
      <c r="AB29" s="21"/>
      <c r="AC29" s="21"/>
      <c r="AD29" s="36" t="e">
        <f t="shared" si="6"/>
        <v>#DIV/0!</v>
      </c>
      <c r="AE29" s="46"/>
      <c r="AF29" s="46"/>
      <c r="AG29" s="46"/>
      <c r="AH29" s="46"/>
      <c r="AI29" s="46"/>
      <c r="AJ29" s="3"/>
      <c r="AK29" s="3"/>
      <c r="AL29" s="14"/>
      <c r="AM29" s="46"/>
      <c r="AN29" s="46"/>
      <c r="AO29" s="46"/>
      <c r="AP29" s="46"/>
      <c r="AQ29" s="46"/>
      <c r="AR29" s="46"/>
      <c r="AS29" s="3"/>
      <c r="AT29" s="3"/>
      <c r="AU29" s="14"/>
      <c r="AV29" s="3"/>
      <c r="AW29" s="103"/>
    </row>
    <row r="30" spans="1:49" ht="24" customHeight="1">
      <c r="A30" s="98">
        <v>23</v>
      </c>
      <c r="B30" s="15" t="s">
        <v>32</v>
      </c>
      <c r="C30" s="2"/>
      <c r="D30" s="21"/>
      <c r="E30" s="21"/>
      <c r="F30" s="36" t="e">
        <f t="shared" si="0"/>
        <v>#DIV/0!</v>
      </c>
      <c r="G30" s="21"/>
      <c r="H30" s="21"/>
      <c r="I30" s="36" t="e">
        <f t="shared" si="1"/>
        <v>#DIV/0!</v>
      </c>
      <c r="J30" s="21"/>
      <c r="K30" s="21"/>
      <c r="L30" s="36" t="e">
        <f t="shared" si="2"/>
        <v>#DIV/0!</v>
      </c>
      <c r="M30" s="3"/>
      <c r="N30" s="3"/>
      <c r="O30" s="14"/>
      <c r="P30" s="21"/>
      <c r="Q30" s="21"/>
      <c r="R30" s="36" t="e">
        <f t="shared" si="3"/>
        <v>#DIV/0!</v>
      </c>
      <c r="S30" s="21"/>
      <c r="T30" s="21"/>
      <c r="U30" s="36" t="e">
        <f t="shared" si="4"/>
        <v>#DIV/0!</v>
      </c>
      <c r="V30" s="21"/>
      <c r="W30" s="21"/>
      <c r="X30" s="36" t="e">
        <f t="shared" si="5"/>
        <v>#DIV/0!</v>
      </c>
      <c r="Y30" s="3"/>
      <c r="Z30" s="3"/>
      <c r="AA30" s="14"/>
      <c r="AB30" s="21"/>
      <c r="AC30" s="21"/>
      <c r="AD30" s="36" t="e">
        <f t="shared" si="6"/>
        <v>#DIV/0!</v>
      </c>
      <c r="AE30" s="46"/>
      <c r="AF30" s="46"/>
      <c r="AG30" s="46"/>
      <c r="AH30" s="46"/>
      <c r="AI30" s="46"/>
      <c r="AJ30" s="3"/>
      <c r="AK30" s="3"/>
      <c r="AL30" s="14"/>
      <c r="AM30" s="46"/>
      <c r="AN30" s="46"/>
      <c r="AO30" s="46"/>
      <c r="AP30" s="46"/>
      <c r="AQ30" s="46"/>
      <c r="AR30" s="46"/>
      <c r="AS30" s="3"/>
      <c r="AT30" s="3"/>
      <c r="AU30" s="14"/>
      <c r="AV30" s="3"/>
      <c r="AW30" s="103"/>
    </row>
    <row r="31" spans="1:49" ht="24" customHeight="1">
      <c r="A31" s="98">
        <v>24</v>
      </c>
      <c r="B31" s="15" t="s">
        <v>33</v>
      </c>
      <c r="C31" s="2"/>
      <c r="D31" s="21"/>
      <c r="E31" s="21"/>
      <c r="F31" s="36" t="e">
        <f t="shared" si="0"/>
        <v>#DIV/0!</v>
      </c>
      <c r="G31" s="21"/>
      <c r="H31" s="21"/>
      <c r="I31" s="36" t="e">
        <f t="shared" si="1"/>
        <v>#DIV/0!</v>
      </c>
      <c r="J31" s="21"/>
      <c r="K31" s="21"/>
      <c r="L31" s="36" t="e">
        <f t="shared" si="2"/>
        <v>#DIV/0!</v>
      </c>
      <c r="M31" s="3"/>
      <c r="N31" s="3"/>
      <c r="O31" s="14"/>
      <c r="P31" s="21"/>
      <c r="Q31" s="21"/>
      <c r="R31" s="36" t="e">
        <f t="shared" si="3"/>
        <v>#DIV/0!</v>
      </c>
      <c r="S31" s="21"/>
      <c r="T31" s="21"/>
      <c r="U31" s="36" t="e">
        <f t="shared" si="4"/>
        <v>#DIV/0!</v>
      </c>
      <c r="V31" s="21"/>
      <c r="W31" s="21"/>
      <c r="X31" s="36" t="e">
        <f t="shared" si="5"/>
        <v>#DIV/0!</v>
      </c>
      <c r="Y31" s="3"/>
      <c r="Z31" s="3"/>
      <c r="AA31" s="14"/>
      <c r="AB31" s="21"/>
      <c r="AC31" s="21"/>
      <c r="AD31" s="36" t="e">
        <f t="shared" si="6"/>
        <v>#DIV/0!</v>
      </c>
      <c r="AE31" s="46"/>
      <c r="AF31" s="46"/>
      <c r="AG31" s="46"/>
      <c r="AH31" s="46"/>
      <c r="AI31" s="46"/>
      <c r="AJ31" s="3"/>
      <c r="AK31" s="3"/>
      <c r="AL31" s="14"/>
      <c r="AM31" s="46"/>
      <c r="AN31" s="46"/>
      <c r="AO31" s="46"/>
      <c r="AP31" s="46"/>
      <c r="AQ31" s="46"/>
      <c r="AR31" s="46"/>
      <c r="AS31" s="3"/>
      <c r="AT31" s="3"/>
      <c r="AU31" s="14"/>
      <c r="AV31" s="3"/>
      <c r="AW31" s="103"/>
    </row>
    <row r="32" spans="1:49" ht="24" customHeight="1">
      <c r="A32" s="98">
        <v>25</v>
      </c>
      <c r="B32" s="15" t="s">
        <v>34</v>
      </c>
      <c r="C32" s="2"/>
      <c r="D32" s="21"/>
      <c r="E32" s="21"/>
      <c r="F32" s="36" t="e">
        <f t="shared" si="0"/>
        <v>#DIV/0!</v>
      </c>
      <c r="G32" s="21"/>
      <c r="H32" s="21"/>
      <c r="I32" s="36" t="e">
        <f t="shared" si="1"/>
        <v>#DIV/0!</v>
      </c>
      <c r="J32" s="21"/>
      <c r="K32" s="21"/>
      <c r="L32" s="36" t="e">
        <f t="shared" si="2"/>
        <v>#DIV/0!</v>
      </c>
      <c r="M32" s="3"/>
      <c r="N32" s="3"/>
      <c r="O32" s="14"/>
      <c r="P32" s="21"/>
      <c r="Q32" s="21"/>
      <c r="R32" s="36" t="e">
        <f t="shared" si="3"/>
        <v>#DIV/0!</v>
      </c>
      <c r="S32" s="21"/>
      <c r="T32" s="21"/>
      <c r="U32" s="36" t="e">
        <f t="shared" si="4"/>
        <v>#DIV/0!</v>
      </c>
      <c r="V32" s="21"/>
      <c r="W32" s="21"/>
      <c r="X32" s="36" t="e">
        <f t="shared" si="5"/>
        <v>#DIV/0!</v>
      </c>
      <c r="Y32" s="3"/>
      <c r="Z32" s="3"/>
      <c r="AA32" s="14"/>
      <c r="AB32" s="21"/>
      <c r="AC32" s="21"/>
      <c r="AD32" s="36" t="e">
        <f t="shared" si="6"/>
        <v>#DIV/0!</v>
      </c>
      <c r="AE32" s="21"/>
      <c r="AF32" s="21"/>
      <c r="AG32" s="36"/>
      <c r="AH32" s="21"/>
      <c r="AI32" s="21"/>
      <c r="AJ32" s="3"/>
      <c r="AK32" s="3"/>
      <c r="AL32" s="14"/>
      <c r="AM32" s="21"/>
      <c r="AN32" s="21"/>
      <c r="AO32" s="21"/>
      <c r="AP32" s="21"/>
      <c r="AQ32" s="21"/>
      <c r="AR32" s="21"/>
      <c r="AS32" s="3"/>
      <c r="AT32" s="3"/>
      <c r="AU32" s="14"/>
      <c r="AV32" s="3"/>
      <c r="AW32" s="103"/>
    </row>
    <row r="33" spans="1:49" ht="24" customHeight="1">
      <c r="A33" s="98"/>
      <c r="B33" s="15" t="s">
        <v>115</v>
      </c>
      <c r="C33" s="2">
        <v>360</v>
      </c>
      <c r="D33" s="3">
        <v>-176.8</v>
      </c>
      <c r="E33" s="3">
        <v>0</v>
      </c>
      <c r="F33" s="14">
        <f t="shared" si="0"/>
        <v>0</v>
      </c>
      <c r="G33" s="3">
        <v>0</v>
      </c>
      <c r="H33" s="3">
        <v>0</v>
      </c>
      <c r="I33" s="28" t="e">
        <f t="shared" si="1"/>
        <v>#DIV/0!</v>
      </c>
      <c r="J33" s="3">
        <v>0</v>
      </c>
      <c r="K33" s="3">
        <v>0</v>
      </c>
      <c r="L33" s="28" t="e">
        <f t="shared" si="2"/>
        <v>#DIV/0!</v>
      </c>
      <c r="M33" s="3">
        <f aca="true" t="shared" si="15" ref="M33:N35">D33+G33+J33</f>
        <v>-176.8</v>
      </c>
      <c r="N33" s="3">
        <f t="shared" si="15"/>
        <v>0</v>
      </c>
      <c r="O33" s="14">
        <f t="shared" si="8"/>
        <v>0</v>
      </c>
      <c r="P33" s="3">
        <v>0</v>
      </c>
      <c r="Q33" s="3">
        <v>0</v>
      </c>
      <c r="R33" s="33">
        <v>0</v>
      </c>
      <c r="S33" s="3"/>
      <c r="T33" s="3"/>
      <c r="U33" s="14" t="e">
        <f t="shared" si="4"/>
        <v>#DIV/0!</v>
      </c>
      <c r="V33" s="3"/>
      <c r="W33" s="3"/>
      <c r="X33" s="14" t="e">
        <f t="shared" si="5"/>
        <v>#DIV/0!</v>
      </c>
      <c r="Y33" s="3">
        <f aca="true" t="shared" si="16" ref="Y33:Z35">P33+S33+V33</f>
        <v>0</v>
      </c>
      <c r="Z33" s="3">
        <f t="shared" si="16"/>
        <v>0</v>
      </c>
      <c r="AA33" s="28" t="e">
        <f>Z33/Y33*100</f>
        <v>#DIV/0!</v>
      </c>
      <c r="AB33" s="3">
        <v>0</v>
      </c>
      <c r="AC33" s="3">
        <v>0</v>
      </c>
      <c r="AD33" s="14" t="e">
        <f t="shared" si="6"/>
        <v>#DIV/0!</v>
      </c>
      <c r="AE33" s="3"/>
      <c r="AF33" s="3"/>
      <c r="AG33" s="14" t="e">
        <f>AF33/AE33*100</f>
        <v>#DIV/0!</v>
      </c>
      <c r="AH33" s="3"/>
      <c r="AI33" s="3"/>
      <c r="AJ33" s="3">
        <f t="shared" si="10"/>
        <v>0</v>
      </c>
      <c r="AK33" s="3">
        <f t="shared" si="11"/>
        <v>0</v>
      </c>
      <c r="AL33" s="14" t="e">
        <f>AK33/AJ33*100</f>
        <v>#DIV/0!</v>
      </c>
      <c r="AM33" s="3"/>
      <c r="AN33" s="3"/>
      <c r="AO33" s="3"/>
      <c r="AP33" s="3"/>
      <c r="AQ33" s="3"/>
      <c r="AR33" s="3"/>
      <c r="AS33" s="3">
        <f aca="true" t="shared" si="17" ref="AS33:AT35">M33+Y33+AJ33+AM33+AO33+AQ33</f>
        <v>-176.8</v>
      </c>
      <c r="AT33" s="3">
        <f t="shared" si="17"/>
        <v>0</v>
      </c>
      <c r="AU33" s="14">
        <f>AT33/AS33*100</f>
        <v>0</v>
      </c>
      <c r="AV33" s="3">
        <f>AS33-AT33</f>
        <v>-176.8</v>
      </c>
      <c r="AW33" s="103">
        <f>C33+AS33-AT33</f>
        <v>183.2</v>
      </c>
    </row>
    <row r="34" spans="1:49" ht="26.25" customHeight="1">
      <c r="A34" s="98"/>
      <c r="B34" s="15" t="s">
        <v>116</v>
      </c>
      <c r="C34" s="2">
        <v>3466</v>
      </c>
      <c r="D34" s="3">
        <v>1532.9</v>
      </c>
      <c r="E34" s="3">
        <v>1201.4</v>
      </c>
      <c r="F34" s="14">
        <f>E34/D34*100</f>
        <v>78.37432317828952</v>
      </c>
      <c r="G34" s="3">
        <v>1577</v>
      </c>
      <c r="H34" s="3">
        <v>2097.4</v>
      </c>
      <c r="I34" s="14">
        <f>H34/G34*100</f>
        <v>132.99936588459101</v>
      </c>
      <c r="J34" s="3">
        <v>1545.7</v>
      </c>
      <c r="K34" s="3">
        <v>1233.5</v>
      </c>
      <c r="L34" s="14">
        <f>K34/J34*100</f>
        <v>79.80203144206509</v>
      </c>
      <c r="M34" s="3">
        <f t="shared" si="15"/>
        <v>4655.6</v>
      </c>
      <c r="N34" s="3">
        <f t="shared" si="15"/>
        <v>4532.3</v>
      </c>
      <c r="O34" s="14">
        <f>N34/M34*100</f>
        <v>97.35157659592748</v>
      </c>
      <c r="P34" s="3">
        <v>342.2</v>
      </c>
      <c r="Q34" s="3">
        <v>3589.3</v>
      </c>
      <c r="R34" s="14">
        <f>Q34/P34*100</f>
        <v>1048.8895382817066</v>
      </c>
      <c r="S34" s="3">
        <v>-778.1</v>
      </c>
      <c r="T34" s="3">
        <v>0</v>
      </c>
      <c r="U34" s="14">
        <f>T34/S34*100</f>
        <v>0</v>
      </c>
      <c r="V34" s="3">
        <v>1.4</v>
      </c>
      <c r="W34" s="3">
        <v>0</v>
      </c>
      <c r="X34" s="14">
        <f>W34/V34*100</f>
        <v>0</v>
      </c>
      <c r="Y34" s="3">
        <f t="shared" si="16"/>
        <v>-434.50000000000006</v>
      </c>
      <c r="Z34" s="3">
        <f t="shared" si="16"/>
        <v>3589.3</v>
      </c>
      <c r="AA34" s="14">
        <f>Z34/Y34*100</f>
        <v>-826.0759493670886</v>
      </c>
      <c r="AB34" s="3">
        <v>120.3</v>
      </c>
      <c r="AC34" s="3">
        <v>0</v>
      </c>
      <c r="AD34" s="14">
        <f>AC34/AB34*100</f>
        <v>0</v>
      </c>
      <c r="AE34" s="3"/>
      <c r="AF34" s="3"/>
      <c r="AG34" s="14" t="e">
        <f>AF34/AE34*100</f>
        <v>#DIV/0!</v>
      </c>
      <c r="AH34" s="3"/>
      <c r="AI34" s="3"/>
      <c r="AJ34" s="3">
        <f aca="true" t="shared" si="18" ref="AJ34:AK36">AB34+AE34+AH34</f>
        <v>120.3</v>
      </c>
      <c r="AK34" s="3">
        <f t="shared" si="18"/>
        <v>0</v>
      </c>
      <c r="AL34" s="14">
        <f>AK34/AJ34*100</f>
        <v>0</v>
      </c>
      <c r="AM34" s="3"/>
      <c r="AN34" s="3"/>
      <c r="AO34" s="3"/>
      <c r="AP34" s="3"/>
      <c r="AQ34" s="3"/>
      <c r="AR34" s="3"/>
      <c r="AS34" s="3">
        <f t="shared" si="17"/>
        <v>4341.400000000001</v>
      </c>
      <c r="AT34" s="3">
        <f t="shared" si="17"/>
        <v>8121.6</v>
      </c>
      <c r="AU34" s="14">
        <f>AT34/AS34*100</f>
        <v>187.07329432901827</v>
      </c>
      <c r="AV34" s="3">
        <f>AS34-AT34</f>
        <v>-3780.2</v>
      </c>
      <c r="AW34" s="103">
        <f>C34+AS34-AT34</f>
        <v>-314.1999999999998</v>
      </c>
    </row>
    <row r="35" spans="1:49" ht="24" customHeight="1">
      <c r="A35" s="98"/>
      <c r="B35" s="15" t="s">
        <v>117</v>
      </c>
      <c r="C35" s="2">
        <v>0</v>
      </c>
      <c r="D35" s="3">
        <v>465</v>
      </c>
      <c r="E35" s="3">
        <v>0</v>
      </c>
      <c r="F35" s="14">
        <f t="shared" si="0"/>
        <v>0</v>
      </c>
      <c r="G35" s="3">
        <v>282.5</v>
      </c>
      <c r="H35" s="3">
        <v>465</v>
      </c>
      <c r="I35" s="14">
        <f>H35/G35*100</f>
        <v>164.60176991150442</v>
      </c>
      <c r="J35" s="3">
        <v>402.2</v>
      </c>
      <c r="K35" s="3">
        <v>391.1</v>
      </c>
      <c r="L35" s="14">
        <f>K35/J35*100</f>
        <v>97.24017901541522</v>
      </c>
      <c r="M35" s="3">
        <f t="shared" si="15"/>
        <v>1149.7</v>
      </c>
      <c r="N35" s="3">
        <f t="shared" si="15"/>
        <v>856.1</v>
      </c>
      <c r="O35" s="14">
        <f>N35/M35*100</f>
        <v>74.4629033660955</v>
      </c>
      <c r="P35" s="3">
        <v>56.6</v>
      </c>
      <c r="Q35" s="3">
        <v>293.6</v>
      </c>
      <c r="R35" s="14">
        <f>Q35/P35*100</f>
        <v>518.7279151943463</v>
      </c>
      <c r="S35" s="3">
        <v>-29</v>
      </c>
      <c r="T35" s="3">
        <v>0</v>
      </c>
      <c r="U35" s="14">
        <f>T35/S35*100</f>
        <v>0</v>
      </c>
      <c r="V35" s="3">
        <v>-27.6</v>
      </c>
      <c r="W35" s="3">
        <v>0</v>
      </c>
      <c r="X35" s="14">
        <f>W35/V35*100</f>
        <v>0</v>
      </c>
      <c r="Y35" s="3">
        <f t="shared" si="16"/>
        <v>0</v>
      </c>
      <c r="Z35" s="3">
        <f t="shared" si="16"/>
        <v>293.6</v>
      </c>
      <c r="AA35" s="28" t="e">
        <f>Z35/Y35*100</f>
        <v>#DIV/0!</v>
      </c>
      <c r="AB35" s="3">
        <v>10</v>
      </c>
      <c r="AC35" s="3">
        <v>0</v>
      </c>
      <c r="AD35" s="14">
        <f>AC35/AB35*100</f>
        <v>0</v>
      </c>
      <c r="AE35" s="3"/>
      <c r="AF35" s="3"/>
      <c r="AG35" s="14" t="e">
        <f>AF35/AE35*100</f>
        <v>#DIV/0!</v>
      </c>
      <c r="AH35" s="3"/>
      <c r="AI35" s="3"/>
      <c r="AJ35" s="3">
        <f t="shared" si="18"/>
        <v>10</v>
      </c>
      <c r="AK35" s="3">
        <f t="shared" si="18"/>
        <v>0</v>
      </c>
      <c r="AL35" s="14">
        <f>AK35/AJ35*100</f>
        <v>0</v>
      </c>
      <c r="AM35" s="3"/>
      <c r="AN35" s="3"/>
      <c r="AO35" s="3"/>
      <c r="AP35" s="3"/>
      <c r="AQ35" s="3"/>
      <c r="AR35" s="3"/>
      <c r="AS35" s="3">
        <f t="shared" si="17"/>
        <v>1159.7</v>
      </c>
      <c r="AT35" s="3">
        <f t="shared" si="17"/>
        <v>1149.7</v>
      </c>
      <c r="AU35" s="14">
        <f>AT35/AS35*100</f>
        <v>99.13770802793826</v>
      </c>
      <c r="AV35" s="3">
        <f>AS35-AT35</f>
        <v>10</v>
      </c>
      <c r="AW35" s="103">
        <f>C35+AS35-AT35</f>
        <v>10</v>
      </c>
    </row>
    <row r="36" spans="1:49" ht="24.75" customHeight="1">
      <c r="A36" s="100"/>
      <c r="B36" s="15" t="s">
        <v>35</v>
      </c>
      <c r="C36" s="2"/>
      <c r="D36" s="21"/>
      <c r="E36" s="21"/>
      <c r="F36" s="36" t="e">
        <f t="shared" si="0"/>
        <v>#DIV/0!</v>
      </c>
      <c r="G36" s="21"/>
      <c r="H36" s="21"/>
      <c r="I36" s="36" t="e">
        <f t="shared" si="1"/>
        <v>#DIV/0!</v>
      </c>
      <c r="J36" s="21"/>
      <c r="K36" s="21"/>
      <c r="L36" s="36" t="e">
        <f t="shared" si="2"/>
        <v>#DIV/0!</v>
      </c>
      <c r="M36" s="3"/>
      <c r="N36" s="3"/>
      <c r="O36" s="14"/>
      <c r="P36" s="21"/>
      <c r="Q36" s="21"/>
      <c r="R36" s="36" t="e">
        <f t="shared" si="3"/>
        <v>#DIV/0!</v>
      </c>
      <c r="S36" s="21"/>
      <c r="T36" s="21"/>
      <c r="U36" s="36" t="e">
        <f t="shared" si="4"/>
        <v>#DIV/0!</v>
      </c>
      <c r="V36" s="21"/>
      <c r="W36" s="21"/>
      <c r="X36" s="36" t="e">
        <f t="shared" si="5"/>
        <v>#DIV/0!</v>
      </c>
      <c r="Y36" s="3"/>
      <c r="Z36" s="3"/>
      <c r="AA36" s="14"/>
      <c r="AB36" s="21"/>
      <c r="AC36" s="21"/>
      <c r="AD36" s="36" t="e">
        <f t="shared" si="6"/>
        <v>#DIV/0!</v>
      </c>
      <c r="AE36" s="3"/>
      <c r="AF36" s="3"/>
      <c r="AG36" s="36"/>
      <c r="AH36" s="3"/>
      <c r="AI36" s="3"/>
      <c r="AJ36" s="3">
        <f t="shared" si="18"/>
        <v>0</v>
      </c>
      <c r="AK36" s="3">
        <f t="shared" si="18"/>
        <v>0</v>
      </c>
      <c r="AL36" s="14" t="e">
        <f>AK36/AJ36*100</f>
        <v>#DIV/0!</v>
      </c>
      <c r="AM36" s="3"/>
      <c r="AN36" s="3"/>
      <c r="AO36" s="3"/>
      <c r="AP36" s="3"/>
      <c r="AQ36" s="3"/>
      <c r="AR36" s="3"/>
      <c r="AS36" s="3"/>
      <c r="AT36" s="3"/>
      <c r="AU36" s="14"/>
      <c r="AV36" s="3"/>
      <c r="AW36" s="103"/>
    </row>
    <row r="37" spans="1:49" ht="27.75" customHeight="1">
      <c r="A37" s="98">
        <v>26</v>
      </c>
      <c r="B37" s="15" t="s">
        <v>118</v>
      </c>
      <c r="C37" s="2">
        <f>3797.1+2365.5</f>
        <v>6162.6</v>
      </c>
      <c r="D37" s="3">
        <v>2043.2</v>
      </c>
      <c r="E37" s="3">
        <v>2095</v>
      </c>
      <c r="F37" s="14">
        <f t="shared" si="0"/>
        <v>102.53523884103366</v>
      </c>
      <c r="G37" s="3">
        <v>3475.1</v>
      </c>
      <c r="H37" s="3">
        <v>1716.5</v>
      </c>
      <c r="I37" s="14">
        <f t="shared" si="1"/>
        <v>49.39426203562488</v>
      </c>
      <c r="J37" s="3">
        <v>3890.1</v>
      </c>
      <c r="K37" s="3">
        <v>1961.5</v>
      </c>
      <c r="L37" s="14">
        <f t="shared" si="2"/>
        <v>50.42286830672733</v>
      </c>
      <c r="M37" s="3">
        <f>D37+G37+J37</f>
        <v>9408.4</v>
      </c>
      <c r="N37" s="3">
        <f>E37+H37+K37</f>
        <v>5773</v>
      </c>
      <c r="O37" s="14">
        <f t="shared" si="8"/>
        <v>61.36006122188683</v>
      </c>
      <c r="P37" s="3">
        <v>1342.5</v>
      </c>
      <c r="Q37" s="3">
        <v>6015.8</v>
      </c>
      <c r="R37" s="14">
        <f t="shared" si="3"/>
        <v>448.1042830540037</v>
      </c>
      <c r="S37" s="3">
        <v>-639.1</v>
      </c>
      <c r="T37" s="3">
        <v>133</v>
      </c>
      <c r="U37" s="14">
        <f t="shared" si="4"/>
        <v>-20.8105147864184</v>
      </c>
      <c r="V37" s="3">
        <v>0</v>
      </c>
      <c r="W37" s="3">
        <v>0</v>
      </c>
      <c r="X37" s="14" t="e">
        <f t="shared" si="5"/>
        <v>#DIV/0!</v>
      </c>
      <c r="Y37" s="3">
        <f>P37+S37+V37</f>
        <v>703.4</v>
      </c>
      <c r="Z37" s="3">
        <f>Q37+T37+W37</f>
        <v>6148.8</v>
      </c>
      <c r="AA37" s="14">
        <f>Z37/Y37*100</f>
        <v>874.1541086152972</v>
      </c>
      <c r="AB37" s="3">
        <f>-108.8+3</f>
        <v>-105.8</v>
      </c>
      <c r="AC37" s="3">
        <v>10</v>
      </c>
      <c r="AD37" s="33">
        <v>0</v>
      </c>
      <c r="AE37" s="3"/>
      <c r="AF37" s="3"/>
      <c r="AG37" s="14" t="e">
        <f>AF37/AE37*100</f>
        <v>#DIV/0!</v>
      </c>
      <c r="AH37" s="3"/>
      <c r="AI37" s="3"/>
      <c r="AJ37" s="3">
        <f t="shared" si="10"/>
        <v>-105.8</v>
      </c>
      <c r="AK37" s="3">
        <f t="shared" si="11"/>
        <v>10</v>
      </c>
      <c r="AL37" s="14">
        <f>AK37/AJ37*100</f>
        <v>-9.45179584120983</v>
      </c>
      <c r="AM37" s="3"/>
      <c r="AN37" s="3"/>
      <c r="AO37" s="3"/>
      <c r="AP37" s="3"/>
      <c r="AQ37" s="3"/>
      <c r="AR37" s="3"/>
      <c r="AS37" s="3">
        <f>M37+Y37+AJ37+AM37+AO37+AQ37</f>
        <v>10006</v>
      </c>
      <c r="AT37" s="3">
        <f>N37+Z37+AK37+AN37+AP37+AR37</f>
        <v>11931.8</v>
      </c>
      <c r="AU37" s="14">
        <f>AT37/AS37*100</f>
        <v>119.24645212872275</v>
      </c>
      <c r="AV37" s="3">
        <f>AS37-AT37</f>
        <v>-1925.7999999999993</v>
      </c>
      <c r="AW37" s="103">
        <f>C37+AS37-AT37</f>
        <v>4236.800000000001</v>
      </c>
    </row>
    <row r="38" spans="1:49" ht="24" customHeight="1">
      <c r="A38" s="98">
        <v>27</v>
      </c>
      <c r="B38" s="1" t="s">
        <v>90</v>
      </c>
      <c r="C38" s="2"/>
      <c r="D38" s="3"/>
      <c r="E38" s="3"/>
      <c r="F38" s="14"/>
      <c r="G38" s="3"/>
      <c r="H38" s="3"/>
      <c r="I38" s="28"/>
      <c r="J38" s="3"/>
      <c r="K38" s="3"/>
      <c r="L38" s="28"/>
      <c r="M38" s="3"/>
      <c r="N38" s="3"/>
      <c r="O38" s="14"/>
      <c r="P38" s="3"/>
      <c r="Q38" s="3"/>
      <c r="R38" s="28"/>
      <c r="S38" s="3"/>
      <c r="T38" s="3"/>
      <c r="U38" s="28"/>
      <c r="V38" s="3"/>
      <c r="W38" s="3"/>
      <c r="X38" s="28"/>
      <c r="Y38" s="3"/>
      <c r="Z38" s="3"/>
      <c r="AA38" s="14"/>
      <c r="AB38" s="3"/>
      <c r="AC38" s="3"/>
      <c r="AD38" s="28"/>
      <c r="AE38" s="3"/>
      <c r="AF38" s="3"/>
      <c r="AG38" s="14">
        <v>0</v>
      </c>
      <c r="AH38" s="3"/>
      <c r="AI38" s="3"/>
      <c r="AJ38" s="3"/>
      <c r="AK38" s="3"/>
      <c r="AL38" s="14"/>
      <c r="AM38" s="3"/>
      <c r="AN38" s="3"/>
      <c r="AO38" s="3"/>
      <c r="AP38" s="3"/>
      <c r="AQ38" s="3"/>
      <c r="AR38" s="3"/>
      <c r="AS38" s="3"/>
      <c r="AT38" s="3"/>
      <c r="AU38" s="28"/>
      <c r="AV38" s="3"/>
      <c r="AW38" s="103"/>
    </row>
    <row r="39" spans="1:49" ht="24" customHeight="1">
      <c r="A39" s="98">
        <v>28</v>
      </c>
      <c r="B39" s="15" t="s">
        <v>119</v>
      </c>
      <c r="C39" s="2">
        <v>5924.9</v>
      </c>
      <c r="D39" s="3">
        <v>5852.7</v>
      </c>
      <c r="E39" s="3">
        <v>1786.2</v>
      </c>
      <c r="F39" s="14">
        <f t="shared" si="0"/>
        <v>30.51924752678251</v>
      </c>
      <c r="G39" s="3">
        <v>8129.3</v>
      </c>
      <c r="H39" s="3">
        <v>3856.1</v>
      </c>
      <c r="I39" s="14">
        <f t="shared" si="1"/>
        <v>47.434588463951386</v>
      </c>
      <c r="J39" s="3">
        <v>7494.4</v>
      </c>
      <c r="K39" s="3">
        <v>2288.8</v>
      </c>
      <c r="L39" s="14">
        <f aca="true" t="shared" si="19" ref="L39:L46">K39/J39*100</f>
        <v>30.540136635354404</v>
      </c>
      <c r="M39" s="3">
        <f aca="true" t="shared" si="20" ref="M39:N41">D39+G39+J39</f>
        <v>21476.4</v>
      </c>
      <c r="N39" s="3">
        <f t="shared" si="20"/>
        <v>7931.1</v>
      </c>
      <c r="O39" s="14">
        <f t="shared" si="8"/>
        <v>36.92937363803989</v>
      </c>
      <c r="P39" s="3">
        <v>2008.3</v>
      </c>
      <c r="Q39" s="3">
        <v>11975.7</v>
      </c>
      <c r="R39" s="14">
        <f aca="true" t="shared" si="21" ref="R39:R46">Q39/P39*100</f>
        <v>596.3103122043519</v>
      </c>
      <c r="S39" s="3">
        <v>-1514.4</v>
      </c>
      <c r="T39" s="3">
        <v>1373.5</v>
      </c>
      <c r="U39" s="14">
        <f aca="true" t="shared" si="22" ref="U39:U46">T39/S39*100</f>
        <v>-90.69598520866349</v>
      </c>
      <c r="V39" s="3">
        <v>227.8</v>
      </c>
      <c r="W39" s="3">
        <v>523.9</v>
      </c>
      <c r="X39" s="14">
        <f aca="true" t="shared" si="23" ref="X39:X46">W39/V39*100</f>
        <v>229.982440737489</v>
      </c>
      <c r="Y39" s="3">
        <f aca="true" t="shared" si="24" ref="Y39:Z44">P39+S39+V39</f>
        <v>721.6999999999998</v>
      </c>
      <c r="Z39" s="3">
        <f t="shared" si="24"/>
        <v>13873.1</v>
      </c>
      <c r="AA39" s="14">
        <f aca="true" t="shared" si="25" ref="AA39:AA46">Z39/Y39*100</f>
        <v>1922.2807260634618</v>
      </c>
      <c r="AB39" s="3">
        <v>5.1</v>
      </c>
      <c r="AC39" s="3">
        <v>587.8</v>
      </c>
      <c r="AD39" s="14">
        <f aca="true" t="shared" si="26" ref="AD39:AD46">AC39/AB39*100</f>
        <v>11525.49019607843</v>
      </c>
      <c r="AE39" s="3"/>
      <c r="AF39" s="3"/>
      <c r="AG39" s="14" t="e">
        <f aca="true" t="shared" si="27" ref="AG39:AG44">AF39/AE39*100</f>
        <v>#DIV/0!</v>
      </c>
      <c r="AH39" s="3"/>
      <c r="AI39" s="3"/>
      <c r="AJ39" s="3">
        <f t="shared" si="10"/>
        <v>5.1</v>
      </c>
      <c r="AK39" s="3">
        <f t="shared" si="11"/>
        <v>587.8</v>
      </c>
      <c r="AL39" s="14">
        <f aca="true" t="shared" si="28" ref="AL39:AL46">AK39/AJ39*100</f>
        <v>11525.49019607843</v>
      </c>
      <c r="AM39" s="3"/>
      <c r="AN39" s="3"/>
      <c r="AO39" s="3"/>
      <c r="AP39" s="3"/>
      <c r="AQ39" s="3"/>
      <c r="AR39" s="3"/>
      <c r="AS39" s="3">
        <f aca="true" t="shared" si="29" ref="AS39:AT41">M39+Y39+AJ39+AM39+AO39+AQ39</f>
        <v>22203.2</v>
      </c>
      <c r="AT39" s="3">
        <f t="shared" si="29"/>
        <v>22392</v>
      </c>
      <c r="AU39" s="14">
        <f aca="true" t="shared" si="30" ref="AU39:AU46">AT39/AS39*100</f>
        <v>100.85032788066586</v>
      </c>
      <c r="AV39" s="3">
        <f aca="true" t="shared" si="31" ref="AV39:AV44">AS39-AT39</f>
        <v>-188.79999999999927</v>
      </c>
      <c r="AW39" s="103">
        <f aca="true" t="shared" si="32" ref="AW39:AW44">C39+AS39-AT39</f>
        <v>5736.0999999999985</v>
      </c>
    </row>
    <row r="40" spans="1:49" ht="24" customHeight="1">
      <c r="A40" s="98">
        <v>29</v>
      </c>
      <c r="B40" s="15" t="s">
        <v>120</v>
      </c>
      <c r="C40" s="2">
        <f>8327.7</f>
        <v>8327.7</v>
      </c>
      <c r="D40" s="3">
        <v>7815.6</v>
      </c>
      <c r="E40" s="3">
        <v>4527.5</v>
      </c>
      <c r="F40" s="14">
        <f t="shared" si="0"/>
        <v>57.929013767337125</v>
      </c>
      <c r="G40" s="3">
        <v>7649.4</v>
      </c>
      <c r="H40" s="3">
        <v>3800.2</v>
      </c>
      <c r="I40" s="14">
        <f t="shared" si="1"/>
        <v>49.679713441577114</v>
      </c>
      <c r="J40" s="3">
        <v>7821.6</v>
      </c>
      <c r="K40" s="3">
        <v>5861.3</v>
      </c>
      <c r="L40" s="14">
        <f t="shared" si="19"/>
        <v>74.93735297125907</v>
      </c>
      <c r="M40" s="3">
        <f t="shared" si="20"/>
        <v>23286.6</v>
      </c>
      <c r="N40" s="3">
        <f t="shared" si="20"/>
        <v>14189</v>
      </c>
      <c r="O40" s="14">
        <f t="shared" si="8"/>
        <v>60.93203816787337</v>
      </c>
      <c r="P40" s="3">
        <v>297.6</v>
      </c>
      <c r="Q40" s="3">
        <v>17469.2</v>
      </c>
      <c r="R40" s="14">
        <f t="shared" si="21"/>
        <v>5870.02688172043</v>
      </c>
      <c r="S40" s="3">
        <v>-869.7</v>
      </c>
      <c r="T40" s="3">
        <v>0</v>
      </c>
      <c r="U40" s="14">
        <f t="shared" si="22"/>
        <v>0</v>
      </c>
      <c r="V40" s="3">
        <v>147.9</v>
      </c>
      <c r="W40" s="3">
        <v>0</v>
      </c>
      <c r="X40" s="14">
        <f t="shared" si="23"/>
        <v>0</v>
      </c>
      <c r="Y40" s="3">
        <f t="shared" si="24"/>
        <v>-424.20000000000005</v>
      </c>
      <c r="Z40" s="3">
        <f t="shared" si="24"/>
        <v>17469.2</v>
      </c>
      <c r="AA40" s="14">
        <f t="shared" si="25"/>
        <v>-4118.151815181518</v>
      </c>
      <c r="AB40" s="3">
        <v>9.5</v>
      </c>
      <c r="AC40" s="3">
        <v>0</v>
      </c>
      <c r="AD40" s="14">
        <f t="shared" si="26"/>
        <v>0</v>
      </c>
      <c r="AE40" s="3"/>
      <c r="AF40" s="3"/>
      <c r="AG40" s="14" t="e">
        <f t="shared" si="27"/>
        <v>#DIV/0!</v>
      </c>
      <c r="AH40" s="3"/>
      <c r="AI40" s="3"/>
      <c r="AJ40" s="3">
        <f t="shared" si="10"/>
        <v>9.5</v>
      </c>
      <c r="AK40" s="3">
        <f t="shared" si="11"/>
        <v>0</v>
      </c>
      <c r="AL40" s="14">
        <f t="shared" si="28"/>
        <v>0</v>
      </c>
      <c r="AM40" s="3"/>
      <c r="AN40" s="3"/>
      <c r="AO40" s="3"/>
      <c r="AP40" s="3"/>
      <c r="AQ40" s="3"/>
      <c r="AR40" s="3"/>
      <c r="AS40" s="3">
        <f t="shared" si="29"/>
        <v>22871.899999999998</v>
      </c>
      <c r="AT40" s="3">
        <f t="shared" si="29"/>
        <v>31658.2</v>
      </c>
      <c r="AU40" s="14">
        <f t="shared" si="30"/>
        <v>138.41526064734458</v>
      </c>
      <c r="AV40" s="3">
        <f t="shared" si="31"/>
        <v>-8786.300000000003</v>
      </c>
      <c r="AW40" s="103">
        <f t="shared" si="32"/>
        <v>-458.6000000000022</v>
      </c>
    </row>
    <row r="41" spans="1:49" ht="27.75" customHeight="1">
      <c r="A41" s="98">
        <v>30</v>
      </c>
      <c r="B41" s="15" t="s">
        <v>121</v>
      </c>
      <c r="C41" s="2">
        <v>35591.6</v>
      </c>
      <c r="D41" s="3">
        <v>19464.8</v>
      </c>
      <c r="E41" s="3">
        <v>12252.2</v>
      </c>
      <c r="F41" s="119">
        <f t="shared" si="0"/>
        <v>62.94541942378037</v>
      </c>
      <c r="G41" s="3">
        <v>19501.5</v>
      </c>
      <c r="H41" s="3">
        <v>21677</v>
      </c>
      <c r="I41" s="14">
        <f t="shared" si="1"/>
        <v>111.1555521370151</v>
      </c>
      <c r="J41" s="3">
        <v>19536.9</v>
      </c>
      <c r="K41" s="3">
        <v>8637.2</v>
      </c>
      <c r="L41" s="14">
        <f t="shared" si="19"/>
        <v>44.2096750252087</v>
      </c>
      <c r="M41" s="3">
        <f t="shared" si="20"/>
        <v>58503.200000000004</v>
      </c>
      <c r="N41" s="3">
        <f t="shared" si="20"/>
        <v>42566.399999999994</v>
      </c>
      <c r="O41" s="14">
        <f t="shared" si="8"/>
        <v>72.75909693828712</v>
      </c>
      <c r="P41" s="3">
        <v>6031.6</v>
      </c>
      <c r="Q41" s="3">
        <v>31934.6</v>
      </c>
      <c r="R41" s="14">
        <f t="shared" si="21"/>
        <v>529.4548710126666</v>
      </c>
      <c r="S41" s="3">
        <v>-2517.7</v>
      </c>
      <c r="T41" s="3">
        <v>4338.8</v>
      </c>
      <c r="U41" s="14">
        <f t="shared" si="22"/>
        <v>-172.33189021726182</v>
      </c>
      <c r="V41" s="3">
        <v>7.7</v>
      </c>
      <c r="W41" s="3">
        <v>1351.7</v>
      </c>
      <c r="X41" s="14">
        <f t="shared" si="23"/>
        <v>17554.545454545456</v>
      </c>
      <c r="Y41" s="3">
        <f t="shared" si="24"/>
        <v>3521.6000000000004</v>
      </c>
      <c r="Z41" s="3">
        <f t="shared" si="24"/>
        <v>37625.1</v>
      </c>
      <c r="AA41" s="14">
        <f t="shared" si="25"/>
        <v>1068.4092457973645</v>
      </c>
      <c r="AB41" s="3">
        <v>5.4</v>
      </c>
      <c r="AC41" s="3">
        <v>1782</v>
      </c>
      <c r="AD41" s="14">
        <f t="shared" si="26"/>
        <v>33000</v>
      </c>
      <c r="AE41" s="3"/>
      <c r="AF41" s="3"/>
      <c r="AG41" s="14" t="e">
        <f t="shared" si="27"/>
        <v>#DIV/0!</v>
      </c>
      <c r="AH41" s="3"/>
      <c r="AI41" s="3"/>
      <c r="AJ41" s="3">
        <f t="shared" si="10"/>
        <v>5.4</v>
      </c>
      <c r="AK41" s="3">
        <f t="shared" si="11"/>
        <v>1782</v>
      </c>
      <c r="AL41" s="14">
        <f t="shared" si="28"/>
        <v>33000</v>
      </c>
      <c r="AM41" s="3"/>
      <c r="AN41" s="3"/>
      <c r="AO41" s="3"/>
      <c r="AP41" s="3"/>
      <c r="AQ41" s="3"/>
      <c r="AR41" s="3"/>
      <c r="AS41" s="3">
        <f t="shared" si="29"/>
        <v>62030.200000000004</v>
      </c>
      <c r="AT41" s="3">
        <f t="shared" si="29"/>
        <v>81973.5</v>
      </c>
      <c r="AU41" s="119">
        <f t="shared" si="30"/>
        <v>132.15095227808388</v>
      </c>
      <c r="AV41" s="3">
        <f t="shared" si="31"/>
        <v>-19943.299999999996</v>
      </c>
      <c r="AW41" s="103">
        <f t="shared" si="32"/>
        <v>15648.300000000003</v>
      </c>
    </row>
    <row r="42" spans="1:49" ht="24" customHeight="1">
      <c r="A42" s="98">
        <v>31</v>
      </c>
      <c r="B42" s="15" t="s">
        <v>122</v>
      </c>
      <c r="C42" s="2">
        <v>-4</v>
      </c>
      <c r="D42" s="3">
        <v>0</v>
      </c>
      <c r="E42" s="3">
        <v>0</v>
      </c>
      <c r="F42" s="28" t="e">
        <f t="shared" si="0"/>
        <v>#DIV/0!</v>
      </c>
      <c r="G42" s="3"/>
      <c r="H42" s="3"/>
      <c r="I42" s="28" t="e">
        <f t="shared" si="1"/>
        <v>#DIV/0!</v>
      </c>
      <c r="J42" s="3"/>
      <c r="K42" s="3"/>
      <c r="L42" s="28" t="e">
        <f t="shared" si="19"/>
        <v>#DIV/0!</v>
      </c>
      <c r="M42" s="3"/>
      <c r="N42" s="3"/>
      <c r="O42" s="14"/>
      <c r="P42" s="3"/>
      <c r="Q42" s="3"/>
      <c r="R42" s="14"/>
      <c r="S42" s="3"/>
      <c r="T42" s="3"/>
      <c r="U42" s="14"/>
      <c r="V42" s="3"/>
      <c r="W42" s="3"/>
      <c r="X42" s="28" t="e">
        <f t="shared" si="23"/>
        <v>#DIV/0!</v>
      </c>
      <c r="Y42" s="3">
        <f t="shared" si="24"/>
        <v>0</v>
      </c>
      <c r="Z42" s="3">
        <f t="shared" si="24"/>
        <v>0</v>
      </c>
      <c r="AA42" s="14" t="e">
        <f t="shared" si="25"/>
        <v>#DIV/0!</v>
      </c>
      <c r="AB42" s="3"/>
      <c r="AC42" s="3"/>
      <c r="AD42" s="33">
        <v>0</v>
      </c>
      <c r="AE42" s="3"/>
      <c r="AF42" s="3"/>
      <c r="AG42" s="28" t="e">
        <f t="shared" si="27"/>
        <v>#DIV/0!</v>
      </c>
      <c r="AH42" s="3"/>
      <c r="AI42" s="3"/>
      <c r="AJ42" s="3">
        <f t="shared" si="10"/>
        <v>0</v>
      </c>
      <c r="AK42" s="3">
        <f t="shared" si="11"/>
        <v>0</v>
      </c>
      <c r="AL42" s="14" t="e">
        <f t="shared" si="28"/>
        <v>#DIV/0!</v>
      </c>
      <c r="AM42" s="3"/>
      <c r="AN42" s="3"/>
      <c r="AO42" s="3"/>
      <c r="AP42" s="3"/>
      <c r="AQ42" s="3"/>
      <c r="AR42" s="3"/>
      <c r="AS42" s="3"/>
      <c r="AT42" s="3"/>
      <c r="AU42" s="28" t="e">
        <f t="shared" si="30"/>
        <v>#DIV/0!</v>
      </c>
      <c r="AV42" s="3">
        <f t="shared" si="31"/>
        <v>0</v>
      </c>
      <c r="AW42" s="103">
        <f t="shared" si="32"/>
        <v>-4</v>
      </c>
    </row>
    <row r="43" spans="1:49" ht="24" customHeight="1">
      <c r="A43" s="98">
        <v>32</v>
      </c>
      <c r="B43" s="1" t="s">
        <v>123</v>
      </c>
      <c r="C43" s="2">
        <v>13656.4</v>
      </c>
      <c r="D43" s="3">
        <v>5828.7</v>
      </c>
      <c r="E43" s="3">
        <v>4214.4</v>
      </c>
      <c r="F43" s="14">
        <f t="shared" si="0"/>
        <v>72.30428740542487</v>
      </c>
      <c r="G43" s="3">
        <v>5828.6</v>
      </c>
      <c r="H43" s="3">
        <v>8797.2</v>
      </c>
      <c r="I43" s="14">
        <f t="shared" si="1"/>
        <v>150.93161308032802</v>
      </c>
      <c r="J43" s="3">
        <v>5867.5</v>
      </c>
      <c r="K43" s="3">
        <v>4852.8</v>
      </c>
      <c r="L43" s="14">
        <f t="shared" si="19"/>
        <v>82.70643374520665</v>
      </c>
      <c r="M43" s="3">
        <f>D43+G43+J43</f>
        <v>17524.8</v>
      </c>
      <c r="N43" s="3">
        <f>E43+H43+K43</f>
        <v>17864.4</v>
      </c>
      <c r="O43" s="14">
        <f t="shared" si="8"/>
        <v>101.93782525335526</v>
      </c>
      <c r="P43" s="3">
        <v>718</v>
      </c>
      <c r="Q43" s="3">
        <v>13316.7</v>
      </c>
      <c r="R43" s="14">
        <f t="shared" si="21"/>
        <v>1854.6935933147633</v>
      </c>
      <c r="S43" s="3">
        <v>423.8</v>
      </c>
      <c r="T43" s="3">
        <v>140.7</v>
      </c>
      <c r="U43" s="14">
        <f>T43/S43*100</f>
        <v>33.199622463426145</v>
      </c>
      <c r="V43" s="3">
        <v>-0.2</v>
      </c>
      <c r="W43" s="3">
        <v>77.3</v>
      </c>
      <c r="X43" s="14">
        <f t="shared" si="23"/>
        <v>-38649.99999999999</v>
      </c>
      <c r="Y43" s="3">
        <f t="shared" si="24"/>
        <v>1141.6</v>
      </c>
      <c r="Z43" s="3">
        <f t="shared" si="24"/>
        <v>13534.7</v>
      </c>
      <c r="AA43" s="14">
        <f t="shared" si="25"/>
        <v>1185.5903994393834</v>
      </c>
      <c r="AB43" s="3">
        <v>1.1</v>
      </c>
      <c r="AC43" s="3">
        <v>0</v>
      </c>
      <c r="AD43" s="14">
        <f t="shared" si="26"/>
        <v>0</v>
      </c>
      <c r="AE43" s="3"/>
      <c r="AF43" s="3"/>
      <c r="AG43" s="28" t="e">
        <f t="shared" si="27"/>
        <v>#DIV/0!</v>
      </c>
      <c r="AH43" s="3"/>
      <c r="AI43" s="3"/>
      <c r="AJ43" s="3">
        <f t="shared" si="10"/>
        <v>1.1</v>
      </c>
      <c r="AK43" s="3">
        <f t="shared" si="11"/>
        <v>0</v>
      </c>
      <c r="AL43" s="14">
        <f t="shared" si="28"/>
        <v>0</v>
      </c>
      <c r="AM43" s="3"/>
      <c r="AN43" s="3"/>
      <c r="AO43" s="3"/>
      <c r="AP43" s="3"/>
      <c r="AQ43" s="3"/>
      <c r="AR43" s="3"/>
      <c r="AS43" s="3">
        <f>M43+Y43+AJ43+AM43+AO43+AQ43</f>
        <v>18667.499999999996</v>
      </c>
      <c r="AT43" s="3">
        <f>N43+Z43+AK43+AN43+AP43+AR43</f>
        <v>31399.100000000002</v>
      </c>
      <c r="AU43" s="14">
        <f t="shared" si="30"/>
        <v>168.20195526985407</v>
      </c>
      <c r="AV43" s="3">
        <f t="shared" si="31"/>
        <v>-12731.600000000006</v>
      </c>
      <c r="AW43" s="103">
        <f t="shared" si="32"/>
        <v>924.799999999992</v>
      </c>
    </row>
    <row r="44" spans="1:49" ht="24" customHeight="1">
      <c r="A44" s="98">
        <v>33</v>
      </c>
      <c r="B44" s="15" t="s">
        <v>124</v>
      </c>
      <c r="C44" s="2">
        <v>5548</v>
      </c>
      <c r="D44" s="3">
        <v>4218.6</v>
      </c>
      <c r="E44" s="3">
        <v>1283.6</v>
      </c>
      <c r="F44" s="14">
        <f t="shared" si="0"/>
        <v>30.427155928507084</v>
      </c>
      <c r="G44" s="3">
        <v>4103.9</v>
      </c>
      <c r="H44" s="3">
        <v>3992.9</v>
      </c>
      <c r="I44" s="14">
        <f t="shared" si="1"/>
        <v>97.29525573235216</v>
      </c>
      <c r="J44" s="3">
        <v>4159.3</v>
      </c>
      <c r="K44" s="3">
        <v>3599.3</v>
      </c>
      <c r="L44" s="14">
        <f t="shared" si="19"/>
        <v>86.53619599451831</v>
      </c>
      <c r="M44" s="3">
        <f>D44+G44+J44</f>
        <v>12481.8</v>
      </c>
      <c r="N44" s="3">
        <f>E44+H44+K44</f>
        <v>8875.8</v>
      </c>
      <c r="O44" s="14">
        <f t="shared" si="8"/>
        <v>71.10993606691342</v>
      </c>
      <c r="P44" s="3">
        <v>1190.7</v>
      </c>
      <c r="Q44" s="3">
        <v>9154</v>
      </c>
      <c r="R44" s="14">
        <f t="shared" si="21"/>
        <v>768.7914672041657</v>
      </c>
      <c r="S44" s="3">
        <v>-436.9</v>
      </c>
      <c r="T44" s="3">
        <v>0</v>
      </c>
      <c r="U44" s="14">
        <f t="shared" si="22"/>
        <v>0</v>
      </c>
      <c r="V44" s="3">
        <v>10.7</v>
      </c>
      <c r="W44" s="3">
        <v>117</v>
      </c>
      <c r="X44" s="14">
        <f t="shared" si="23"/>
        <v>1093.4579439252336</v>
      </c>
      <c r="Y44" s="3">
        <f t="shared" si="24"/>
        <v>764.5000000000001</v>
      </c>
      <c r="Z44" s="3">
        <f t="shared" si="24"/>
        <v>9271</v>
      </c>
      <c r="AA44" s="14">
        <f t="shared" si="25"/>
        <v>1212.6880313930671</v>
      </c>
      <c r="AB44" s="3">
        <v>259.3</v>
      </c>
      <c r="AC44" s="3">
        <v>0</v>
      </c>
      <c r="AD44" s="33">
        <v>0</v>
      </c>
      <c r="AE44" s="3"/>
      <c r="AF44" s="3"/>
      <c r="AG44" s="28" t="e">
        <f t="shared" si="27"/>
        <v>#DIV/0!</v>
      </c>
      <c r="AH44" s="3"/>
      <c r="AI44" s="3"/>
      <c r="AJ44" s="3">
        <f t="shared" si="10"/>
        <v>259.3</v>
      </c>
      <c r="AK44" s="3">
        <f t="shared" si="11"/>
        <v>0</v>
      </c>
      <c r="AL44" s="14">
        <f t="shared" si="28"/>
        <v>0</v>
      </c>
      <c r="AM44" s="3"/>
      <c r="AN44" s="3"/>
      <c r="AO44" s="3"/>
      <c r="AP44" s="3"/>
      <c r="AQ44" s="3"/>
      <c r="AR44" s="3"/>
      <c r="AS44" s="3">
        <f>M44+Y44+AJ44+AM44+AO44+AQ44</f>
        <v>13505.599999999999</v>
      </c>
      <c r="AT44" s="3">
        <f>N44+Z44+AK44+AN44+AP44+AR44</f>
        <v>18146.8</v>
      </c>
      <c r="AU44" s="14">
        <f t="shared" si="30"/>
        <v>134.36500414642816</v>
      </c>
      <c r="AV44" s="3">
        <f t="shared" si="31"/>
        <v>-4641.200000000001</v>
      </c>
      <c r="AW44" s="103">
        <f t="shared" si="32"/>
        <v>906.7999999999993</v>
      </c>
    </row>
    <row r="45" spans="1:49" s="8" customFormat="1" ht="24.75" customHeight="1">
      <c r="A45" s="16">
        <v>34</v>
      </c>
      <c r="B45" s="16" t="s">
        <v>2</v>
      </c>
      <c r="C45" s="48">
        <f>C46</f>
        <v>311244</v>
      </c>
      <c r="D45" s="48">
        <f>D46</f>
        <v>195944</v>
      </c>
      <c r="E45" s="48">
        <f>E46</f>
        <v>103343</v>
      </c>
      <c r="F45" s="14">
        <f t="shared" si="0"/>
        <v>52.74108929081779</v>
      </c>
      <c r="G45" s="48">
        <f>G46</f>
        <v>172835</v>
      </c>
      <c r="H45" s="48">
        <f>H46</f>
        <v>195217</v>
      </c>
      <c r="I45" s="14">
        <f t="shared" si="1"/>
        <v>112.94992333728702</v>
      </c>
      <c r="J45" s="48">
        <f>J46</f>
        <v>166516</v>
      </c>
      <c r="K45" s="48">
        <f>K46</f>
        <v>147761</v>
      </c>
      <c r="L45" s="48">
        <f>L46</f>
        <v>88.73681808354753</v>
      </c>
      <c r="M45" s="48">
        <f>M46</f>
        <v>535295</v>
      </c>
      <c r="N45" s="48">
        <f>N46</f>
        <v>446321</v>
      </c>
      <c r="O45" s="14">
        <f t="shared" si="8"/>
        <v>83.37851091454245</v>
      </c>
      <c r="P45" s="48">
        <f>P46</f>
        <v>47391</v>
      </c>
      <c r="Q45" s="48">
        <f>Q46</f>
        <v>417852</v>
      </c>
      <c r="R45" s="14">
        <f t="shared" si="21"/>
        <v>881.711717414699</v>
      </c>
      <c r="S45" s="48">
        <f>S46</f>
        <v>-53585</v>
      </c>
      <c r="T45" s="48">
        <f>T46</f>
        <v>5596</v>
      </c>
      <c r="U45" s="14">
        <f t="shared" si="22"/>
        <v>-10.443221050667164</v>
      </c>
      <c r="V45" s="48">
        <f>V46</f>
        <v>2158</v>
      </c>
      <c r="W45" s="48">
        <f>W46</f>
        <v>0</v>
      </c>
      <c r="X45" s="14">
        <f t="shared" si="23"/>
        <v>0</v>
      </c>
      <c r="Y45" s="48">
        <f>Y46</f>
        <v>-4036</v>
      </c>
      <c r="Z45" s="48">
        <f>Z46</f>
        <v>423448</v>
      </c>
      <c r="AA45" s="14">
        <f t="shared" si="25"/>
        <v>-10491.774033696729</v>
      </c>
      <c r="AB45" s="48">
        <f>AB46</f>
        <v>2761</v>
      </c>
      <c r="AC45" s="48">
        <f>AC46</f>
        <v>0</v>
      </c>
      <c r="AD45" s="14">
        <f t="shared" si="26"/>
        <v>0</v>
      </c>
      <c r="AE45" s="48">
        <f>AE46</f>
        <v>0</v>
      </c>
      <c r="AF45" s="48">
        <f>AF46</f>
        <v>0</v>
      </c>
      <c r="AG45" s="14" t="e">
        <f>AF45/AE45*100</f>
        <v>#DIV/0!</v>
      </c>
      <c r="AH45" s="48">
        <f>AH46</f>
        <v>0</v>
      </c>
      <c r="AI45" s="48">
        <f>AI46</f>
        <v>0</v>
      </c>
      <c r="AJ45" s="48">
        <f>AJ46</f>
        <v>2761</v>
      </c>
      <c r="AK45" s="48">
        <f>AK46</f>
        <v>0</v>
      </c>
      <c r="AL45" s="14">
        <f t="shared" si="28"/>
        <v>0</v>
      </c>
      <c r="AM45" s="48">
        <f aca="true" t="shared" si="33" ref="AM45:AT45">AM46</f>
        <v>0</v>
      </c>
      <c r="AN45" s="48">
        <f t="shared" si="33"/>
        <v>0</v>
      </c>
      <c r="AO45" s="48">
        <f t="shared" si="33"/>
        <v>0</v>
      </c>
      <c r="AP45" s="48">
        <f t="shared" si="33"/>
        <v>0</v>
      </c>
      <c r="AQ45" s="48">
        <f t="shared" si="33"/>
        <v>0</v>
      </c>
      <c r="AR45" s="48">
        <f t="shared" si="33"/>
        <v>0</v>
      </c>
      <c r="AS45" s="109">
        <f t="shared" si="33"/>
        <v>534020</v>
      </c>
      <c r="AT45" s="109">
        <f t="shared" si="33"/>
        <v>869769</v>
      </c>
      <c r="AU45" s="14">
        <f t="shared" si="30"/>
        <v>162.87198981311562</v>
      </c>
      <c r="AV45" s="49">
        <f>AV46+AV47</f>
        <v>-335749</v>
      </c>
      <c r="AW45" s="49">
        <f>AW46+AW47</f>
        <v>-24505</v>
      </c>
    </row>
    <row r="46" spans="1:49" s="8" customFormat="1" ht="24.75" customHeight="1">
      <c r="A46" s="16"/>
      <c r="B46" s="1" t="s">
        <v>7</v>
      </c>
      <c r="C46" s="2">
        <v>311244</v>
      </c>
      <c r="D46" s="3">
        <v>195944</v>
      </c>
      <c r="E46" s="3">
        <v>103343</v>
      </c>
      <c r="F46" s="14">
        <f t="shared" si="0"/>
        <v>52.74108929081779</v>
      </c>
      <c r="G46" s="3">
        <v>172835</v>
      </c>
      <c r="H46" s="3">
        <v>195217</v>
      </c>
      <c r="I46" s="14">
        <f t="shared" si="1"/>
        <v>112.94992333728702</v>
      </c>
      <c r="J46" s="3">
        <v>166516</v>
      </c>
      <c r="K46" s="3">
        <v>147761</v>
      </c>
      <c r="L46" s="14">
        <f t="shared" si="19"/>
        <v>88.73681808354753</v>
      </c>
      <c r="M46" s="3">
        <f>D46+G46+J46</f>
        <v>535295</v>
      </c>
      <c r="N46" s="3">
        <f>E46+H46+K46</f>
        <v>446321</v>
      </c>
      <c r="O46" s="14">
        <f t="shared" si="8"/>
        <v>83.37851091454245</v>
      </c>
      <c r="P46" s="3">
        <v>47391</v>
      </c>
      <c r="Q46" s="3">
        <v>417852</v>
      </c>
      <c r="R46" s="14">
        <f t="shared" si="21"/>
        <v>881.711717414699</v>
      </c>
      <c r="S46" s="3">
        <v>-53585</v>
      </c>
      <c r="T46" s="3">
        <v>5596</v>
      </c>
      <c r="U46" s="14">
        <f t="shared" si="22"/>
        <v>-10.443221050667164</v>
      </c>
      <c r="V46" s="3">
        <v>2158</v>
      </c>
      <c r="W46" s="3">
        <v>0</v>
      </c>
      <c r="X46" s="14">
        <f t="shared" si="23"/>
        <v>0</v>
      </c>
      <c r="Y46" s="3">
        <f>P46+S46+V46</f>
        <v>-4036</v>
      </c>
      <c r="Z46" s="3">
        <f>Q46+T46+W46</f>
        <v>423448</v>
      </c>
      <c r="AA46" s="14">
        <f t="shared" si="25"/>
        <v>-10491.774033696729</v>
      </c>
      <c r="AB46" s="3">
        <v>2761</v>
      </c>
      <c r="AC46" s="3">
        <v>0</v>
      </c>
      <c r="AD46" s="14">
        <f t="shared" si="26"/>
        <v>0</v>
      </c>
      <c r="AE46" s="3"/>
      <c r="AF46" s="3"/>
      <c r="AG46" s="14" t="e">
        <f>AF46/AE46*100</f>
        <v>#DIV/0!</v>
      </c>
      <c r="AH46" s="3"/>
      <c r="AI46" s="3"/>
      <c r="AJ46" s="3">
        <f>AB46+AE46+AH46</f>
        <v>2761</v>
      </c>
      <c r="AK46" s="3">
        <f>AC46+AF46+AI46</f>
        <v>0</v>
      </c>
      <c r="AL46" s="14">
        <f t="shared" si="28"/>
        <v>0</v>
      </c>
      <c r="AM46" s="3"/>
      <c r="AN46" s="3"/>
      <c r="AO46" s="3"/>
      <c r="AP46" s="3"/>
      <c r="AQ46" s="3"/>
      <c r="AR46" s="3"/>
      <c r="AS46" s="3">
        <f>M46+Y46+AJ46+AM46+AO46+AQ46</f>
        <v>534020</v>
      </c>
      <c r="AT46" s="3">
        <f>N46+Z46+AK46+AN46+AP46+AR46</f>
        <v>869769</v>
      </c>
      <c r="AU46" s="14">
        <f t="shared" si="30"/>
        <v>162.87198981311562</v>
      </c>
      <c r="AV46" s="3">
        <f>AS46-AT46</f>
        <v>-335749</v>
      </c>
      <c r="AW46" s="103">
        <f>C46+AS46-AT46</f>
        <v>-24505</v>
      </c>
    </row>
    <row r="47" spans="1:49" s="8" customFormat="1" ht="24.75" customHeight="1">
      <c r="A47" s="16"/>
      <c r="B47" s="1" t="s">
        <v>15</v>
      </c>
      <c r="C47" s="2"/>
      <c r="D47" s="21"/>
      <c r="E47" s="21"/>
      <c r="F47" s="36" t="e">
        <f t="shared" si="0"/>
        <v>#DIV/0!</v>
      </c>
      <c r="G47" s="21"/>
      <c r="H47" s="21"/>
      <c r="I47" s="36"/>
      <c r="J47" s="21"/>
      <c r="K47" s="21"/>
      <c r="L47" s="36"/>
      <c r="M47" s="36"/>
      <c r="N47" s="36"/>
      <c r="O47" s="14"/>
      <c r="P47" s="21"/>
      <c r="Q47" s="21"/>
      <c r="R47" s="36"/>
      <c r="S47" s="21"/>
      <c r="T47" s="21"/>
      <c r="U47" s="36"/>
      <c r="V47" s="21"/>
      <c r="W47" s="21"/>
      <c r="X47" s="36"/>
      <c r="Y47" s="36"/>
      <c r="Z47" s="36"/>
      <c r="AA47" s="14"/>
      <c r="AB47" s="21"/>
      <c r="AC47" s="21"/>
      <c r="AD47" s="36"/>
      <c r="AE47" s="21"/>
      <c r="AF47" s="21"/>
      <c r="AG47" s="36" t="e">
        <f>AF47/AE47*100</f>
        <v>#DIV/0!</v>
      </c>
      <c r="AH47" s="21"/>
      <c r="AI47" s="21"/>
      <c r="AJ47" s="36"/>
      <c r="AK47" s="36"/>
      <c r="AL47" s="14"/>
      <c r="AM47" s="21"/>
      <c r="AN47" s="21"/>
      <c r="AO47" s="21"/>
      <c r="AP47" s="21"/>
      <c r="AQ47" s="21"/>
      <c r="AR47" s="21"/>
      <c r="AS47" s="21"/>
      <c r="AT47" s="21"/>
      <c r="AU47" s="14"/>
      <c r="AV47" s="21"/>
      <c r="AW47" s="103"/>
    </row>
    <row r="48" spans="1:51" s="8" customFormat="1" ht="24.75" customHeight="1">
      <c r="A48" s="16"/>
      <c r="B48" s="16" t="s">
        <v>4</v>
      </c>
      <c r="C48" s="48">
        <f>C7+C45</f>
        <v>412184.69999999995</v>
      </c>
      <c r="D48" s="4">
        <f>D7+D45</f>
        <v>260994.9</v>
      </c>
      <c r="E48" s="4">
        <f>E7+E45</f>
        <v>137583.9</v>
      </c>
      <c r="F48" s="14">
        <f t="shared" si="0"/>
        <v>52.71516799753558</v>
      </c>
      <c r="G48" s="4">
        <f>G7+G45</f>
        <v>241287.2</v>
      </c>
      <c r="H48" s="4">
        <f>H7+H45</f>
        <v>256071.8</v>
      </c>
      <c r="I48" s="14">
        <f>H48/G48*100</f>
        <v>106.12738678222466</v>
      </c>
      <c r="J48" s="4">
        <f>J7+J45</f>
        <v>235407.3</v>
      </c>
      <c r="K48" s="4">
        <f>K7+K45</f>
        <v>192097.90000000002</v>
      </c>
      <c r="L48" s="4">
        <f>K48/J48*100</f>
        <v>81.6023547273173</v>
      </c>
      <c r="M48" s="4">
        <f>M7+M45</f>
        <v>737689.4</v>
      </c>
      <c r="N48" s="4">
        <f>N7+N45</f>
        <v>585753.6</v>
      </c>
      <c r="O48" s="14">
        <f t="shared" si="8"/>
        <v>79.40382497023815</v>
      </c>
      <c r="P48" s="4">
        <f>P7+P45</f>
        <v>63167.520000000004</v>
      </c>
      <c r="Q48" s="4">
        <f>Q7+Q45</f>
        <v>550860.5</v>
      </c>
      <c r="R48" s="14">
        <f>Q48/P48*100</f>
        <v>872.06288928234</v>
      </c>
      <c r="S48" s="4">
        <f>S7+S45</f>
        <v>-62782.2</v>
      </c>
      <c r="T48" s="4">
        <f>T7+T45</f>
        <v>11725.8</v>
      </c>
      <c r="U48" s="14">
        <f>T48/S48*100</f>
        <v>-18.67694983610004</v>
      </c>
      <c r="V48" s="4">
        <f>V7+V45</f>
        <v>2811.2</v>
      </c>
      <c r="W48" s="4">
        <f>W7+W45</f>
        <v>2174.5</v>
      </c>
      <c r="X48" s="14">
        <f>W48/V48*100</f>
        <v>77.35130904951623</v>
      </c>
      <c r="Y48" s="4">
        <f>Y7+Y45</f>
        <v>3196.5200000000004</v>
      </c>
      <c r="Z48" s="4">
        <f>Z7+Z45</f>
        <v>564760.8</v>
      </c>
      <c r="AA48" s="14">
        <f>Z48/Y48*100</f>
        <v>17667.988937970043</v>
      </c>
      <c r="AB48" s="4">
        <f>AB7+AB45</f>
        <v>3054.9</v>
      </c>
      <c r="AC48" s="4">
        <f>AC7+AC45</f>
        <v>2413.1</v>
      </c>
      <c r="AD48" s="14">
        <f>AC48/AB48*100</f>
        <v>78.99112900585943</v>
      </c>
      <c r="AE48" s="4">
        <f>AE7+AE45</f>
        <v>0</v>
      </c>
      <c r="AF48" s="4">
        <f>AF7+AF45</f>
        <v>0</v>
      </c>
      <c r="AG48" s="14" t="e">
        <f>AF48/AE48*100</f>
        <v>#DIV/0!</v>
      </c>
      <c r="AH48" s="4">
        <f>AH7+AH45</f>
        <v>0</v>
      </c>
      <c r="AI48" s="4">
        <f>AI7+AI45</f>
        <v>0</v>
      </c>
      <c r="AJ48" s="4">
        <f>AJ7+AJ45</f>
        <v>3054.9</v>
      </c>
      <c r="AK48" s="4">
        <f>AK7+AK45</f>
        <v>2413.1</v>
      </c>
      <c r="AL48" s="14">
        <f>AK48/AJ48*100</f>
        <v>78.99112900585943</v>
      </c>
      <c r="AM48" s="4">
        <f aca="true" t="shared" si="34" ref="AM48:AT48">AM7+AM45</f>
        <v>0</v>
      </c>
      <c r="AN48" s="4">
        <f t="shared" si="34"/>
        <v>0</v>
      </c>
      <c r="AO48" s="4">
        <f t="shared" si="34"/>
        <v>0</v>
      </c>
      <c r="AP48" s="4">
        <f t="shared" si="34"/>
        <v>0</v>
      </c>
      <c r="AQ48" s="4">
        <f t="shared" si="34"/>
        <v>0</v>
      </c>
      <c r="AR48" s="4">
        <f t="shared" si="34"/>
        <v>0</v>
      </c>
      <c r="AS48" s="4">
        <f t="shared" si="34"/>
        <v>743940.82</v>
      </c>
      <c r="AT48" s="4">
        <f t="shared" si="34"/>
        <v>1152927.5</v>
      </c>
      <c r="AU48" s="14">
        <f>AT48/AS48*100</f>
        <v>154.97570088975627</v>
      </c>
      <c r="AV48" s="42">
        <f>AV7+AV45</f>
        <v>-408986.68</v>
      </c>
      <c r="AW48" s="42">
        <f>AW7+AW45</f>
        <v>3198.0199999999895</v>
      </c>
      <c r="AX48" s="20">
        <f>AS48-AT48</f>
        <v>-408986.68000000005</v>
      </c>
      <c r="AY48" s="18">
        <f>C48+AS48-AT48</f>
        <v>3198.0200000000186</v>
      </c>
    </row>
    <row r="49" spans="1:49" s="8" customFormat="1" ht="24.75" customHeight="1" hidden="1">
      <c r="A49" s="80"/>
      <c r="B49" s="80"/>
      <c r="C49" s="81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4" t="e">
        <f t="shared" si="8"/>
        <v>#DIV/0!</v>
      </c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4" t="e">
        <f>Z49/Y49*100</f>
        <v>#DIV/0!</v>
      </c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4" t="e">
        <f>AK49/AJ49*100</f>
        <v>#DIV/0!</v>
      </c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04"/>
    </row>
    <row r="50" spans="1:49" s="8" customFormat="1" ht="18.75" customHeight="1" hidden="1">
      <c r="A50" s="16"/>
      <c r="B50" s="8" t="s">
        <v>16</v>
      </c>
      <c r="C50" s="81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4" t="e">
        <f t="shared" si="8"/>
        <v>#DIV/0!</v>
      </c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4" t="e">
        <f>Z50/Y50*100</f>
        <v>#DIV/0!</v>
      </c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4" t="e">
        <f>AK50/AJ50*100</f>
        <v>#DIV/0!</v>
      </c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04"/>
    </row>
    <row r="51" spans="1:49" s="8" customFormat="1" ht="6.75" customHeight="1" hidden="1">
      <c r="A51" s="80"/>
      <c r="C51" s="81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4" t="e">
        <f t="shared" si="8"/>
        <v>#DIV/0!</v>
      </c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4" t="e">
        <f>Z51/Y51*100</f>
        <v>#DIV/0!</v>
      </c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4" t="e">
        <f>AK51/AJ51*100</f>
        <v>#DIV/0!</v>
      </c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04"/>
    </row>
    <row r="52" spans="1:49" s="8" customFormat="1" ht="18.75" customHeight="1" hidden="1">
      <c r="A52" s="16"/>
      <c r="B52" s="8" t="s">
        <v>17</v>
      </c>
      <c r="C52" s="81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4" t="e">
        <f t="shared" si="8"/>
        <v>#DIV/0!</v>
      </c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4" t="e">
        <f>Z52/Y52*100</f>
        <v>#DIV/0!</v>
      </c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4" t="e">
        <f>AK52/AJ52*100</f>
        <v>#DIV/0!</v>
      </c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04"/>
    </row>
    <row r="53" spans="3:49" ht="24.75" customHeight="1">
      <c r="C53" s="66"/>
      <c r="D53" s="31"/>
      <c r="E53" s="31"/>
      <c r="F53" s="55"/>
      <c r="G53" s="31"/>
      <c r="H53" s="31"/>
      <c r="I53" s="55"/>
      <c r="J53" s="31"/>
      <c r="K53" s="31"/>
      <c r="L53" s="55"/>
      <c r="M53" s="55"/>
      <c r="N53" s="55"/>
      <c r="O53" s="14"/>
      <c r="P53" s="31"/>
      <c r="Q53" s="31"/>
      <c r="R53" s="55"/>
      <c r="S53" s="31"/>
      <c r="T53" s="31"/>
      <c r="U53" s="55"/>
      <c r="V53" s="55"/>
      <c r="W53" s="55"/>
      <c r="X53" s="55"/>
      <c r="Y53" s="55"/>
      <c r="Z53" s="55"/>
      <c r="AA53" s="14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14"/>
      <c r="AM53" s="55"/>
      <c r="AN53" s="55"/>
      <c r="AO53" s="55"/>
      <c r="AP53" s="55"/>
      <c r="AQ53" s="55"/>
      <c r="AR53" s="55"/>
      <c r="AS53" s="31"/>
      <c r="AT53" s="31"/>
      <c r="AU53" s="55"/>
      <c r="AV53" s="31"/>
      <c r="AW53" s="105"/>
    </row>
    <row r="54" spans="1:54" ht="73.5" customHeight="1" hidden="1">
      <c r="A54" s="152" t="s">
        <v>59</v>
      </c>
      <c r="B54" s="152"/>
      <c r="C54" s="152"/>
      <c r="D54" s="56"/>
      <c r="E54" s="56"/>
      <c r="F54" s="55"/>
      <c r="G54" s="31"/>
      <c r="H54" s="31"/>
      <c r="I54" s="55"/>
      <c r="J54" s="31"/>
      <c r="K54" s="31"/>
      <c r="L54" s="55"/>
      <c r="M54" s="55"/>
      <c r="N54" s="55"/>
      <c r="O54" s="55"/>
      <c r="P54" s="31"/>
      <c r="Q54" s="31"/>
      <c r="R54" s="55"/>
      <c r="S54" s="31"/>
      <c r="T54" s="31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31"/>
      <c r="AT54" s="31"/>
      <c r="AU54" s="55"/>
      <c r="AV54" s="31"/>
      <c r="AW54" s="57" t="s">
        <v>57</v>
      </c>
      <c r="AX54" s="31"/>
      <c r="AY54" s="31"/>
      <c r="AZ54" s="31"/>
      <c r="BA54" s="55"/>
      <c r="BB54" s="57" t="s">
        <v>57</v>
      </c>
    </row>
    <row r="55" spans="1:49" s="64" customFormat="1" ht="42.75" customHeight="1">
      <c r="A55" s="59"/>
      <c r="B55" s="150" t="s">
        <v>61</v>
      </c>
      <c r="C55" s="150"/>
      <c r="D55" s="60"/>
      <c r="E55" s="60"/>
      <c r="F55" s="61"/>
      <c r="G55" s="62"/>
      <c r="H55" s="62"/>
      <c r="I55" s="61"/>
      <c r="J55" s="62"/>
      <c r="K55" s="62"/>
      <c r="L55" s="61"/>
      <c r="M55" s="61"/>
      <c r="N55" s="61"/>
      <c r="O55" s="61"/>
      <c r="P55" s="62"/>
      <c r="Q55" s="62"/>
      <c r="R55" s="61"/>
      <c r="S55" s="62"/>
      <c r="T55" s="62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2"/>
      <c r="AT55" s="62"/>
      <c r="AU55" s="61"/>
      <c r="AV55" s="62"/>
      <c r="AW55" s="63" t="s">
        <v>60</v>
      </c>
    </row>
    <row r="56" spans="3:49" ht="40.5" customHeight="1">
      <c r="C56" s="91"/>
      <c r="D56" s="27"/>
      <c r="E56" s="27"/>
      <c r="F56" s="65"/>
      <c r="G56" s="27"/>
      <c r="H56" s="27"/>
      <c r="I56" s="65"/>
      <c r="J56" s="27"/>
      <c r="K56" s="27"/>
      <c r="L56" s="65"/>
      <c r="M56" s="65"/>
      <c r="N56" s="65"/>
      <c r="O56" s="65"/>
      <c r="P56" s="27"/>
      <c r="Q56" s="27"/>
      <c r="R56" s="65"/>
      <c r="S56" s="27"/>
      <c r="T56" s="27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65"/>
      <c r="AK56" s="65"/>
      <c r="AL56" s="65"/>
      <c r="AM56" s="65"/>
      <c r="AN56" s="65"/>
      <c r="AO56" s="65"/>
      <c r="AP56" s="65"/>
      <c r="AQ56" s="65"/>
      <c r="AR56" s="65"/>
      <c r="AS56" s="27"/>
      <c r="AT56" s="27"/>
      <c r="AU56" s="65"/>
      <c r="AV56" s="27"/>
      <c r="AW56" s="106"/>
    </row>
    <row r="57" spans="3:49" ht="40.5" customHeight="1">
      <c r="C57" s="91"/>
      <c r="D57" s="27"/>
      <c r="E57" s="27"/>
      <c r="F57" s="65"/>
      <c r="G57" s="27"/>
      <c r="H57" s="27"/>
      <c r="I57" s="65"/>
      <c r="J57" s="27"/>
      <c r="K57" s="27"/>
      <c r="L57" s="65"/>
      <c r="M57" s="65"/>
      <c r="N57" s="65"/>
      <c r="O57" s="65"/>
      <c r="P57" s="27"/>
      <c r="Q57" s="27"/>
      <c r="R57" s="65"/>
      <c r="S57" s="27"/>
      <c r="T57" s="27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14"/>
      <c r="AF57" s="14"/>
      <c r="AG57" s="14"/>
      <c r="AH57" s="17"/>
      <c r="AI57" s="17"/>
      <c r="AJ57" s="65"/>
      <c r="AK57" s="65"/>
      <c r="AL57" s="65"/>
      <c r="AM57" s="17"/>
      <c r="AN57" s="17"/>
      <c r="AO57" s="17"/>
      <c r="AP57" s="17"/>
      <c r="AQ57" s="17"/>
      <c r="AR57" s="17"/>
      <c r="AS57" s="27"/>
      <c r="AT57" s="27"/>
      <c r="AU57" s="65"/>
      <c r="AV57" s="3"/>
      <c r="AW57" s="106"/>
    </row>
    <row r="58" spans="2:49" ht="19.5" customHeight="1">
      <c r="B58" s="5" t="s">
        <v>11</v>
      </c>
      <c r="C58" s="77">
        <v>41.3</v>
      </c>
      <c r="D58" s="3">
        <v>94.8</v>
      </c>
      <c r="E58" s="3">
        <v>128.8</v>
      </c>
      <c r="F58" s="14"/>
      <c r="G58" s="3">
        <v>32.5</v>
      </c>
      <c r="H58" s="3">
        <v>0</v>
      </c>
      <c r="I58" s="14"/>
      <c r="J58" s="3">
        <v>32.5</v>
      </c>
      <c r="K58" s="3">
        <v>0</v>
      </c>
      <c r="L58" s="14"/>
      <c r="M58" s="14"/>
      <c r="N58" s="14"/>
      <c r="O58" s="14"/>
      <c r="P58" s="3">
        <v>32.5</v>
      </c>
      <c r="Q58" s="3">
        <v>0</v>
      </c>
      <c r="R58" s="14"/>
      <c r="S58" s="3">
        <v>32.5</v>
      </c>
      <c r="T58" s="3">
        <v>0</v>
      </c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65"/>
      <c r="AF58" s="65"/>
      <c r="AG58" s="65"/>
      <c r="AH58" s="65"/>
      <c r="AI58" s="65"/>
      <c r="AJ58" s="14"/>
      <c r="AK58" s="14"/>
      <c r="AL58" s="14"/>
      <c r="AM58" s="65"/>
      <c r="AN58" s="65"/>
      <c r="AO58" s="65"/>
      <c r="AP58" s="65"/>
      <c r="AQ58" s="65"/>
      <c r="AR58" s="65"/>
      <c r="AS58" s="3"/>
      <c r="AT58" s="3"/>
      <c r="AU58" s="14"/>
      <c r="AV58" s="27"/>
      <c r="AW58" s="103">
        <f>C58+D58-E58</f>
        <v>7.299999999999983</v>
      </c>
    </row>
    <row r="59" spans="2:49" ht="18.75">
      <c r="B59" s="5" t="s">
        <v>12</v>
      </c>
      <c r="C59" s="66">
        <v>60</v>
      </c>
      <c r="D59" s="31">
        <v>196.2</v>
      </c>
      <c r="E59" s="31">
        <v>238.1</v>
      </c>
      <c r="F59" s="55"/>
      <c r="G59" s="31"/>
      <c r="H59" s="31"/>
      <c r="I59" s="55"/>
      <c r="J59" s="31"/>
      <c r="K59" s="31"/>
      <c r="L59" s="55"/>
      <c r="M59" s="55"/>
      <c r="N59" s="55"/>
      <c r="O59" s="55"/>
      <c r="P59" s="31"/>
      <c r="Q59" s="31"/>
      <c r="R59" s="55"/>
      <c r="S59" s="31"/>
      <c r="T59" s="31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65"/>
      <c r="AF59" s="65"/>
      <c r="AG59" s="65"/>
      <c r="AH59" s="65"/>
      <c r="AI59" s="65"/>
      <c r="AJ59" s="55"/>
      <c r="AK59" s="55"/>
      <c r="AL59" s="55"/>
      <c r="AM59" s="65"/>
      <c r="AN59" s="65"/>
      <c r="AO59" s="65"/>
      <c r="AP59" s="65"/>
      <c r="AQ59" s="65"/>
      <c r="AR59" s="65"/>
      <c r="AS59" s="31"/>
      <c r="AT59" s="31"/>
      <c r="AU59" s="55"/>
      <c r="AV59" s="27"/>
      <c r="AW59" s="103">
        <f>C59+D59-E59</f>
        <v>18.099999999999994</v>
      </c>
    </row>
    <row r="60" spans="3:49" ht="18.75">
      <c r="C60" s="66"/>
      <c r="D60" s="31"/>
      <c r="E60" s="31"/>
      <c r="F60" s="55"/>
      <c r="G60" s="31"/>
      <c r="H60" s="31"/>
      <c r="I60" s="55"/>
      <c r="J60" s="31"/>
      <c r="K60" s="31"/>
      <c r="L60" s="55"/>
      <c r="M60" s="55"/>
      <c r="N60" s="55"/>
      <c r="O60" s="55"/>
      <c r="P60" s="31"/>
      <c r="Q60" s="31"/>
      <c r="R60" s="55"/>
      <c r="S60" s="31"/>
      <c r="T60" s="31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65"/>
      <c r="AF60" s="65"/>
      <c r="AG60" s="65"/>
      <c r="AH60" s="65"/>
      <c r="AI60" s="65"/>
      <c r="AJ60" s="55"/>
      <c r="AK60" s="55"/>
      <c r="AL60" s="55"/>
      <c r="AM60" s="65"/>
      <c r="AN60" s="65"/>
      <c r="AO60" s="65"/>
      <c r="AP60" s="65"/>
      <c r="AQ60" s="65"/>
      <c r="AR60" s="65"/>
      <c r="AS60" s="31"/>
      <c r="AT60" s="31"/>
      <c r="AU60" s="55"/>
      <c r="AV60" s="27"/>
      <c r="AW60" s="106"/>
    </row>
    <row r="61" spans="3:49" ht="18.75">
      <c r="C61" s="66"/>
      <c r="D61" s="31"/>
      <c r="E61" s="31"/>
      <c r="F61" s="55"/>
      <c r="G61" s="31"/>
      <c r="H61" s="31"/>
      <c r="I61" s="55"/>
      <c r="J61" s="31"/>
      <c r="K61" s="31"/>
      <c r="L61" s="55"/>
      <c r="M61" s="55"/>
      <c r="N61" s="55"/>
      <c r="O61" s="55"/>
      <c r="P61" s="31"/>
      <c r="Q61" s="31"/>
      <c r="R61" s="55"/>
      <c r="S61" s="31"/>
      <c r="T61" s="31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65"/>
      <c r="AF61" s="65"/>
      <c r="AG61" s="65"/>
      <c r="AH61" s="65"/>
      <c r="AI61" s="65"/>
      <c r="AJ61" s="55"/>
      <c r="AK61" s="55"/>
      <c r="AL61" s="55"/>
      <c r="AM61" s="65"/>
      <c r="AN61" s="65"/>
      <c r="AO61" s="65"/>
      <c r="AP61" s="65"/>
      <c r="AQ61" s="65"/>
      <c r="AR61" s="65"/>
      <c r="AS61" s="31"/>
      <c r="AT61" s="31"/>
      <c r="AU61" s="55"/>
      <c r="AV61" s="27"/>
      <c r="AW61" s="106"/>
    </row>
    <row r="62" spans="3:49" ht="18.75">
      <c r="C62" s="66"/>
      <c r="D62" s="31"/>
      <c r="E62" s="31"/>
      <c r="F62" s="55"/>
      <c r="G62" s="31"/>
      <c r="H62" s="31"/>
      <c r="I62" s="55"/>
      <c r="J62" s="31"/>
      <c r="K62" s="31"/>
      <c r="L62" s="55"/>
      <c r="M62" s="55"/>
      <c r="N62" s="55"/>
      <c r="O62" s="55"/>
      <c r="P62" s="31"/>
      <c r="Q62" s="31"/>
      <c r="R62" s="55"/>
      <c r="S62" s="31"/>
      <c r="T62" s="31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65"/>
      <c r="AF62" s="65"/>
      <c r="AG62" s="65"/>
      <c r="AH62" s="65"/>
      <c r="AI62" s="65"/>
      <c r="AJ62" s="55"/>
      <c r="AK62" s="55"/>
      <c r="AL62" s="55"/>
      <c r="AM62" s="65"/>
      <c r="AN62" s="65"/>
      <c r="AO62" s="65"/>
      <c r="AP62" s="65"/>
      <c r="AQ62" s="65"/>
      <c r="AR62" s="65"/>
      <c r="AS62" s="31"/>
      <c r="AT62" s="31"/>
      <c r="AU62" s="55"/>
      <c r="AV62" s="27"/>
      <c r="AW62" s="106"/>
    </row>
    <row r="63" spans="2:49" ht="18.75">
      <c r="B63" s="5" t="s">
        <v>13</v>
      </c>
      <c r="C63" s="66">
        <f>C9+C17+C20+C26+C38+C40+C42</f>
        <v>9914.6</v>
      </c>
      <c r="D63" s="31"/>
      <c r="E63" s="31"/>
      <c r="F63" s="55"/>
      <c r="G63" s="31"/>
      <c r="H63" s="31"/>
      <c r="I63" s="55"/>
      <c r="J63" s="31"/>
      <c r="K63" s="31"/>
      <c r="L63" s="55"/>
      <c r="M63" s="55"/>
      <c r="N63" s="55"/>
      <c r="O63" s="55"/>
      <c r="P63" s="31"/>
      <c r="Q63" s="31"/>
      <c r="R63" s="55"/>
      <c r="S63" s="31"/>
      <c r="T63" s="31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65"/>
      <c r="AF63" s="65"/>
      <c r="AG63" s="65"/>
      <c r="AH63" s="65"/>
      <c r="AI63" s="65"/>
      <c r="AJ63" s="55"/>
      <c r="AK63" s="55"/>
      <c r="AL63" s="55"/>
      <c r="AM63" s="65"/>
      <c r="AN63" s="65"/>
      <c r="AO63" s="65"/>
      <c r="AP63" s="65"/>
      <c r="AQ63" s="65"/>
      <c r="AR63" s="65"/>
      <c r="AS63" s="31"/>
      <c r="AT63" s="31"/>
      <c r="AU63" s="55"/>
      <c r="AV63" s="27"/>
      <c r="AW63" s="106">
        <f>AW9+AW17+AW20+AW26+AW38+AW40+AW42</f>
        <v>-307.8000000000022</v>
      </c>
    </row>
    <row r="64" spans="2:49" ht="18.75">
      <c r="B64" s="5" t="s">
        <v>14</v>
      </c>
      <c r="C64" s="66">
        <f>C11+C13+C14+C16+C18+C19+C25</f>
        <v>1147.1</v>
      </c>
      <c r="D64" s="31"/>
      <c r="E64" s="31"/>
      <c r="F64" s="55"/>
      <c r="G64" s="31"/>
      <c r="H64" s="31"/>
      <c r="I64" s="55"/>
      <c r="J64" s="31"/>
      <c r="K64" s="31"/>
      <c r="L64" s="55"/>
      <c r="M64" s="55"/>
      <c r="N64" s="55"/>
      <c r="O64" s="55"/>
      <c r="P64" s="31"/>
      <c r="Q64" s="31"/>
      <c r="R64" s="55"/>
      <c r="S64" s="31"/>
      <c r="T64" s="31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65"/>
      <c r="AF64" s="65"/>
      <c r="AG64" s="65"/>
      <c r="AH64" s="65"/>
      <c r="AI64" s="65"/>
      <c r="AJ64" s="55"/>
      <c r="AK64" s="55"/>
      <c r="AL64" s="55"/>
      <c r="AM64" s="65"/>
      <c r="AN64" s="65"/>
      <c r="AO64" s="65"/>
      <c r="AP64" s="65"/>
      <c r="AQ64" s="65"/>
      <c r="AR64" s="65"/>
      <c r="AS64" s="31"/>
      <c r="AT64" s="31"/>
      <c r="AU64" s="55"/>
      <c r="AV64" s="27"/>
      <c r="AW64" s="106">
        <f>AW11+AW13+AW14+AW16+AW18+AW19+AW25</f>
        <v>-190.98000000000042</v>
      </c>
    </row>
    <row r="65" spans="3:49" ht="18.75">
      <c r="C65" s="91"/>
      <c r="D65" s="27"/>
      <c r="E65" s="27"/>
      <c r="F65" s="65"/>
      <c r="G65" s="27"/>
      <c r="H65" s="27"/>
      <c r="I65" s="65"/>
      <c r="J65" s="27"/>
      <c r="K65" s="27"/>
      <c r="L65" s="65"/>
      <c r="M65" s="65"/>
      <c r="N65" s="65"/>
      <c r="O65" s="65"/>
      <c r="P65" s="27"/>
      <c r="Q65" s="27"/>
      <c r="R65" s="65"/>
      <c r="S65" s="27"/>
      <c r="T65" s="27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5"/>
      <c r="AG65" s="65"/>
      <c r="AH65" s="65"/>
      <c r="AI65" s="65"/>
      <c r="AJ65" s="65"/>
      <c r="AK65" s="65"/>
      <c r="AL65" s="65"/>
      <c r="AM65" s="65"/>
      <c r="AN65" s="65"/>
      <c r="AO65" s="65"/>
      <c r="AP65" s="65"/>
      <c r="AQ65" s="65"/>
      <c r="AR65" s="65"/>
      <c r="AS65" s="27"/>
      <c r="AT65" s="27"/>
      <c r="AU65" s="65"/>
      <c r="AV65" s="27"/>
      <c r="AW65" s="106"/>
    </row>
    <row r="66" spans="3:49" ht="18.75">
      <c r="C66" s="91"/>
      <c r="D66" s="27"/>
      <c r="E66" s="27"/>
      <c r="F66" s="65"/>
      <c r="G66" s="27"/>
      <c r="H66" s="27"/>
      <c r="I66" s="65"/>
      <c r="J66" s="27"/>
      <c r="K66" s="27"/>
      <c r="L66" s="65"/>
      <c r="M66" s="65"/>
      <c r="N66" s="65"/>
      <c r="O66" s="65"/>
      <c r="P66" s="27"/>
      <c r="Q66" s="27"/>
      <c r="R66" s="65"/>
      <c r="S66" s="27"/>
      <c r="T66" s="27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5"/>
      <c r="AH66" s="65"/>
      <c r="AI66" s="65"/>
      <c r="AJ66" s="65"/>
      <c r="AK66" s="65"/>
      <c r="AL66" s="65"/>
      <c r="AM66" s="65"/>
      <c r="AN66" s="65"/>
      <c r="AO66" s="65"/>
      <c r="AP66" s="65"/>
      <c r="AQ66" s="65"/>
      <c r="AR66" s="65"/>
      <c r="AS66" s="27"/>
      <c r="AT66" s="27"/>
      <c r="AU66" s="65"/>
      <c r="AV66" s="27"/>
      <c r="AW66" s="106"/>
    </row>
    <row r="67" spans="3:49" ht="18.75">
      <c r="C67" s="91"/>
      <c r="D67" s="27"/>
      <c r="E67" s="27"/>
      <c r="F67" s="65"/>
      <c r="G67" s="27"/>
      <c r="H67" s="27"/>
      <c r="I67" s="65"/>
      <c r="J67" s="27"/>
      <c r="K67" s="27"/>
      <c r="L67" s="65"/>
      <c r="M67" s="65"/>
      <c r="N67" s="65"/>
      <c r="O67" s="65"/>
      <c r="P67" s="27"/>
      <c r="Q67" s="27"/>
      <c r="R67" s="65"/>
      <c r="S67" s="27"/>
      <c r="T67" s="27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5"/>
      <c r="AF67" s="65"/>
      <c r="AG67" s="65"/>
      <c r="AH67" s="65"/>
      <c r="AI67" s="65"/>
      <c r="AJ67" s="65"/>
      <c r="AK67" s="65"/>
      <c r="AL67" s="65"/>
      <c r="AM67" s="65"/>
      <c r="AN67" s="65"/>
      <c r="AO67" s="65"/>
      <c r="AP67" s="65"/>
      <c r="AQ67" s="65"/>
      <c r="AR67" s="65"/>
      <c r="AS67" s="27"/>
      <c r="AT67" s="27"/>
      <c r="AU67" s="65"/>
      <c r="AV67" s="27"/>
      <c r="AW67" s="106"/>
    </row>
    <row r="68" spans="3:49" ht="18.75">
      <c r="C68" s="91"/>
      <c r="D68" s="27"/>
      <c r="E68" s="27"/>
      <c r="F68" s="65"/>
      <c r="G68" s="27"/>
      <c r="H68" s="27"/>
      <c r="I68" s="65"/>
      <c r="J68" s="27"/>
      <c r="K68" s="27"/>
      <c r="L68" s="65"/>
      <c r="M68" s="65"/>
      <c r="N68" s="65"/>
      <c r="O68" s="65"/>
      <c r="P68" s="27"/>
      <c r="Q68" s="27"/>
      <c r="R68" s="65"/>
      <c r="S68" s="27"/>
      <c r="T68" s="27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  <c r="AG68" s="65"/>
      <c r="AH68" s="65"/>
      <c r="AI68" s="65"/>
      <c r="AJ68" s="65"/>
      <c r="AK68" s="65"/>
      <c r="AL68" s="65"/>
      <c r="AM68" s="65"/>
      <c r="AN68" s="65"/>
      <c r="AO68" s="65"/>
      <c r="AP68" s="65"/>
      <c r="AQ68" s="65"/>
      <c r="AR68" s="65"/>
      <c r="AS68" s="27"/>
      <c r="AT68" s="27"/>
      <c r="AU68" s="65"/>
      <c r="AV68" s="27"/>
      <c r="AW68" s="106"/>
    </row>
    <row r="69" spans="3:49" ht="18.75">
      <c r="C69" s="91"/>
      <c r="D69" s="27"/>
      <c r="E69" s="27"/>
      <c r="F69" s="65"/>
      <c r="G69" s="27"/>
      <c r="H69" s="27"/>
      <c r="I69" s="65"/>
      <c r="J69" s="27"/>
      <c r="K69" s="27"/>
      <c r="L69" s="65"/>
      <c r="M69" s="65"/>
      <c r="N69" s="65"/>
      <c r="O69" s="65"/>
      <c r="P69" s="27"/>
      <c r="Q69" s="27"/>
      <c r="R69" s="65"/>
      <c r="S69" s="27"/>
      <c r="T69" s="27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  <c r="AG69" s="65"/>
      <c r="AH69" s="65"/>
      <c r="AI69" s="65"/>
      <c r="AJ69" s="65"/>
      <c r="AK69" s="65"/>
      <c r="AL69" s="65"/>
      <c r="AM69" s="65"/>
      <c r="AN69" s="65"/>
      <c r="AO69" s="65"/>
      <c r="AP69" s="65"/>
      <c r="AQ69" s="65"/>
      <c r="AR69" s="65"/>
      <c r="AS69" s="27"/>
      <c r="AT69" s="27"/>
      <c r="AU69" s="65"/>
      <c r="AV69" s="27"/>
      <c r="AW69" s="106"/>
    </row>
    <row r="70" spans="3:49" ht="18.75">
      <c r="C70" s="91"/>
      <c r="D70" s="27"/>
      <c r="E70" s="27"/>
      <c r="F70" s="65"/>
      <c r="G70" s="27"/>
      <c r="H70" s="27"/>
      <c r="I70" s="65"/>
      <c r="J70" s="27"/>
      <c r="K70" s="27"/>
      <c r="L70" s="65"/>
      <c r="M70" s="65"/>
      <c r="N70" s="65"/>
      <c r="O70" s="65"/>
      <c r="P70" s="27"/>
      <c r="Q70" s="27"/>
      <c r="R70" s="65"/>
      <c r="S70" s="27"/>
      <c r="T70" s="27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  <c r="AG70" s="65"/>
      <c r="AH70" s="65"/>
      <c r="AI70" s="65"/>
      <c r="AJ70" s="65"/>
      <c r="AK70" s="65"/>
      <c r="AL70" s="65"/>
      <c r="AM70" s="65"/>
      <c r="AN70" s="65"/>
      <c r="AO70" s="65"/>
      <c r="AP70" s="65"/>
      <c r="AQ70" s="65"/>
      <c r="AR70" s="65"/>
      <c r="AS70" s="27"/>
      <c r="AT70" s="27"/>
      <c r="AU70" s="65"/>
      <c r="AV70" s="27"/>
      <c r="AW70" s="106"/>
    </row>
    <row r="71" spans="3:49" ht="18.75">
      <c r="C71" s="91"/>
      <c r="D71" s="27"/>
      <c r="E71" s="27"/>
      <c r="F71" s="65"/>
      <c r="G71" s="27"/>
      <c r="H71" s="27"/>
      <c r="I71" s="65"/>
      <c r="J71" s="27"/>
      <c r="K71" s="27"/>
      <c r="L71" s="65"/>
      <c r="M71" s="65"/>
      <c r="N71" s="65"/>
      <c r="O71" s="65"/>
      <c r="P71" s="27"/>
      <c r="Q71" s="27"/>
      <c r="R71" s="65"/>
      <c r="S71" s="27"/>
      <c r="T71" s="27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65"/>
      <c r="AH71" s="65"/>
      <c r="AI71" s="65"/>
      <c r="AJ71" s="65"/>
      <c r="AK71" s="65"/>
      <c r="AL71" s="65"/>
      <c r="AM71" s="65"/>
      <c r="AN71" s="65"/>
      <c r="AO71" s="65"/>
      <c r="AP71" s="65"/>
      <c r="AQ71" s="65"/>
      <c r="AR71" s="65"/>
      <c r="AS71" s="27"/>
      <c r="AT71" s="27"/>
      <c r="AU71" s="65"/>
      <c r="AV71" s="27"/>
      <c r="AW71" s="106"/>
    </row>
    <row r="72" spans="3:49" ht="18.75">
      <c r="C72" s="91"/>
      <c r="D72" s="27"/>
      <c r="E72" s="27"/>
      <c r="F72" s="65"/>
      <c r="G72" s="27"/>
      <c r="H72" s="27"/>
      <c r="I72" s="65"/>
      <c r="J72" s="27"/>
      <c r="K72" s="27"/>
      <c r="L72" s="65"/>
      <c r="M72" s="65"/>
      <c r="N72" s="65"/>
      <c r="O72" s="65"/>
      <c r="P72" s="27"/>
      <c r="Q72" s="27"/>
      <c r="R72" s="65"/>
      <c r="S72" s="27"/>
      <c r="T72" s="27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  <c r="AG72" s="65"/>
      <c r="AH72" s="65"/>
      <c r="AI72" s="65"/>
      <c r="AJ72" s="65"/>
      <c r="AK72" s="65"/>
      <c r="AL72" s="65"/>
      <c r="AM72" s="65"/>
      <c r="AN72" s="65"/>
      <c r="AO72" s="65"/>
      <c r="AP72" s="65"/>
      <c r="AQ72" s="65"/>
      <c r="AR72" s="65"/>
      <c r="AS72" s="27"/>
      <c r="AT72" s="27"/>
      <c r="AU72" s="65"/>
      <c r="AV72" s="27"/>
      <c r="AW72" s="106"/>
    </row>
    <row r="73" spans="3:49" ht="18.75">
      <c r="C73" s="91"/>
      <c r="D73" s="27"/>
      <c r="E73" s="27"/>
      <c r="F73" s="65"/>
      <c r="G73" s="27"/>
      <c r="H73" s="27"/>
      <c r="I73" s="65"/>
      <c r="J73" s="27"/>
      <c r="K73" s="27"/>
      <c r="L73" s="65"/>
      <c r="M73" s="65"/>
      <c r="N73" s="65"/>
      <c r="O73" s="65"/>
      <c r="P73" s="27"/>
      <c r="Q73" s="27"/>
      <c r="R73" s="65"/>
      <c r="S73" s="27"/>
      <c r="T73" s="27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5"/>
      <c r="AG73" s="65"/>
      <c r="AH73" s="65"/>
      <c r="AI73" s="65"/>
      <c r="AJ73" s="65"/>
      <c r="AK73" s="65"/>
      <c r="AL73" s="65"/>
      <c r="AM73" s="65"/>
      <c r="AN73" s="65"/>
      <c r="AO73" s="65"/>
      <c r="AP73" s="65"/>
      <c r="AQ73" s="65"/>
      <c r="AR73" s="65"/>
      <c r="AS73" s="27"/>
      <c r="AT73" s="27"/>
      <c r="AU73" s="65"/>
      <c r="AV73" s="27"/>
      <c r="AW73" s="106"/>
    </row>
    <row r="74" spans="3:49" ht="18.75">
      <c r="C74" s="91"/>
      <c r="D74" s="27"/>
      <c r="E74" s="27"/>
      <c r="F74" s="65"/>
      <c r="G74" s="27"/>
      <c r="H74" s="27"/>
      <c r="I74" s="65"/>
      <c r="J74" s="27"/>
      <c r="K74" s="27"/>
      <c r="L74" s="65"/>
      <c r="M74" s="65"/>
      <c r="N74" s="65"/>
      <c r="O74" s="65"/>
      <c r="P74" s="27"/>
      <c r="Q74" s="27"/>
      <c r="R74" s="65"/>
      <c r="S74" s="27"/>
      <c r="T74" s="27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5"/>
      <c r="AH74" s="65"/>
      <c r="AI74" s="65"/>
      <c r="AJ74" s="65"/>
      <c r="AK74" s="65"/>
      <c r="AL74" s="65"/>
      <c r="AM74" s="65"/>
      <c r="AN74" s="65"/>
      <c r="AO74" s="65"/>
      <c r="AP74" s="65"/>
      <c r="AQ74" s="65"/>
      <c r="AR74" s="65"/>
      <c r="AS74" s="27"/>
      <c r="AT74" s="27"/>
      <c r="AU74" s="65"/>
      <c r="AV74" s="27"/>
      <c r="AW74" s="106"/>
    </row>
    <row r="75" spans="3:49" ht="18.75">
      <c r="C75" s="91"/>
      <c r="D75" s="27"/>
      <c r="E75" s="27"/>
      <c r="F75" s="65"/>
      <c r="G75" s="27"/>
      <c r="H75" s="27"/>
      <c r="I75" s="65"/>
      <c r="J75" s="27"/>
      <c r="K75" s="27"/>
      <c r="L75" s="65"/>
      <c r="M75" s="65"/>
      <c r="N75" s="65"/>
      <c r="O75" s="65"/>
      <c r="P75" s="27"/>
      <c r="Q75" s="27"/>
      <c r="R75" s="65"/>
      <c r="S75" s="27"/>
      <c r="T75" s="27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  <c r="AM75" s="65"/>
      <c r="AN75" s="65"/>
      <c r="AO75" s="65"/>
      <c r="AP75" s="65"/>
      <c r="AQ75" s="65"/>
      <c r="AR75" s="65"/>
      <c r="AS75" s="27"/>
      <c r="AT75" s="27"/>
      <c r="AU75" s="65"/>
      <c r="AV75" s="27"/>
      <c r="AW75" s="106"/>
    </row>
    <row r="76" spans="3:49" ht="18.75">
      <c r="C76" s="91"/>
      <c r="D76" s="27"/>
      <c r="E76" s="27"/>
      <c r="F76" s="65"/>
      <c r="G76" s="27"/>
      <c r="H76" s="27"/>
      <c r="I76" s="65"/>
      <c r="J76" s="27"/>
      <c r="K76" s="27"/>
      <c r="L76" s="65"/>
      <c r="M76" s="65"/>
      <c r="N76" s="65"/>
      <c r="O76" s="65"/>
      <c r="P76" s="27"/>
      <c r="Q76" s="27"/>
      <c r="R76" s="65"/>
      <c r="S76" s="27"/>
      <c r="T76" s="27"/>
      <c r="U76" s="65"/>
      <c r="V76" s="65"/>
      <c r="W76" s="65"/>
      <c r="X76" s="65"/>
      <c r="Y76" s="65"/>
      <c r="Z76" s="65"/>
      <c r="AA76" s="65"/>
      <c r="AB76" s="65"/>
      <c r="AC76" s="65"/>
      <c r="AD76" s="65"/>
      <c r="AE76" s="65"/>
      <c r="AF76" s="65"/>
      <c r="AG76" s="65"/>
      <c r="AH76" s="65"/>
      <c r="AI76" s="65"/>
      <c r="AJ76" s="65"/>
      <c r="AK76" s="65"/>
      <c r="AL76" s="65"/>
      <c r="AM76" s="65"/>
      <c r="AN76" s="65"/>
      <c r="AO76" s="65"/>
      <c r="AP76" s="65"/>
      <c r="AQ76" s="65"/>
      <c r="AR76" s="65"/>
      <c r="AS76" s="27"/>
      <c r="AT76" s="27"/>
      <c r="AU76" s="65"/>
      <c r="AV76" s="27"/>
      <c r="AW76" s="106"/>
    </row>
    <row r="77" spans="3:49" ht="18.75">
      <c r="C77" s="91"/>
      <c r="D77" s="27"/>
      <c r="E77" s="27"/>
      <c r="F77" s="65"/>
      <c r="G77" s="27"/>
      <c r="H77" s="27"/>
      <c r="I77" s="65"/>
      <c r="J77" s="27"/>
      <c r="K77" s="27"/>
      <c r="L77" s="65"/>
      <c r="M77" s="65"/>
      <c r="N77" s="65"/>
      <c r="O77" s="65"/>
      <c r="P77" s="27"/>
      <c r="Q77" s="27"/>
      <c r="R77" s="65"/>
      <c r="S77" s="27"/>
      <c r="T77" s="27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5"/>
      <c r="AR77" s="65"/>
      <c r="AS77" s="27"/>
      <c r="AT77" s="27"/>
      <c r="AU77" s="65"/>
      <c r="AV77" s="27"/>
      <c r="AW77" s="106"/>
    </row>
    <row r="78" spans="3:49" ht="18.75">
      <c r="C78" s="91"/>
      <c r="D78" s="27"/>
      <c r="E78" s="27"/>
      <c r="F78" s="65"/>
      <c r="G78" s="27"/>
      <c r="H78" s="27"/>
      <c r="I78" s="65"/>
      <c r="J78" s="27"/>
      <c r="K78" s="27"/>
      <c r="L78" s="65"/>
      <c r="M78" s="65"/>
      <c r="N78" s="65"/>
      <c r="O78" s="65"/>
      <c r="P78" s="27"/>
      <c r="Q78" s="27"/>
      <c r="R78" s="65"/>
      <c r="S78" s="27"/>
      <c r="T78" s="27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5"/>
      <c r="AG78" s="65"/>
      <c r="AH78" s="65"/>
      <c r="AI78" s="65"/>
      <c r="AJ78" s="65"/>
      <c r="AK78" s="65"/>
      <c r="AL78" s="65"/>
      <c r="AM78" s="65"/>
      <c r="AN78" s="65"/>
      <c r="AO78" s="65"/>
      <c r="AP78" s="65"/>
      <c r="AQ78" s="65"/>
      <c r="AR78" s="65"/>
      <c r="AS78" s="27"/>
      <c r="AT78" s="27"/>
      <c r="AU78" s="65"/>
      <c r="AV78" s="27"/>
      <c r="AW78" s="106"/>
    </row>
    <row r="79" spans="3:49" ht="18.75">
      <c r="C79" s="91"/>
      <c r="D79" s="27"/>
      <c r="E79" s="27"/>
      <c r="F79" s="65"/>
      <c r="G79" s="27"/>
      <c r="H79" s="27"/>
      <c r="I79" s="65"/>
      <c r="J79" s="27"/>
      <c r="K79" s="27"/>
      <c r="L79" s="65"/>
      <c r="M79" s="65"/>
      <c r="N79" s="65"/>
      <c r="O79" s="65"/>
      <c r="P79" s="27"/>
      <c r="Q79" s="27"/>
      <c r="R79" s="65"/>
      <c r="S79" s="27"/>
      <c r="T79" s="27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65"/>
      <c r="AG79" s="65"/>
      <c r="AH79" s="65"/>
      <c r="AI79" s="65"/>
      <c r="AJ79" s="65"/>
      <c r="AK79" s="65"/>
      <c r="AL79" s="65"/>
      <c r="AM79" s="65"/>
      <c r="AN79" s="65"/>
      <c r="AO79" s="65"/>
      <c r="AP79" s="65"/>
      <c r="AQ79" s="65"/>
      <c r="AR79" s="65"/>
      <c r="AS79" s="27"/>
      <c r="AT79" s="27"/>
      <c r="AU79" s="65"/>
      <c r="AV79" s="27"/>
      <c r="AW79" s="106"/>
    </row>
    <row r="80" spans="3:49" ht="18.75">
      <c r="C80" s="91"/>
      <c r="D80" s="27"/>
      <c r="E80" s="27"/>
      <c r="F80" s="65"/>
      <c r="G80" s="27"/>
      <c r="H80" s="27"/>
      <c r="I80" s="65"/>
      <c r="J80" s="27"/>
      <c r="K80" s="27"/>
      <c r="L80" s="65"/>
      <c r="M80" s="65"/>
      <c r="N80" s="65"/>
      <c r="O80" s="65"/>
      <c r="P80" s="27"/>
      <c r="Q80" s="27"/>
      <c r="R80" s="65"/>
      <c r="S80" s="27"/>
      <c r="T80" s="27"/>
      <c r="U80" s="65"/>
      <c r="V80" s="65"/>
      <c r="W80" s="65"/>
      <c r="X80" s="65"/>
      <c r="Y80" s="65"/>
      <c r="Z80" s="65"/>
      <c r="AA80" s="65"/>
      <c r="AB80" s="65"/>
      <c r="AC80" s="65"/>
      <c r="AD80" s="65"/>
      <c r="AE80" s="65"/>
      <c r="AF80" s="65"/>
      <c r="AG80" s="65"/>
      <c r="AH80" s="65"/>
      <c r="AI80" s="65"/>
      <c r="AJ80" s="65"/>
      <c r="AK80" s="65"/>
      <c r="AL80" s="65"/>
      <c r="AM80" s="65"/>
      <c r="AN80" s="65"/>
      <c r="AO80" s="65"/>
      <c r="AP80" s="65"/>
      <c r="AQ80" s="65"/>
      <c r="AR80" s="65"/>
      <c r="AS80" s="27"/>
      <c r="AT80" s="27"/>
      <c r="AU80" s="65"/>
      <c r="AV80" s="27"/>
      <c r="AW80" s="106"/>
    </row>
    <row r="81" spans="3:49" ht="18.75">
      <c r="C81" s="91"/>
      <c r="D81" s="27"/>
      <c r="E81" s="27"/>
      <c r="F81" s="65"/>
      <c r="G81" s="27"/>
      <c r="H81" s="27"/>
      <c r="I81" s="65"/>
      <c r="J81" s="27"/>
      <c r="K81" s="27"/>
      <c r="L81" s="65"/>
      <c r="M81" s="65"/>
      <c r="N81" s="65"/>
      <c r="O81" s="65"/>
      <c r="P81" s="27"/>
      <c r="Q81" s="27"/>
      <c r="R81" s="65"/>
      <c r="S81" s="27"/>
      <c r="T81" s="27"/>
      <c r="U81" s="65"/>
      <c r="V81" s="65"/>
      <c r="W81" s="65"/>
      <c r="X81" s="65"/>
      <c r="Y81" s="65"/>
      <c r="Z81" s="65"/>
      <c r="AA81" s="65"/>
      <c r="AB81" s="65"/>
      <c r="AC81" s="65"/>
      <c r="AD81" s="65"/>
      <c r="AE81" s="65"/>
      <c r="AF81" s="65"/>
      <c r="AG81" s="65"/>
      <c r="AH81" s="65"/>
      <c r="AI81" s="65"/>
      <c r="AJ81" s="65"/>
      <c r="AK81" s="65"/>
      <c r="AL81" s="65"/>
      <c r="AM81" s="65"/>
      <c r="AN81" s="65"/>
      <c r="AO81" s="65"/>
      <c r="AP81" s="65"/>
      <c r="AQ81" s="65"/>
      <c r="AR81" s="65"/>
      <c r="AS81" s="27"/>
      <c r="AT81" s="27"/>
      <c r="AU81" s="65"/>
      <c r="AV81" s="27"/>
      <c r="AW81" s="106"/>
    </row>
    <row r="82" spans="3:49" ht="18.75">
      <c r="C82" s="91"/>
      <c r="D82" s="27"/>
      <c r="E82" s="27"/>
      <c r="F82" s="65"/>
      <c r="G82" s="27"/>
      <c r="H82" s="27"/>
      <c r="I82" s="65"/>
      <c r="J82" s="27"/>
      <c r="K82" s="27"/>
      <c r="L82" s="65"/>
      <c r="M82" s="65"/>
      <c r="N82" s="65"/>
      <c r="O82" s="65"/>
      <c r="P82" s="27"/>
      <c r="Q82" s="27"/>
      <c r="R82" s="65"/>
      <c r="S82" s="27"/>
      <c r="T82" s="27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5"/>
      <c r="AI82" s="65"/>
      <c r="AJ82" s="65"/>
      <c r="AK82" s="65"/>
      <c r="AL82" s="65"/>
      <c r="AM82" s="65"/>
      <c r="AN82" s="65"/>
      <c r="AO82" s="65"/>
      <c r="AP82" s="65"/>
      <c r="AQ82" s="65"/>
      <c r="AR82" s="65"/>
      <c r="AS82" s="27"/>
      <c r="AT82" s="27"/>
      <c r="AU82" s="65"/>
      <c r="AV82" s="27"/>
      <c r="AW82" s="106"/>
    </row>
    <row r="83" spans="3:49" ht="18.75">
      <c r="C83" s="91"/>
      <c r="D83" s="27"/>
      <c r="E83" s="27"/>
      <c r="F83" s="65"/>
      <c r="G83" s="27"/>
      <c r="H83" s="27"/>
      <c r="I83" s="65"/>
      <c r="J83" s="27"/>
      <c r="K83" s="27"/>
      <c r="L83" s="65"/>
      <c r="M83" s="65"/>
      <c r="N83" s="65"/>
      <c r="O83" s="65"/>
      <c r="P83" s="27"/>
      <c r="Q83" s="27"/>
      <c r="R83" s="65"/>
      <c r="S83" s="27"/>
      <c r="T83" s="27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5"/>
      <c r="AL83" s="65"/>
      <c r="AM83" s="65"/>
      <c r="AN83" s="65"/>
      <c r="AO83" s="65"/>
      <c r="AP83" s="65"/>
      <c r="AQ83" s="65"/>
      <c r="AR83" s="65"/>
      <c r="AS83" s="27"/>
      <c r="AT83" s="27"/>
      <c r="AU83" s="65"/>
      <c r="AV83" s="27"/>
      <c r="AW83" s="106"/>
    </row>
    <row r="84" spans="3:49" ht="18.75">
      <c r="C84" s="91"/>
      <c r="D84" s="27"/>
      <c r="E84" s="27"/>
      <c r="F84" s="65"/>
      <c r="G84" s="27"/>
      <c r="H84" s="27"/>
      <c r="I84" s="65"/>
      <c r="J84" s="27"/>
      <c r="K84" s="27"/>
      <c r="L84" s="65"/>
      <c r="M84" s="65"/>
      <c r="N84" s="65"/>
      <c r="O84" s="65"/>
      <c r="P84" s="27"/>
      <c r="Q84" s="27"/>
      <c r="R84" s="65"/>
      <c r="S84" s="27"/>
      <c r="T84" s="27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  <c r="AM84" s="65"/>
      <c r="AN84" s="65"/>
      <c r="AO84" s="65"/>
      <c r="AP84" s="65"/>
      <c r="AQ84" s="65"/>
      <c r="AR84" s="65"/>
      <c r="AS84" s="27"/>
      <c r="AT84" s="27"/>
      <c r="AU84" s="65"/>
      <c r="AV84" s="27"/>
      <c r="AW84" s="106"/>
    </row>
    <row r="85" spans="3:49" ht="18.75">
      <c r="C85" s="91"/>
      <c r="D85" s="27"/>
      <c r="E85" s="27"/>
      <c r="F85" s="65"/>
      <c r="G85" s="27"/>
      <c r="H85" s="27"/>
      <c r="I85" s="65"/>
      <c r="J85" s="27"/>
      <c r="K85" s="27"/>
      <c r="L85" s="65"/>
      <c r="M85" s="65"/>
      <c r="N85" s="65"/>
      <c r="O85" s="65"/>
      <c r="P85" s="27"/>
      <c r="Q85" s="27"/>
      <c r="R85" s="65"/>
      <c r="S85" s="27"/>
      <c r="T85" s="27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5"/>
      <c r="AL85" s="65"/>
      <c r="AM85" s="65"/>
      <c r="AN85" s="65"/>
      <c r="AO85" s="65"/>
      <c r="AP85" s="65"/>
      <c r="AQ85" s="65"/>
      <c r="AR85" s="65"/>
      <c r="AS85" s="27"/>
      <c r="AT85" s="27"/>
      <c r="AU85" s="65"/>
      <c r="AV85" s="27"/>
      <c r="AW85" s="106"/>
    </row>
    <row r="86" spans="3:49" ht="18.75">
      <c r="C86" s="91"/>
      <c r="D86" s="27"/>
      <c r="E86" s="27"/>
      <c r="F86" s="65"/>
      <c r="G86" s="27"/>
      <c r="H86" s="27"/>
      <c r="I86" s="65"/>
      <c r="J86" s="27"/>
      <c r="K86" s="27"/>
      <c r="L86" s="65"/>
      <c r="M86" s="65"/>
      <c r="N86" s="65"/>
      <c r="O86" s="65"/>
      <c r="P86" s="27"/>
      <c r="Q86" s="27"/>
      <c r="R86" s="65"/>
      <c r="S86" s="27"/>
      <c r="T86" s="27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5"/>
      <c r="AL86" s="65"/>
      <c r="AM86" s="65"/>
      <c r="AN86" s="65"/>
      <c r="AO86" s="65"/>
      <c r="AP86" s="65"/>
      <c r="AQ86" s="65"/>
      <c r="AR86" s="65"/>
      <c r="AS86" s="27"/>
      <c r="AT86" s="27"/>
      <c r="AU86" s="65"/>
      <c r="AV86" s="27"/>
      <c r="AW86" s="106"/>
    </row>
    <row r="87" spans="3:49" ht="18.75">
      <c r="C87" s="91"/>
      <c r="D87" s="27"/>
      <c r="E87" s="27"/>
      <c r="F87" s="65"/>
      <c r="G87" s="27"/>
      <c r="H87" s="27"/>
      <c r="I87" s="65"/>
      <c r="J87" s="27"/>
      <c r="K87" s="27"/>
      <c r="L87" s="65"/>
      <c r="M87" s="65"/>
      <c r="N87" s="65"/>
      <c r="O87" s="65"/>
      <c r="P87" s="27"/>
      <c r="Q87" s="27"/>
      <c r="R87" s="65"/>
      <c r="S87" s="27"/>
      <c r="T87" s="27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  <c r="AG87" s="65"/>
      <c r="AH87" s="65"/>
      <c r="AI87" s="65"/>
      <c r="AJ87" s="65"/>
      <c r="AK87" s="65"/>
      <c r="AL87" s="65"/>
      <c r="AM87" s="65"/>
      <c r="AN87" s="65"/>
      <c r="AO87" s="65"/>
      <c r="AP87" s="65"/>
      <c r="AQ87" s="65"/>
      <c r="AR87" s="65"/>
      <c r="AS87" s="27"/>
      <c r="AT87" s="27"/>
      <c r="AU87" s="65"/>
      <c r="AV87" s="27"/>
      <c r="AW87" s="106"/>
    </row>
    <row r="88" spans="3:49" ht="18.75">
      <c r="C88" s="91"/>
      <c r="D88" s="27"/>
      <c r="E88" s="27"/>
      <c r="F88" s="65"/>
      <c r="G88" s="27"/>
      <c r="H88" s="27"/>
      <c r="I88" s="65"/>
      <c r="J88" s="27"/>
      <c r="K88" s="27"/>
      <c r="L88" s="65"/>
      <c r="M88" s="65"/>
      <c r="N88" s="65"/>
      <c r="O88" s="65"/>
      <c r="P88" s="27"/>
      <c r="Q88" s="27"/>
      <c r="R88" s="65"/>
      <c r="S88" s="27"/>
      <c r="T88" s="27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65"/>
      <c r="AF88" s="65"/>
      <c r="AG88" s="65"/>
      <c r="AH88" s="65"/>
      <c r="AI88" s="65"/>
      <c r="AJ88" s="65"/>
      <c r="AK88" s="65"/>
      <c r="AL88" s="65"/>
      <c r="AM88" s="65"/>
      <c r="AN88" s="65"/>
      <c r="AO88" s="65"/>
      <c r="AP88" s="65"/>
      <c r="AQ88" s="65"/>
      <c r="AR88" s="65"/>
      <c r="AS88" s="27"/>
      <c r="AT88" s="27"/>
      <c r="AU88" s="65"/>
      <c r="AV88" s="27"/>
      <c r="AW88" s="106"/>
    </row>
    <row r="89" spans="3:49" ht="18.75">
      <c r="C89" s="91"/>
      <c r="D89" s="27"/>
      <c r="E89" s="27"/>
      <c r="F89" s="65"/>
      <c r="G89" s="27"/>
      <c r="H89" s="27"/>
      <c r="I89" s="65"/>
      <c r="J89" s="27"/>
      <c r="K89" s="27"/>
      <c r="L89" s="65"/>
      <c r="M89" s="65"/>
      <c r="N89" s="65"/>
      <c r="O89" s="65"/>
      <c r="P89" s="27"/>
      <c r="Q89" s="27"/>
      <c r="R89" s="65"/>
      <c r="S89" s="27"/>
      <c r="T89" s="27"/>
      <c r="U89" s="65"/>
      <c r="V89" s="65"/>
      <c r="W89" s="65"/>
      <c r="X89" s="65"/>
      <c r="Y89" s="65"/>
      <c r="Z89" s="65"/>
      <c r="AA89" s="65"/>
      <c r="AB89" s="65"/>
      <c r="AC89" s="65"/>
      <c r="AD89" s="65"/>
      <c r="AE89" s="65"/>
      <c r="AF89" s="65"/>
      <c r="AG89" s="65"/>
      <c r="AH89" s="65"/>
      <c r="AI89" s="65"/>
      <c r="AJ89" s="65"/>
      <c r="AK89" s="65"/>
      <c r="AL89" s="65"/>
      <c r="AM89" s="65"/>
      <c r="AN89" s="65"/>
      <c r="AO89" s="65"/>
      <c r="AP89" s="65"/>
      <c r="AQ89" s="65"/>
      <c r="AR89" s="65"/>
      <c r="AS89" s="27"/>
      <c r="AT89" s="27"/>
      <c r="AU89" s="65"/>
      <c r="AV89" s="27"/>
      <c r="AW89" s="106"/>
    </row>
    <row r="90" spans="3:49" ht="18.75">
      <c r="C90" s="91"/>
      <c r="D90" s="27"/>
      <c r="E90" s="27"/>
      <c r="F90" s="65"/>
      <c r="G90" s="27"/>
      <c r="H90" s="27"/>
      <c r="I90" s="65"/>
      <c r="J90" s="27"/>
      <c r="K90" s="27"/>
      <c r="L90" s="65"/>
      <c r="M90" s="65"/>
      <c r="N90" s="65"/>
      <c r="O90" s="65"/>
      <c r="P90" s="27"/>
      <c r="Q90" s="27"/>
      <c r="R90" s="65"/>
      <c r="S90" s="27"/>
      <c r="T90" s="27"/>
      <c r="U90" s="65"/>
      <c r="V90" s="65"/>
      <c r="W90" s="65"/>
      <c r="X90" s="65"/>
      <c r="Y90" s="65"/>
      <c r="Z90" s="65"/>
      <c r="AA90" s="65"/>
      <c r="AB90" s="65"/>
      <c r="AC90" s="65"/>
      <c r="AD90" s="65"/>
      <c r="AE90" s="65"/>
      <c r="AF90" s="65"/>
      <c r="AG90" s="65"/>
      <c r="AH90" s="65"/>
      <c r="AI90" s="65"/>
      <c r="AJ90" s="65"/>
      <c r="AK90" s="65"/>
      <c r="AL90" s="65"/>
      <c r="AM90" s="65"/>
      <c r="AN90" s="65"/>
      <c r="AO90" s="65"/>
      <c r="AP90" s="65"/>
      <c r="AQ90" s="65"/>
      <c r="AR90" s="65"/>
      <c r="AS90" s="27"/>
      <c r="AT90" s="27"/>
      <c r="AU90" s="65"/>
      <c r="AV90" s="27"/>
      <c r="AW90" s="106"/>
    </row>
    <row r="91" spans="3:49" ht="18.75">
      <c r="C91" s="91"/>
      <c r="D91" s="27"/>
      <c r="E91" s="27"/>
      <c r="F91" s="65"/>
      <c r="G91" s="27"/>
      <c r="H91" s="27"/>
      <c r="I91" s="65"/>
      <c r="J91" s="27"/>
      <c r="K91" s="27"/>
      <c r="L91" s="65"/>
      <c r="M91" s="65"/>
      <c r="N91" s="65"/>
      <c r="O91" s="65"/>
      <c r="P91" s="27"/>
      <c r="Q91" s="27"/>
      <c r="R91" s="65"/>
      <c r="S91" s="27"/>
      <c r="T91" s="27"/>
      <c r="U91" s="65"/>
      <c r="V91" s="65"/>
      <c r="W91" s="65"/>
      <c r="X91" s="65"/>
      <c r="Y91" s="65"/>
      <c r="Z91" s="65"/>
      <c r="AA91" s="65"/>
      <c r="AB91" s="65"/>
      <c r="AC91" s="65"/>
      <c r="AD91" s="65"/>
      <c r="AE91" s="65"/>
      <c r="AF91" s="65"/>
      <c r="AG91" s="65"/>
      <c r="AH91" s="65"/>
      <c r="AI91" s="65"/>
      <c r="AJ91" s="65"/>
      <c r="AK91" s="65"/>
      <c r="AL91" s="65"/>
      <c r="AM91" s="65"/>
      <c r="AN91" s="65"/>
      <c r="AO91" s="65"/>
      <c r="AP91" s="65"/>
      <c r="AQ91" s="65"/>
      <c r="AR91" s="65"/>
      <c r="AS91" s="27"/>
      <c r="AT91" s="27"/>
      <c r="AU91" s="65"/>
      <c r="AV91" s="27"/>
      <c r="AW91" s="106"/>
    </row>
    <row r="92" spans="3:49" ht="18.75">
      <c r="C92" s="91"/>
      <c r="D92" s="27"/>
      <c r="E92" s="27"/>
      <c r="F92" s="65"/>
      <c r="G92" s="27"/>
      <c r="H92" s="27"/>
      <c r="I92" s="65"/>
      <c r="J92" s="27"/>
      <c r="K92" s="27"/>
      <c r="L92" s="65"/>
      <c r="M92" s="65"/>
      <c r="N92" s="65"/>
      <c r="O92" s="65"/>
      <c r="P92" s="27"/>
      <c r="Q92" s="27"/>
      <c r="R92" s="65"/>
      <c r="S92" s="27"/>
      <c r="T92" s="27"/>
      <c r="U92" s="65"/>
      <c r="V92" s="65"/>
      <c r="W92" s="65"/>
      <c r="X92" s="65"/>
      <c r="Y92" s="65"/>
      <c r="Z92" s="65"/>
      <c r="AA92" s="65"/>
      <c r="AB92" s="65"/>
      <c r="AC92" s="65"/>
      <c r="AD92" s="65"/>
      <c r="AE92" s="65"/>
      <c r="AF92" s="65"/>
      <c r="AG92" s="65"/>
      <c r="AH92" s="65"/>
      <c r="AI92" s="65"/>
      <c r="AJ92" s="65"/>
      <c r="AK92" s="65"/>
      <c r="AL92" s="65"/>
      <c r="AM92" s="65"/>
      <c r="AN92" s="65"/>
      <c r="AO92" s="65"/>
      <c r="AP92" s="65"/>
      <c r="AQ92" s="65"/>
      <c r="AR92" s="65"/>
      <c r="AS92" s="27"/>
      <c r="AT92" s="27"/>
      <c r="AU92" s="65"/>
      <c r="AV92" s="27"/>
      <c r="AW92" s="106"/>
    </row>
    <row r="93" spans="3:49" ht="18.75">
      <c r="C93" s="91"/>
      <c r="D93" s="27"/>
      <c r="E93" s="27"/>
      <c r="F93" s="65"/>
      <c r="G93" s="27"/>
      <c r="H93" s="27"/>
      <c r="I93" s="65"/>
      <c r="J93" s="27"/>
      <c r="K93" s="27"/>
      <c r="L93" s="65"/>
      <c r="M93" s="65"/>
      <c r="N93" s="65"/>
      <c r="O93" s="65"/>
      <c r="P93" s="27"/>
      <c r="Q93" s="27"/>
      <c r="R93" s="65"/>
      <c r="S93" s="27"/>
      <c r="T93" s="27"/>
      <c r="U93" s="65"/>
      <c r="V93" s="65"/>
      <c r="W93" s="65"/>
      <c r="X93" s="65"/>
      <c r="Y93" s="65"/>
      <c r="Z93" s="65"/>
      <c r="AA93" s="65"/>
      <c r="AB93" s="65"/>
      <c r="AC93" s="65"/>
      <c r="AD93" s="65"/>
      <c r="AE93" s="65"/>
      <c r="AF93" s="65"/>
      <c r="AG93" s="65"/>
      <c r="AH93" s="65"/>
      <c r="AI93" s="65"/>
      <c r="AJ93" s="65"/>
      <c r="AK93" s="65"/>
      <c r="AL93" s="65"/>
      <c r="AM93" s="65"/>
      <c r="AN93" s="65"/>
      <c r="AO93" s="65"/>
      <c r="AP93" s="65"/>
      <c r="AQ93" s="65"/>
      <c r="AR93" s="65"/>
      <c r="AS93" s="27"/>
      <c r="AT93" s="27"/>
      <c r="AU93" s="65"/>
      <c r="AV93" s="27"/>
      <c r="AW93" s="106"/>
    </row>
    <row r="94" spans="3:49" ht="18.75">
      <c r="C94" s="91"/>
      <c r="D94" s="27"/>
      <c r="E94" s="27"/>
      <c r="F94" s="65"/>
      <c r="G94" s="27"/>
      <c r="H94" s="27"/>
      <c r="I94" s="65"/>
      <c r="J94" s="27"/>
      <c r="K94" s="27"/>
      <c r="L94" s="65"/>
      <c r="M94" s="65"/>
      <c r="N94" s="65"/>
      <c r="O94" s="65"/>
      <c r="P94" s="27"/>
      <c r="Q94" s="27"/>
      <c r="R94" s="65"/>
      <c r="S94" s="27"/>
      <c r="T94" s="27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/>
      <c r="AF94" s="65"/>
      <c r="AG94" s="65"/>
      <c r="AH94" s="65"/>
      <c r="AI94" s="65"/>
      <c r="AJ94" s="65"/>
      <c r="AK94" s="65"/>
      <c r="AL94" s="65"/>
      <c r="AM94" s="65"/>
      <c r="AN94" s="65"/>
      <c r="AO94" s="65"/>
      <c r="AP94" s="65"/>
      <c r="AQ94" s="65"/>
      <c r="AR94" s="65"/>
      <c r="AS94" s="27"/>
      <c r="AT94" s="27"/>
      <c r="AU94" s="65"/>
      <c r="AV94" s="27"/>
      <c r="AW94" s="106"/>
    </row>
    <row r="95" spans="3:49" ht="18.75">
      <c r="C95" s="91"/>
      <c r="D95" s="27"/>
      <c r="E95" s="27"/>
      <c r="F95" s="65"/>
      <c r="G95" s="27"/>
      <c r="H95" s="27"/>
      <c r="I95" s="65"/>
      <c r="J95" s="27"/>
      <c r="K95" s="27"/>
      <c r="L95" s="65"/>
      <c r="M95" s="65"/>
      <c r="N95" s="65"/>
      <c r="O95" s="65"/>
      <c r="P95" s="27"/>
      <c r="Q95" s="27"/>
      <c r="R95" s="65"/>
      <c r="S95" s="27"/>
      <c r="T95" s="27"/>
      <c r="U95" s="65"/>
      <c r="V95" s="65"/>
      <c r="W95" s="65"/>
      <c r="X95" s="65"/>
      <c r="Y95" s="65"/>
      <c r="Z95" s="65"/>
      <c r="AA95" s="65"/>
      <c r="AB95" s="65"/>
      <c r="AC95" s="65"/>
      <c r="AD95" s="65"/>
      <c r="AE95" s="65"/>
      <c r="AF95" s="65"/>
      <c r="AG95" s="65"/>
      <c r="AH95" s="65"/>
      <c r="AI95" s="65"/>
      <c r="AJ95" s="65"/>
      <c r="AK95" s="65"/>
      <c r="AL95" s="65"/>
      <c r="AM95" s="65"/>
      <c r="AN95" s="65"/>
      <c r="AO95" s="65"/>
      <c r="AP95" s="65"/>
      <c r="AQ95" s="65"/>
      <c r="AR95" s="65"/>
      <c r="AS95" s="27"/>
      <c r="AT95" s="27"/>
      <c r="AU95" s="65"/>
      <c r="AV95" s="27"/>
      <c r="AW95" s="106"/>
    </row>
    <row r="96" spans="3:49" ht="18.75">
      <c r="C96" s="91"/>
      <c r="D96" s="27"/>
      <c r="E96" s="27"/>
      <c r="F96" s="65"/>
      <c r="G96" s="27"/>
      <c r="H96" s="27"/>
      <c r="I96" s="65"/>
      <c r="J96" s="27"/>
      <c r="K96" s="27"/>
      <c r="L96" s="65"/>
      <c r="M96" s="65"/>
      <c r="N96" s="65"/>
      <c r="O96" s="65"/>
      <c r="P96" s="27"/>
      <c r="Q96" s="27"/>
      <c r="R96" s="65"/>
      <c r="S96" s="27"/>
      <c r="T96" s="27"/>
      <c r="U96" s="65"/>
      <c r="V96" s="65"/>
      <c r="W96" s="65"/>
      <c r="X96" s="65"/>
      <c r="Y96" s="65"/>
      <c r="Z96" s="65"/>
      <c r="AA96" s="65"/>
      <c r="AB96" s="65"/>
      <c r="AC96" s="65"/>
      <c r="AD96" s="65"/>
      <c r="AE96" s="65"/>
      <c r="AF96" s="65"/>
      <c r="AG96" s="65"/>
      <c r="AH96" s="65"/>
      <c r="AI96" s="65"/>
      <c r="AJ96" s="65"/>
      <c r="AK96" s="65"/>
      <c r="AL96" s="65"/>
      <c r="AM96" s="65"/>
      <c r="AN96" s="65"/>
      <c r="AO96" s="65"/>
      <c r="AP96" s="65"/>
      <c r="AQ96" s="65"/>
      <c r="AR96" s="65"/>
      <c r="AS96" s="27"/>
      <c r="AT96" s="27"/>
      <c r="AU96" s="65"/>
      <c r="AV96" s="27"/>
      <c r="AW96" s="106"/>
    </row>
    <row r="97" spans="3:49" ht="18.75">
      <c r="C97" s="91"/>
      <c r="D97" s="27"/>
      <c r="E97" s="27"/>
      <c r="F97" s="65"/>
      <c r="G97" s="27"/>
      <c r="H97" s="27"/>
      <c r="I97" s="65"/>
      <c r="J97" s="27"/>
      <c r="K97" s="27"/>
      <c r="L97" s="65"/>
      <c r="M97" s="65"/>
      <c r="N97" s="65"/>
      <c r="O97" s="65"/>
      <c r="P97" s="27"/>
      <c r="Q97" s="27"/>
      <c r="R97" s="65"/>
      <c r="S97" s="27"/>
      <c r="T97" s="27"/>
      <c r="U97" s="65"/>
      <c r="V97" s="65"/>
      <c r="W97" s="65"/>
      <c r="X97" s="65"/>
      <c r="Y97" s="65"/>
      <c r="Z97" s="65"/>
      <c r="AA97" s="65"/>
      <c r="AB97" s="65"/>
      <c r="AC97" s="65"/>
      <c r="AD97" s="65"/>
      <c r="AE97" s="65"/>
      <c r="AF97" s="65"/>
      <c r="AG97" s="65"/>
      <c r="AH97" s="65"/>
      <c r="AI97" s="65"/>
      <c r="AJ97" s="65"/>
      <c r="AK97" s="65"/>
      <c r="AL97" s="65"/>
      <c r="AM97" s="65"/>
      <c r="AN97" s="65"/>
      <c r="AO97" s="65"/>
      <c r="AP97" s="65"/>
      <c r="AQ97" s="65"/>
      <c r="AR97" s="65"/>
      <c r="AS97" s="27"/>
      <c r="AT97" s="27"/>
      <c r="AU97" s="65"/>
      <c r="AV97" s="27"/>
      <c r="AW97" s="106"/>
    </row>
    <row r="98" spans="3:49" ht="18.75">
      <c r="C98" s="91"/>
      <c r="D98" s="27"/>
      <c r="E98" s="27"/>
      <c r="F98" s="65"/>
      <c r="G98" s="27"/>
      <c r="H98" s="27"/>
      <c r="I98" s="65"/>
      <c r="J98" s="27"/>
      <c r="K98" s="27"/>
      <c r="L98" s="65"/>
      <c r="M98" s="65"/>
      <c r="N98" s="65"/>
      <c r="O98" s="65"/>
      <c r="P98" s="27"/>
      <c r="Q98" s="27"/>
      <c r="R98" s="65"/>
      <c r="S98" s="27"/>
      <c r="T98" s="27"/>
      <c r="U98" s="65"/>
      <c r="V98" s="65"/>
      <c r="W98" s="65"/>
      <c r="X98" s="65"/>
      <c r="Y98" s="65"/>
      <c r="Z98" s="65"/>
      <c r="AA98" s="65"/>
      <c r="AB98" s="65"/>
      <c r="AC98" s="65"/>
      <c r="AD98" s="65"/>
      <c r="AE98" s="65"/>
      <c r="AF98" s="65"/>
      <c r="AG98" s="65"/>
      <c r="AH98" s="65"/>
      <c r="AI98" s="65"/>
      <c r="AJ98" s="65"/>
      <c r="AK98" s="65"/>
      <c r="AL98" s="65"/>
      <c r="AM98" s="65"/>
      <c r="AN98" s="65"/>
      <c r="AO98" s="65"/>
      <c r="AP98" s="65"/>
      <c r="AQ98" s="65"/>
      <c r="AR98" s="65"/>
      <c r="AS98" s="27"/>
      <c r="AT98" s="27"/>
      <c r="AU98" s="65"/>
      <c r="AV98" s="27"/>
      <c r="AW98" s="106"/>
    </row>
    <row r="99" spans="3:49" ht="18.75">
      <c r="C99" s="91"/>
      <c r="D99" s="27"/>
      <c r="E99" s="27"/>
      <c r="F99" s="65"/>
      <c r="G99" s="27"/>
      <c r="H99" s="27"/>
      <c r="I99" s="65"/>
      <c r="J99" s="27"/>
      <c r="K99" s="27"/>
      <c r="L99" s="65"/>
      <c r="M99" s="65"/>
      <c r="N99" s="65"/>
      <c r="O99" s="65"/>
      <c r="P99" s="27"/>
      <c r="Q99" s="27"/>
      <c r="R99" s="65"/>
      <c r="S99" s="27"/>
      <c r="T99" s="27"/>
      <c r="U99" s="65"/>
      <c r="V99" s="65"/>
      <c r="W99" s="65"/>
      <c r="X99" s="65"/>
      <c r="Y99" s="65"/>
      <c r="Z99" s="65"/>
      <c r="AA99" s="65"/>
      <c r="AB99" s="65"/>
      <c r="AC99" s="65"/>
      <c r="AD99" s="65"/>
      <c r="AE99" s="65"/>
      <c r="AF99" s="65"/>
      <c r="AG99" s="65"/>
      <c r="AH99" s="65"/>
      <c r="AI99" s="65"/>
      <c r="AJ99" s="65"/>
      <c r="AK99" s="65"/>
      <c r="AL99" s="65"/>
      <c r="AM99" s="65"/>
      <c r="AN99" s="65"/>
      <c r="AO99" s="65"/>
      <c r="AP99" s="65"/>
      <c r="AQ99" s="65"/>
      <c r="AR99" s="65"/>
      <c r="AS99" s="27"/>
      <c r="AT99" s="27"/>
      <c r="AU99" s="65"/>
      <c r="AV99" s="27"/>
      <c r="AW99" s="106"/>
    </row>
    <row r="100" spans="3:49" ht="18.75">
      <c r="C100" s="91"/>
      <c r="D100" s="27"/>
      <c r="E100" s="27"/>
      <c r="F100" s="65"/>
      <c r="G100" s="27"/>
      <c r="H100" s="27"/>
      <c r="I100" s="65"/>
      <c r="J100" s="27"/>
      <c r="K100" s="27"/>
      <c r="L100" s="65"/>
      <c r="M100" s="65"/>
      <c r="N100" s="65"/>
      <c r="O100" s="65"/>
      <c r="P100" s="27"/>
      <c r="Q100" s="27"/>
      <c r="R100" s="65"/>
      <c r="S100" s="27"/>
      <c r="T100" s="27"/>
      <c r="U100" s="65"/>
      <c r="V100" s="65"/>
      <c r="W100" s="65"/>
      <c r="X100" s="65"/>
      <c r="Y100" s="65"/>
      <c r="Z100" s="65"/>
      <c r="AA100" s="65"/>
      <c r="AB100" s="65"/>
      <c r="AC100" s="65"/>
      <c r="AD100" s="65"/>
      <c r="AE100" s="65"/>
      <c r="AF100" s="65"/>
      <c r="AG100" s="65"/>
      <c r="AH100" s="65"/>
      <c r="AI100" s="65"/>
      <c r="AJ100" s="65"/>
      <c r="AK100" s="65"/>
      <c r="AL100" s="65"/>
      <c r="AM100" s="65"/>
      <c r="AN100" s="65"/>
      <c r="AO100" s="65"/>
      <c r="AP100" s="65"/>
      <c r="AQ100" s="65"/>
      <c r="AR100" s="65"/>
      <c r="AS100" s="27"/>
      <c r="AT100" s="27"/>
      <c r="AU100" s="65"/>
      <c r="AV100" s="27"/>
      <c r="AW100" s="106"/>
    </row>
    <row r="101" spans="3:49" ht="18.75">
      <c r="C101" s="91"/>
      <c r="D101" s="27"/>
      <c r="E101" s="27"/>
      <c r="F101" s="65"/>
      <c r="G101" s="27"/>
      <c r="H101" s="27"/>
      <c r="I101" s="65"/>
      <c r="J101" s="27"/>
      <c r="K101" s="27"/>
      <c r="L101" s="65"/>
      <c r="M101" s="65"/>
      <c r="N101" s="65"/>
      <c r="O101" s="65"/>
      <c r="P101" s="27"/>
      <c r="Q101" s="27"/>
      <c r="R101" s="65"/>
      <c r="S101" s="27"/>
      <c r="T101" s="27"/>
      <c r="U101" s="65"/>
      <c r="V101" s="65"/>
      <c r="W101" s="65"/>
      <c r="X101" s="65"/>
      <c r="Y101" s="65"/>
      <c r="Z101" s="65"/>
      <c r="AA101" s="65"/>
      <c r="AB101" s="65"/>
      <c r="AC101" s="65"/>
      <c r="AD101" s="65"/>
      <c r="AE101" s="65"/>
      <c r="AF101" s="65"/>
      <c r="AG101" s="65"/>
      <c r="AH101" s="65"/>
      <c r="AI101" s="65"/>
      <c r="AJ101" s="65"/>
      <c r="AK101" s="65"/>
      <c r="AL101" s="65"/>
      <c r="AM101" s="65"/>
      <c r="AN101" s="65"/>
      <c r="AO101" s="65"/>
      <c r="AP101" s="65"/>
      <c r="AQ101" s="65"/>
      <c r="AR101" s="65"/>
      <c r="AS101" s="27"/>
      <c r="AT101" s="27"/>
      <c r="AU101" s="65"/>
      <c r="AV101" s="27"/>
      <c r="AW101" s="106"/>
    </row>
    <row r="102" spans="3:49" ht="18.75">
      <c r="C102" s="91"/>
      <c r="D102" s="27"/>
      <c r="E102" s="27"/>
      <c r="F102" s="65"/>
      <c r="G102" s="27"/>
      <c r="H102" s="27"/>
      <c r="I102" s="65"/>
      <c r="J102" s="27"/>
      <c r="K102" s="27"/>
      <c r="L102" s="65"/>
      <c r="M102" s="65"/>
      <c r="N102" s="65"/>
      <c r="O102" s="65"/>
      <c r="P102" s="27"/>
      <c r="Q102" s="27"/>
      <c r="R102" s="65"/>
      <c r="S102" s="27"/>
      <c r="T102" s="27"/>
      <c r="U102" s="65"/>
      <c r="V102" s="65"/>
      <c r="W102" s="65"/>
      <c r="X102" s="65"/>
      <c r="Y102" s="65"/>
      <c r="Z102" s="65"/>
      <c r="AA102" s="65"/>
      <c r="AB102" s="65"/>
      <c r="AC102" s="65"/>
      <c r="AD102" s="65"/>
      <c r="AE102" s="65"/>
      <c r="AF102" s="65"/>
      <c r="AG102" s="65"/>
      <c r="AH102" s="65"/>
      <c r="AI102" s="65"/>
      <c r="AJ102" s="65"/>
      <c r="AK102" s="65"/>
      <c r="AL102" s="65"/>
      <c r="AM102" s="65"/>
      <c r="AN102" s="65"/>
      <c r="AO102" s="65"/>
      <c r="AP102" s="65"/>
      <c r="AQ102" s="65"/>
      <c r="AR102" s="65"/>
      <c r="AS102" s="27"/>
      <c r="AT102" s="27"/>
      <c r="AU102" s="65"/>
      <c r="AV102" s="27"/>
      <c r="AW102" s="106"/>
    </row>
    <row r="103" spans="3:49" ht="18.75">
      <c r="C103" s="91"/>
      <c r="D103" s="27"/>
      <c r="E103" s="27"/>
      <c r="F103" s="65"/>
      <c r="G103" s="27"/>
      <c r="H103" s="27"/>
      <c r="I103" s="65"/>
      <c r="J103" s="27"/>
      <c r="K103" s="27"/>
      <c r="L103" s="65"/>
      <c r="M103" s="65"/>
      <c r="N103" s="65"/>
      <c r="O103" s="65"/>
      <c r="P103" s="27"/>
      <c r="Q103" s="27"/>
      <c r="R103" s="65"/>
      <c r="S103" s="27"/>
      <c r="T103" s="27"/>
      <c r="U103" s="65"/>
      <c r="V103" s="65"/>
      <c r="W103" s="65"/>
      <c r="X103" s="65"/>
      <c r="Y103" s="65"/>
      <c r="Z103" s="65"/>
      <c r="AA103" s="65"/>
      <c r="AB103" s="65"/>
      <c r="AC103" s="65"/>
      <c r="AD103" s="65"/>
      <c r="AE103" s="65"/>
      <c r="AF103" s="65"/>
      <c r="AG103" s="65"/>
      <c r="AH103" s="65"/>
      <c r="AI103" s="65"/>
      <c r="AJ103" s="65"/>
      <c r="AK103" s="65"/>
      <c r="AL103" s="65"/>
      <c r="AM103" s="65"/>
      <c r="AN103" s="65"/>
      <c r="AO103" s="65"/>
      <c r="AP103" s="65"/>
      <c r="AQ103" s="65"/>
      <c r="AR103" s="65"/>
      <c r="AS103" s="27"/>
      <c r="AT103" s="27"/>
      <c r="AU103" s="65"/>
      <c r="AV103" s="27"/>
      <c r="AW103" s="106"/>
    </row>
    <row r="104" spans="3:49" ht="18.75">
      <c r="C104" s="91"/>
      <c r="D104" s="27"/>
      <c r="E104" s="27"/>
      <c r="F104" s="65"/>
      <c r="G104" s="27"/>
      <c r="H104" s="27"/>
      <c r="I104" s="65"/>
      <c r="J104" s="27"/>
      <c r="K104" s="27"/>
      <c r="L104" s="65"/>
      <c r="M104" s="65"/>
      <c r="N104" s="65"/>
      <c r="O104" s="65"/>
      <c r="P104" s="27"/>
      <c r="Q104" s="27"/>
      <c r="R104" s="65"/>
      <c r="S104" s="27"/>
      <c r="T104" s="27"/>
      <c r="U104" s="65"/>
      <c r="V104" s="65"/>
      <c r="W104" s="65"/>
      <c r="X104" s="65"/>
      <c r="Y104" s="65"/>
      <c r="Z104" s="65"/>
      <c r="AA104" s="65"/>
      <c r="AB104" s="65"/>
      <c r="AC104" s="65"/>
      <c r="AD104" s="65"/>
      <c r="AE104" s="65"/>
      <c r="AF104" s="65"/>
      <c r="AG104" s="65"/>
      <c r="AH104" s="65"/>
      <c r="AI104" s="65"/>
      <c r="AJ104" s="65"/>
      <c r="AK104" s="65"/>
      <c r="AL104" s="65"/>
      <c r="AM104" s="65"/>
      <c r="AN104" s="65"/>
      <c r="AO104" s="65"/>
      <c r="AP104" s="65"/>
      <c r="AQ104" s="65"/>
      <c r="AR104" s="65"/>
      <c r="AS104" s="27"/>
      <c r="AT104" s="27"/>
      <c r="AU104" s="65"/>
      <c r="AV104" s="27"/>
      <c r="AW104" s="106"/>
    </row>
    <row r="105" spans="3:49" ht="18.75">
      <c r="C105" s="91"/>
      <c r="D105" s="27"/>
      <c r="E105" s="27"/>
      <c r="F105" s="65"/>
      <c r="G105" s="27"/>
      <c r="H105" s="27"/>
      <c r="I105" s="65"/>
      <c r="J105" s="27"/>
      <c r="K105" s="27"/>
      <c r="L105" s="65"/>
      <c r="M105" s="65"/>
      <c r="N105" s="65"/>
      <c r="O105" s="65"/>
      <c r="P105" s="27"/>
      <c r="Q105" s="27"/>
      <c r="R105" s="65"/>
      <c r="S105" s="27"/>
      <c r="T105" s="27"/>
      <c r="U105" s="65"/>
      <c r="V105" s="65"/>
      <c r="W105" s="65"/>
      <c r="X105" s="65"/>
      <c r="Y105" s="65"/>
      <c r="Z105" s="65"/>
      <c r="AA105" s="65"/>
      <c r="AB105" s="65"/>
      <c r="AC105" s="65"/>
      <c r="AD105" s="65"/>
      <c r="AJ105" s="65"/>
      <c r="AK105" s="65"/>
      <c r="AL105" s="65"/>
      <c r="AS105" s="27"/>
      <c r="AT105" s="27"/>
      <c r="AU105" s="65"/>
      <c r="AW105" s="106"/>
    </row>
  </sheetData>
  <sheetProtection/>
  <mergeCells count="24">
    <mergeCell ref="D1:AW1"/>
    <mergeCell ref="B2:AW2"/>
    <mergeCell ref="B3:AW3"/>
    <mergeCell ref="B4:C4"/>
    <mergeCell ref="AV5:AV6"/>
    <mergeCell ref="P5:R5"/>
    <mergeCell ref="V5:X5"/>
    <mergeCell ref="M5:O5"/>
    <mergeCell ref="AB5:AD5"/>
    <mergeCell ref="AS5:AU5"/>
    <mergeCell ref="Y5:AA5"/>
    <mergeCell ref="AE5:AG5"/>
    <mergeCell ref="AH5:AI5"/>
    <mergeCell ref="AW5:AW6"/>
    <mergeCell ref="AJ5:AL5"/>
    <mergeCell ref="AM5:AN5"/>
    <mergeCell ref="AO5:AP5"/>
    <mergeCell ref="AQ5:AR5"/>
    <mergeCell ref="A54:C54"/>
    <mergeCell ref="J5:L5"/>
    <mergeCell ref="B55:C55"/>
    <mergeCell ref="D5:F5"/>
    <mergeCell ref="G5:I5"/>
    <mergeCell ref="S5:U5"/>
  </mergeCells>
  <printOptions horizontalCentered="1"/>
  <pageMargins left="0.03937007874015748" right="0.03937007874015748" top="0.03937007874015748" bottom="0.03937007874015748" header="0" footer="0"/>
  <pageSetup fitToHeight="1" fitToWidth="1" horizontalDpi="600" verticalDpi="600" orientation="landscape" paperSize="9" scale="4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B104"/>
  <sheetViews>
    <sheetView view="pageBreakPreview" zoomScale="70" zoomScaleNormal="75" zoomScaleSheetLayoutView="70" zoomScalePageLayoutView="0" workbookViewId="0" topLeftCell="A1">
      <pane xSplit="6" ySplit="8" topLeftCell="O12" activePane="bottomRight" state="frozen"/>
      <selection pane="topLeft" activeCell="A1" sqref="A1"/>
      <selection pane="topRight" activeCell="G1" sqref="G1"/>
      <selection pane="bottomLeft" activeCell="A9" sqref="A9"/>
      <selection pane="bottomRight" activeCell="A16" sqref="A16:IV16"/>
    </sheetView>
  </sheetViews>
  <sheetFormatPr defaultColWidth="7.875" defaultRowHeight="12.75"/>
  <cols>
    <col min="1" max="1" width="6.125" style="7" customWidth="1"/>
    <col min="2" max="2" width="57.125" style="5" customWidth="1"/>
    <col min="3" max="3" width="16.75390625" style="39" customWidth="1"/>
    <col min="4" max="5" width="19.75390625" style="5" hidden="1" customWidth="1"/>
    <col min="6" max="6" width="13.75390625" style="8" hidden="1" customWidth="1"/>
    <col min="7" max="8" width="14.75390625" style="5" hidden="1" customWidth="1"/>
    <col min="9" max="9" width="11.875" style="8" hidden="1" customWidth="1"/>
    <col min="10" max="11" width="14.75390625" style="5" hidden="1" customWidth="1"/>
    <col min="12" max="12" width="11.875" style="8" hidden="1" customWidth="1"/>
    <col min="13" max="13" width="13.25390625" style="8" customWidth="1"/>
    <col min="14" max="14" width="12.75390625" style="8" customWidth="1"/>
    <col min="15" max="15" width="11.875" style="8" customWidth="1"/>
    <col min="16" max="17" width="14.75390625" style="5" hidden="1" customWidth="1"/>
    <col min="18" max="18" width="11.875" style="8" hidden="1" customWidth="1"/>
    <col min="19" max="20" width="14.75390625" style="5" hidden="1" customWidth="1"/>
    <col min="21" max="21" width="11.875" style="8" hidden="1" customWidth="1"/>
    <col min="22" max="22" width="14.625" style="8" hidden="1" customWidth="1"/>
    <col min="23" max="23" width="14.25390625" style="8" hidden="1" customWidth="1"/>
    <col min="24" max="24" width="11.875" style="8" hidden="1" customWidth="1"/>
    <col min="25" max="25" width="13.25390625" style="8" customWidth="1"/>
    <col min="26" max="26" width="12.75390625" style="8" customWidth="1"/>
    <col min="27" max="27" width="14.125" style="8" hidden="1" customWidth="1"/>
    <col min="28" max="28" width="14.625" style="8" customWidth="1"/>
    <col min="29" max="29" width="14.25390625" style="8" customWidth="1"/>
    <col min="30" max="30" width="11.875" style="8" hidden="1" customWidth="1"/>
    <col min="31" max="31" width="14.625" style="8" hidden="1" customWidth="1"/>
    <col min="32" max="32" width="14.25390625" style="8" hidden="1" customWidth="1"/>
    <col min="33" max="33" width="11.875" style="8" hidden="1" customWidth="1"/>
    <col min="34" max="35" width="13.875" style="8" hidden="1" customWidth="1"/>
    <col min="36" max="36" width="13.25390625" style="8" hidden="1" customWidth="1"/>
    <col min="37" max="37" width="12.75390625" style="8" hidden="1" customWidth="1"/>
    <col min="38" max="38" width="14.125" style="8" hidden="1" customWidth="1"/>
    <col min="39" max="44" width="13.875" style="8" hidden="1" customWidth="1"/>
    <col min="45" max="45" width="14.125" style="5" customWidth="1"/>
    <col min="46" max="46" width="15.00390625" style="5" customWidth="1"/>
    <col min="47" max="47" width="13.75390625" style="8" customWidth="1"/>
    <col min="48" max="48" width="19.75390625" style="5" customWidth="1"/>
    <col min="49" max="49" width="22.625" style="5" customWidth="1"/>
    <col min="50" max="50" width="13.00390625" style="5" customWidth="1"/>
    <col min="51" max="51" width="16.625" style="5" customWidth="1"/>
    <col min="52" max="16384" width="7.875" style="5" customWidth="1"/>
  </cols>
  <sheetData>
    <row r="1" spans="4:49" ht="18.75"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147"/>
      <c r="AM1" s="147"/>
      <c r="AN1" s="147"/>
      <c r="AO1" s="147"/>
      <c r="AP1" s="147"/>
      <c r="AQ1" s="147"/>
      <c r="AR1" s="147"/>
      <c r="AS1" s="147"/>
      <c r="AT1" s="147"/>
      <c r="AU1" s="147"/>
      <c r="AV1" s="147"/>
      <c r="AW1" s="147"/>
    </row>
    <row r="2" spans="1:49" s="30" customFormat="1" ht="42" customHeight="1">
      <c r="A2" s="29"/>
      <c r="B2" s="146" t="s">
        <v>47</v>
      </c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146"/>
      <c r="AP2" s="146"/>
      <c r="AQ2" s="146"/>
      <c r="AR2" s="146"/>
      <c r="AS2" s="146"/>
      <c r="AT2" s="146"/>
      <c r="AU2" s="146"/>
      <c r="AV2" s="146"/>
      <c r="AW2" s="146"/>
    </row>
    <row r="3" spans="1:49" s="30" customFormat="1" ht="42" customHeight="1">
      <c r="A3" s="29"/>
      <c r="B3" s="146" t="s">
        <v>126</v>
      </c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146"/>
      <c r="AK3" s="146"/>
      <c r="AL3" s="146"/>
      <c r="AM3" s="146"/>
      <c r="AN3" s="146"/>
      <c r="AO3" s="146"/>
      <c r="AP3" s="146"/>
      <c r="AQ3" s="146"/>
      <c r="AR3" s="146"/>
      <c r="AS3" s="146"/>
      <c r="AT3" s="146"/>
      <c r="AU3" s="146"/>
      <c r="AV3" s="146"/>
      <c r="AW3" s="146"/>
    </row>
    <row r="4" spans="2:49" ht="18.75">
      <c r="B4" s="147"/>
      <c r="C4" s="147"/>
      <c r="AW4" s="11" t="s">
        <v>20</v>
      </c>
    </row>
    <row r="5" spans="1:49" ht="36.75" customHeight="1">
      <c r="A5" s="22" t="s">
        <v>8</v>
      </c>
      <c r="B5" s="23"/>
      <c r="C5" s="24" t="s">
        <v>1</v>
      </c>
      <c r="D5" s="143" t="s">
        <v>64</v>
      </c>
      <c r="E5" s="144"/>
      <c r="F5" s="145"/>
      <c r="G5" s="140" t="s">
        <v>66</v>
      </c>
      <c r="H5" s="141"/>
      <c r="I5" s="142"/>
      <c r="J5" s="140" t="s">
        <v>68</v>
      </c>
      <c r="K5" s="141"/>
      <c r="L5" s="142"/>
      <c r="M5" s="140" t="s">
        <v>81</v>
      </c>
      <c r="N5" s="141"/>
      <c r="O5" s="142"/>
      <c r="P5" s="140" t="s">
        <v>69</v>
      </c>
      <c r="Q5" s="141"/>
      <c r="R5" s="142"/>
      <c r="S5" s="140" t="s">
        <v>70</v>
      </c>
      <c r="T5" s="141"/>
      <c r="U5" s="142"/>
      <c r="V5" s="140" t="s">
        <v>71</v>
      </c>
      <c r="W5" s="141"/>
      <c r="X5" s="142"/>
      <c r="Y5" s="140" t="s">
        <v>72</v>
      </c>
      <c r="Z5" s="141"/>
      <c r="AA5" s="142"/>
      <c r="AB5" s="140" t="s">
        <v>73</v>
      </c>
      <c r="AC5" s="141"/>
      <c r="AD5" s="142"/>
      <c r="AE5" s="140" t="s">
        <v>74</v>
      </c>
      <c r="AF5" s="141"/>
      <c r="AG5" s="142"/>
      <c r="AH5" s="140" t="s">
        <v>75</v>
      </c>
      <c r="AI5" s="142"/>
      <c r="AJ5" s="140" t="s">
        <v>77</v>
      </c>
      <c r="AK5" s="141"/>
      <c r="AL5" s="142"/>
      <c r="AM5" s="140" t="s">
        <v>76</v>
      </c>
      <c r="AN5" s="142"/>
      <c r="AO5" s="140" t="s">
        <v>78</v>
      </c>
      <c r="AP5" s="142"/>
      <c r="AQ5" s="140" t="s">
        <v>79</v>
      </c>
      <c r="AR5" s="142"/>
      <c r="AS5" s="143" t="s">
        <v>82</v>
      </c>
      <c r="AT5" s="144"/>
      <c r="AU5" s="145"/>
      <c r="AV5" s="148" t="s">
        <v>127</v>
      </c>
      <c r="AW5" s="148" t="s">
        <v>128</v>
      </c>
    </row>
    <row r="6" spans="1:49" ht="65.25" customHeight="1">
      <c r="A6" s="25" t="s">
        <v>5</v>
      </c>
      <c r="B6" s="40" t="s">
        <v>18</v>
      </c>
      <c r="C6" s="137" t="s">
        <v>80</v>
      </c>
      <c r="D6" s="26" t="s">
        <v>65</v>
      </c>
      <c r="E6" s="26" t="s">
        <v>19</v>
      </c>
      <c r="F6" s="12" t="s">
        <v>0</v>
      </c>
      <c r="G6" s="26" t="s">
        <v>65</v>
      </c>
      <c r="H6" s="26" t="s">
        <v>19</v>
      </c>
      <c r="I6" s="12" t="s">
        <v>0</v>
      </c>
      <c r="J6" s="26" t="s">
        <v>65</v>
      </c>
      <c r="K6" s="26" t="s">
        <v>19</v>
      </c>
      <c r="L6" s="12" t="s">
        <v>0</v>
      </c>
      <c r="M6" s="26" t="s">
        <v>65</v>
      </c>
      <c r="N6" s="26" t="s">
        <v>19</v>
      </c>
      <c r="O6" s="12" t="s">
        <v>0</v>
      </c>
      <c r="P6" s="26" t="s">
        <v>65</v>
      </c>
      <c r="Q6" s="26" t="s">
        <v>19</v>
      </c>
      <c r="R6" s="12" t="s">
        <v>0</v>
      </c>
      <c r="S6" s="26" t="s">
        <v>65</v>
      </c>
      <c r="T6" s="26" t="s">
        <v>19</v>
      </c>
      <c r="U6" s="12" t="s">
        <v>0</v>
      </c>
      <c r="V6" s="26" t="s">
        <v>65</v>
      </c>
      <c r="W6" s="26" t="s">
        <v>19</v>
      </c>
      <c r="X6" s="12" t="s">
        <v>0</v>
      </c>
      <c r="Y6" s="26" t="s">
        <v>65</v>
      </c>
      <c r="Z6" s="26" t="s">
        <v>19</v>
      </c>
      <c r="AA6" s="12" t="s">
        <v>0</v>
      </c>
      <c r="AB6" s="26" t="s">
        <v>65</v>
      </c>
      <c r="AC6" s="26" t="s">
        <v>19</v>
      </c>
      <c r="AD6" s="12" t="s">
        <v>0</v>
      </c>
      <c r="AE6" s="26" t="s">
        <v>65</v>
      </c>
      <c r="AF6" s="26" t="s">
        <v>19</v>
      </c>
      <c r="AG6" s="12" t="s">
        <v>0</v>
      </c>
      <c r="AH6" s="26" t="s">
        <v>65</v>
      </c>
      <c r="AI6" s="26" t="s">
        <v>19</v>
      </c>
      <c r="AJ6" s="26" t="s">
        <v>65</v>
      </c>
      <c r="AK6" s="26" t="s">
        <v>19</v>
      </c>
      <c r="AL6" s="12" t="s">
        <v>0</v>
      </c>
      <c r="AM6" s="26" t="s">
        <v>65</v>
      </c>
      <c r="AN6" s="26" t="s">
        <v>19</v>
      </c>
      <c r="AO6" s="26" t="s">
        <v>65</v>
      </c>
      <c r="AP6" s="26" t="s">
        <v>19</v>
      </c>
      <c r="AQ6" s="26" t="s">
        <v>65</v>
      </c>
      <c r="AR6" s="26" t="s">
        <v>19</v>
      </c>
      <c r="AS6" s="26" t="s">
        <v>65</v>
      </c>
      <c r="AT6" s="26" t="s">
        <v>19</v>
      </c>
      <c r="AU6" s="12" t="s">
        <v>0</v>
      </c>
      <c r="AV6" s="149"/>
      <c r="AW6" s="149"/>
    </row>
    <row r="7" spans="1:51" s="8" customFormat="1" ht="36" customHeight="1">
      <c r="A7" s="12"/>
      <c r="B7" s="13" t="s">
        <v>21</v>
      </c>
      <c r="C7" s="41">
        <f>SUM(C8:C44)</f>
        <v>-579.1000000000004</v>
      </c>
      <c r="D7" s="14">
        <f>SUM(D8:D44)</f>
        <v>11769.1</v>
      </c>
      <c r="E7" s="14">
        <f>SUM(E8:E44)</f>
        <v>776.2</v>
      </c>
      <c r="F7" s="14">
        <f aca="true" t="shared" si="0" ref="F7:F21">E7/D7*100</f>
        <v>6.595236679100356</v>
      </c>
      <c r="G7" s="14">
        <f>SUM(G8:G44)</f>
        <v>11712.2</v>
      </c>
      <c r="H7" s="14">
        <f>SUM(H8:H44)</f>
        <v>5854.6</v>
      </c>
      <c r="I7" s="14">
        <f>H7/G7*100</f>
        <v>49.987192841652295</v>
      </c>
      <c r="J7" s="14">
        <f>SUM(J8:J44)</f>
        <v>11631.3</v>
      </c>
      <c r="K7" s="14">
        <f>SUM(K8:K44)</f>
        <v>11115.6</v>
      </c>
      <c r="L7" s="14">
        <f>K7/J7*100</f>
        <v>95.56627376131645</v>
      </c>
      <c r="M7" s="14">
        <f>SUM(M8:M44)</f>
        <v>35112.6</v>
      </c>
      <c r="N7" s="14">
        <f>SUM(N8:N44)</f>
        <v>17746.399999999998</v>
      </c>
      <c r="O7" s="14">
        <f>N7/M7*100</f>
        <v>50.541401092485316</v>
      </c>
      <c r="P7" s="14">
        <f>SUM(P8:P44)</f>
        <v>1271.3</v>
      </c>
      <c r="Q7" s="14">
        <f>SUM(Q8:Q44)</f>
        <v>6360</v>
      </c>
      <c r="R7" s="14">
        <f>Q7/P7*100</f>
        <v>500.27530873908603</v>
      </c>
      <c r="S7" s="14">
        <f>SUM(S8:S44)</f>
        <v>127</v>
      </c>
      <c r="T7" s="14">
        <f>SUM(T8:T44)</f>
        <v>1399.6000000000001</v>
      </c>
      <c r="U7" s="14">
        <f>T7/S7*100</f>
        <v>1102.0472440944882</v>
      </c>
      <c r="V7" s="14">
        <f>SUM(V8:V44)</f>
        <v>109.3</v>
      </c>
      <c r="W7" s="14">
        <f>SUM(W8:W44)</f>
        <v>765.3000000000001</v>
      </c>
      <c r="X7" s="28">
        <f>W7/V7*100</f>
        <v>700.1829826166514</v>
      </c>
      <c r="Y7" s="14">
        <f>SUM(Y8:Y44)</f>
        <v>1507.5999999999997</v>
      </c>
      <c r="Z7" s="14">
        <f>SUM(Z8:Z44)</f>
        <v>8524.9</v>
      </c>
      <c r="AA7" s="14">
        <f>Z7/Y7*100</f>
        <v>565.4616609180155</v>
      </c>
      <c r="AB7" s="14">
        <f>SUM(AB8:AB44)</f>
        <v>138.4</v>
      </c>
      <c r="AC7" s="14">
        <f>SUM(AC8:AC44)</f>
        <v>622.3000000000001</v>
      </c>
      <c r="AD7" s="28">
        <f>AC7/AB7*100</f>
        <v>449.6387283236994</v>
      </c>
      <c r="AE7" s="14">
        <f>SUM(AE8:AE44)</f>
        <v>0</v>
      </c>
      <c r="AF7" s="14">
        <f>SUM(AF8:AF44)</f>
        <v>0</v>
      </c>
      <c r="AG7" s="28" t="e">
        <f>AF7/AE7*100</f>
        <v>#DIV/0!</v>
      </c>
      <c r="AH7" s="14">
        <f>SUM(AH8:AH44)</f>
        <v>0</v>
      </c>
      <c r="AI7" s="14">
        <f>SUM(AI8:AI44)</f>
        <v>0</v>
      </c>
      <c r="AJ7" s="14">
        <f>SUM(AJ8:AJ44)</f>
        <v>138.4</v>
      </c>
      <c r="AK7" s="14">
        <f>SUM(AK8:AK44)</f>
        <v>622.3000000000001</v>
      </c>
      <c r="AL7" s="14">
        <f>AK7/AJ7*100</f>
        <v>449.6387283236994</v>
      </c>
      <c r="AM7" s="14">
        <f aca="true" t="shared" si="1" ref="AM7:AT7">SUM(AM8:AM44)</f>
        <v>0</v>
      </c>
      <c r="AN7" s="14">
        <f t="shared" si="1"/>
        <v>0</v>
      </c>
      <c r="AO7" s="14">
        <f t="shared" si="1"/>
        <v>0</v>
      </c>
      <c r="AP7" s="14">
        <f t="shared" si="1"/>
        <v>0</v>
      </c>
      <c r="AQ7" s="14">
        <f>SUM(AQ8:AQ44)</f>
        <v>0</v>
      </c>
      <c r="AR7" s="14">
        <f>SUM(AR8:AR44)</f>
        <v>0</v>
      </c>
      <c r="AS7" s="14">
        <f t="shared" si="1"/>
        <v>36758.6</v>
      </c>
      <c r="AT7" s="14">
        <f t="shared" si="1"/>
        <v>26893.600000000002</v>
      </c>
      <c r="AU7" s="14">
        <f>AT7/AS7*100</f>
        <v>73.16274286833558</v>
      </c>
      <c r="AV7" s="42">
        <f>SUM(AV8:AV44)</f>
        <v>9865</v>
      </c>
      <c r="AW7" s="42">
        <f>SUM(AW8:AW44)</f>
        <v>9285.9</v>
      </c>
      <c r="AX7" s="20">
        <f>AS7-AT7</f>
        <v>9864.999999999996</v>
      </c>
      <c r="AY7" s="20">
        <f>C7+AS7-AT7</f>
        <v>9285.899999999998</v>
      </c>
    </row>
    <row r="8" spans="1:49" s="43" customFormat="1" ht="36.75" customHeight="1">
      <c r="A8" s="6">
        <v>1</v>
      </c>
      <c r="B8" s="1" t="s">
        <v>98</v>
      </c>
      <c r="C8" s="2">
        <v>-74.7</v>
      </c>
      <c r="D8" s="3">
        <v>424.5</v>
      </c>
      <c r="E8" s="3">
        <v>100.1</v>
      </c>
      <c r="F8" s="14">
        <f t="shared" si="0"/>
        <v>23.580683156654885</v>
      </c>
      <c r="G8" s="3">
        <v>414.3</v>
      </c>
      <c r="H8" s="3">
        <v>250.8</v>
      </c>
      <c r="I8" s="14">
        <f>H8/G8*100</f>
        <v>60.53584359160029</v>
      </c>
      <c r="J8" s="3">
        <v>446.6</v>
      </c>
      <c r="K8" s="3">
        <v>336.7</v>
      </c>
      <c r="L8" s="14">
        <f>K8/J8*100</f>
        <v>75.39184952978056</v>
      </c>
      <c r="M8" s="3">
        <f>D8+G8+J8</f>
        <v>1285.4</v>
      </c>
      <c r="N8" s="3">
        <f>E8+H8+K8</f>
        <v>687.5999999999999</v>
      </c>
      <c r="O8" s="14">
        <f aca="true" t="shared" si="2" ref="O8:O48">N8/M8*100</f>
        <v>53.49307608526528</v>
      </c>
      <c r="P8" s="3">
        <v>42.9</v>
      </c>
      <c r="Q8" s="3">
        <v>235.6</v>
      </c>
      <c r="R8" s="14">
        <f>Q8/P8*100</f>
        <v>549.1841491841492</v>
      </c>
      <c r="S8" s="3">
        <v>0</v>
      </c>
      <c r="T8" s="3">
        <v>54.6</v>
      </c>
      <c r="U8" s="14"/>
      <c r="V8" s="3">
        <v>0</v>
      </c>
      <c r="W8" s="3">
        <v>47.7</v>
      </c>
      <c r="X8" s="14"/>
      <c r="Y8" s="3">
        <f>P8+S8+V8</f>
        <v>42.9</v>
      </c>
      <c r="Z8" s="3">
        <f>Q8+T8+W8</f>
        <v>337.9</v>
      </c>
      <c r="AA8" s="14">
        <f>Z8/Y8*100</f>
        <v>787.6456876456876</v>
      </c>
      <c r="AB8" s="3">
        <v>0</v>
      </c>
      <c r="AC8" s="3">
        <v>111.9</v>
      </c>
      <c r="AD8" s="14"/>
      <c r="AE8" s="3"/>
      <c r="AF8" s="3"/>
      <c r="AG8" s="28" t="e">
        <f>AF8/AE8*100</f>
        <v>#DIV/0!</v>
      </c>
      <c r="AH8" s="3"/>
      <c r="AI8" s="3"/>
      <c r="AJ8" s="3">
        <f>AB8+AE8+AH8</f>
        <v>0</v>
      </c>
      <c r="AK8" s="3">
        <f>AC8+AF8+AI8</f>
        <v>111.9</v>
      </c>
      <c r="AL8" s="14" t="e">
        <f>AK8/AJ8*100</f>
        <v>#DIV/0!</v>
      </c>
      <c r="AM8" s="3"/>
      <c r="AN8" s="3"/>
      <c r="AO8" s="3"/>
      <c r="AP8" s="3"/>
      <c r="AQ8" s="3"/>
      <c r="AR8" s="3"/>
      <c r="AS8" s="3">
        <f>M8+Y8+AJ8+AM8+AO8+AQ8</f>
        <v>1328.3000000000002</v>
      </c>
      <c r="AT8" s="3">
        <f>N8+Z8+AK8+AN8+AP8+AR8</f>
        <v>1137.4</v>
      </c>
      <c r="AU8" s="14">
        <f>AT8/AS8*100</f>
        <v>85.62824663103214</v>
      </c>
      <c r="AV8" s="14">
        <f>AS8-AT8</f>
        <v>190.9000000000001</v>
      </c>
      <c r="AW8" s="4">
        <f>C8+AS8-AT8</f>
        <v>116.20000000000005</v>
      </c>
    </row>
    <row r="9" spans="1:49" s="43" customFormat="1" ht="29.25" customHeight="1">
      <c r="A9" s="6">
        <v>2</v>
      </c>
      <c r="B9" s="32" t="s">
        <v>99</v>
      </c>
      <c r="C9" s="2">
        <f>6+(-79.1)</f>
        <v>-73.1</v>
      </c>
      <c r="D9" s="3">
        <v>485.9</v>
      </c>
      <c r="E9" s="3">
        <v>16.8</v>
      </c>
      <c r="F9" s="14">
        <f t="shared" si="0"/>
        <v>3.4575015435274756</v>
      </c>
      <c r="G9" s="3">
        <v>450.1</v>
      </c>
      <c r="H9" s="3">
        <v>312.2</v>
      </c>
      <c r="I9" s="14">
        <f aca="true" t="shared" si="3" ref="I9:I22">H9/G9*100</f>
        <v>69.36236391912908</v>
      </c>
      <c r="J9" s="3">
        <v>451.7</v>
      </c>
      <c r="K9" s="3">
        <v>410.5</v>
      </c>
      <c r="L9" s="14">
        <f aca="true" t="shared" si="4" ref="L9:L22">K9/J9*100</f>
        <v>90.87890192605713</v>
      </c>
      <c r="M9" s="3">
        <f aca="true" t="shared" si="5" ref="M9:M44">D9+G9+J9</f>
        <v>1387.7</v>
      </c>
      <c r="N9" s="3">
        <f aca="true" t="shared" si="6" ref="N9:N44">E9+H9+K9</f>
        <v>739.5</v>
      </c>
      <c r="O9" s="14">
        <f t="shared" si="2"/>
        <v>53.289615911220004</v>
      </c>
      <c r="P9" s="3">
        <v>27.4</v>
      </c>
      <c r="Q9" s="3">
        <v>148.9</v>
      </c>
      <c r="R9" s="14">
        <f aca="true" t="shared" si="7" ref="R9:R25">Q9/P9*100</f>
        <v>543.4306569343066</v>
      </c>
      <c r="S9" s="3">
        <v>0</v>
      </c>
      <c r="T9" s="3">
        <v>37.6</v>
      </c>
      <c r="U9" s="14"/>
      <c r="V9" s="3">
        <v>0</v>
      </c>
      <c r="W9" s="3">
        <v>55.5</v>
      </c>
      <c r="X9" s="14"/>
      <c r="Y9" s="3">
        <f>P9+S9+V9</f>
        <v>27.4</v>
      </c>
      <c r="Z9" s="3">
        <f>Q9+T9+W9</f>
        <v>242</v>
      </c>
      <c r="AA9" s="14">
        <f>Z9/Y9*100</f>
        <v>883.2116788321167</v>
      </c>
      <c r="AB9" s="3">
        <v>0</v>
      </c>
      <c r="AC9" s="3">
        <v>81.5</v>
      </c>
      <c r="AD9" s="14"/>
      <c r="AE9" s="3"/>
      <c r="AF9" s="3"/>
      <c r="AG9" s="28" t="e">
        <f aca="true" t="shared" si="8" ref="AG9:AG15">AF9/AE9*100</f>
        <v>#DIV/0!</v>
      </c>
      <c r="AH9" s="3"/>
      <c r="AI9" s="3"/>
      <c r="AJ9" s="3">
        <f aca="true" t="shared" si="9" ref="AJ9:AJ44">AB9+AE9+AH9</f>
        <v>0</v>
      </c>
      <c r="AK9" s="3">
        <f aca="true" t="shared" si="10" ref="AK9:AK44">AC9+AF9+AI9</f>
        <v>81.5</v>
      </c>
      <c r="AL9" s="14" t="e">
        <f>AK9/AJ9*100</f>
        <v>#DIV/0!</v>
      </c>
      <c r="AM9" s="3"/>
      <c r="AN9" s="3"/>
      <c r="AO9" s="3"/>
      <c r="AP9" s="3"/>
      <c r="AQ9" s="3"/>
      <c r="AR9" s="3"/>
      <c r="AS9" s="3">
        <f aca="true" t="shared" si="11" ref="AS9:AS44">M9+Y9+AJ9+AM9+AO9+AQ9</f>
        <v>1415.1000000000001</v>
      </c>
      <c r="AT9" s="3">
        <f aca="true" t="shared" si="12" ref="AT9:AT44">N9+Z9+AK9+AN9+AP9+AR9</f>
        <v>1063</v>
      </c>
      <c r="AU9" s="14">
        <f>AT9/AS9*100</f>
        <v>75.1183661932019</v>
      </c>
      <c r="AV9" s="14">
        <f aca="true" t="shared" si="13" ref="AV9:AV44">AS9-AT9</f>
        <v>352.10000000000014</v>
      </c>
      <c r="AW9" s="4">
        <f aca="true" t="shared" si="14" ref="AW9:AW44">C9+AS9-AT9</f>
        <v>279.0000000000002</v>
      </c>
    </row>
    <row r="10" spans="1:49" s="43" customFormat="1" ht="30" customHeight="1">
      <c r="A10" s="6">
        <v>3</v>
      </c>
      <c r="B10" s="15" t="s">
        <v>83</v>
      </c>
      <c r="C10" s="2"/>
      <c r="D10" s="3"/>
      <c r="E10" s="3"/>
      <c r="F10" s="28"/>
      <c r="G10" s="21"/>
      <c r="H10" s="21"/>
      <c r="I10" s="14"/>
      <c r="J10" s="21"/>
      <c r="K10" s="21"/>
      <c r="L10" s="14"/>
      <c r="M10" s="3"/>
      <c r="N10" s="3"/>
      <c r="O10" s="14"/>
      <c r="P10" s="21"/>
      <c r="Q10" s="21"/>
      <c r="R10" s="14"/>
      <c r="S10" s="21"/>
      <c r="T10" s="21"/>
      <c r="U10" s="14"/>
      <c r="V10" s="21"/>
      <c r="W10" s="21"/>
      <c r="X10" s="14"/>
      <c r="Y10" s="3"/>
      <c r="Z10" s="3"/>
      <c r="AA10" s="14"/>
      <c r="AB10" s="21"/>
      <c r="AC10" s="21"/>
      <c r="AD10" s="14"/>
      <c r="AE10" s="21"/>
      <c r="AF10" s="21"/>
      <c r="AG10" s="28" t="e">
        <f t="shared" si="8"/>
        <v>#DIV/0!</v>
      </c>
      <c r="AH10" s="21"/>
      <c r="AI10" s="21"/>
      <c r="AJ10" s="3"/>
      <c r="AK10" s="3"/>
      <c r="AL10" s="14"/>
      <c r="AM10" s="21"/>
      <c r="AN10" s="21"/>
      <c r="AO10" s="21"/>
      <c r="AP10" s="21"/>
      <c r="AQ10" s="21"/>
      <c r="AR10" s="21"/>
      <c r="AS10" s="3"/>
      <c r="AT10" s="3"/>
      <c r="AU10" s="14"/>
      <c r="AV10" s="14"/>
      <c r="AW10" s="4"/>
    </row>
    <row r="11" spans="1:49" s="43" customFormat="1" ht="24" customHeight="1">
      <c r="A11" s="6">
        <v>4</v>
      </c>
      <c r="B11" s="1" t="s">
        <v>63</v>
      </c>
      <c r="C11" s="2">
        <f>-28.9+12.6</f>
        <v>-16.299999999999997</v>
      </c>
      <c r="D11" s="3">
        <f>148.6+69.5</f>
        <v>218.1</v>
      </c>
      <c r="E11" s="3">
        <f>35.1</f>
        <v>35.1</v>
      </c>
      <c r="F11" s="14">
        <f t="shared" si="0"/>
        <v>16.09353507565337</v>
      </c>
      <c r="G11" s="3">
        <f>67.5+134.7</f>
        <v>202.2</v>
      </c>
      <c r="H11" s="3">
        <f>69.5+40.3</f>
        <v>109.8</v>
      </c>
      <c r="I11" s="14">
        <f t="shared" si="3"/>
        <v>54.3026706231454</v>
      </c>
      <c r="J11" s="3">
        <f>74.7+121.2</f>
        <v>195.9</v>
      </c>
      <c r="K11" s="3">
        <f>154.8+144</f>
        <v>298.8</v>
      </c>
      <c r="L11" s="14">
        <f>4.5</f>
        <v>4.5</v>
      </c>
      <c r="M11" s="3">
        <f t="shared" si="5"/>
        <v>616.1999999999999</v>
      </c>
      <c r="N11" s="3">
        <f t="shared" si="6"/>
        <v>443.70000000000005</v>
      </c>
      <c r="O11" s="14">
        <f t="shared" si="2"/>
        <v>72.00584225900684</v>
      </c>
      <c r="P11" s="3">
        <f>8.7+38.7</f>
        <v>47.400000000000006</v>
      </c>
      <c r="Q11" s="3">
        <f>69.5</f>
        <v>69.5</v>
      </c>
      <c r="R11" s="14">
        <f t="shared" si="7"/>
        <v>146.62447257383963</v>
      </c>
      <c r="S11" s="3">
        <v>0</v>
      </c>
      <c r="T11" s="3">
        <v>69.5</v>
      </c>
      <c r="U11" s="28" t="e">
        <f aca="true" t="shared" si="15" ref="U11:U19">T11/S11*100</f>
        <v>#DIV/0!</v>
      </c>
      <c r="V11" s="3">
        <v>0</v>
      </c>
      <c r="W11" s="3">
        <v>26.4</v>
      </c>
      <c r="X11" s="28" t="e">
        <f>W11/V11*100</f>
        <v>#DIV/0!</v>
      </c>
      <c r="Y11" s="3">
        <f aca="true" t="shared" si="16" ref="Y11:Y19">P11+S11+V11</f>
        <v>47.400000000000006</v>
      </c>
      <c r="Z11" s="3">
        <f aca="true" t="shared" si="17" ref="Z11:Z19">Q11+T11+W11</f>
        <v>165.4</v>
      </c>
      <c r="AA11" s="14">
        <f aca="true" t="shared" si="18" ref="AA11:AA28">Z11/Y11*100</f>
        <v>348.94514767932486</v>
      </c>
      <c r="AB11" s="3">
        <v>0</v>
      </c>
      <c r="AC11" s="3">
        <v>11.8</v>
      </c>
      <c r="AD11" s="28" t="e">
        <f>AC11/AB11*100</f>
        <v>#DIV/0!</v>
      </c>
      <c r="AE11" s="3"/>
      <c r="AF11" s="3"/>
      <c r="AG11" s="28" t="e">
        <f t="shared" si="8"/>
        <v>#DIV/0!</v>
      </c>
      <c r="AH11" s="3"/>
      <c r="AI11" s="3"/>
      <c r="AJ11" s="3">
        <f t="shared" si="9"/>
        <v>0</v>
      </c>
      <c r="AK11" s="3">
        <f t="shared" si="10"/>
        <v>11.8</v>
      </c>
      <c r="AL11" s="14" t="e">
        <f aca="true" t="shared" si="19" ref="AL11:AL28">AK11/AJ11*100</f>
        <v>#DIV/0!</v>
      </c>
      <c r="AM11" s="3"/>
      <c r="AN11" s="3"/>
      <c r="AO11" s="3"/>
      <c r="AP11" s="3"/>
      <c r="AQ11" s="3"/>
      <c r="AR11" s="3"/>
      <c r="AS11" s="3">
        <f t="shared" si="11"/>
        <v>663.5999999999999</v>
      </c>
      <c r="AT11" s="3">
        <f t="shared" si="12"/>
        <v>620.9</v>
      </c>
      <c r="AU11" s="14">
        <f>AT11/AS11*100</f>
        <v>93.56540084388186</v>
      </c>
      <c r="AV11" s="14">
        <f t="shared" si="13"/>
        <v>42.69999999999993</v>
      </c>
      <c r="AW11" s="4">
        <f t="shared" si="14"/>
        <v>26.399999999999977</v>
      </c>
    </row>
    <row r="12" spans="1:49" s="43" customFormat="1" ht="24" customHeight="1">
      <c r="A12" s="6">
        <v>5</v>
      </c>
      <c r="B12" s="1" t="s">
        <v>100</v>
      </c>
      <c r="C12" s="2">
        <v>-61.3</v>
      </c>
      <c r="D12" s="3">
        <v>308.7</v>
      </c>
      <c r="E12" s="3">
        <v>21.5</v>
      </c>
      <c r="F12" s="14">
        <f t="shared" si="0"/>
        <v>6.964690638160026</v>
      </c>
      <c r="G12" s="3">
        <v>345.8</v>
      </c>
      <c r="H12" s="3">
        <v>223.4</v>
      </c>
      <c r="I12" s="14">
        <f t="shared" si="3"/>
        <v>64.60381723539618</v>
      </c>
      <c r="J12" s="3">
        <v>324.9</v>
      </c>
      <c r="K12" s="3">
        <v>406.6</v>
      </c>
      <c r="L12" s="14">
        <f t="shared" si="4"/>
        <v>125.14619883040939</v>
      </c>
      <c r="M12" s="3">
        <f t="shared" si="5"/>
        <v>979.4</v>
      </c>
      <c r="N12" s="3">
        <f t="shared" si="6"/>
        <v>651.5</v>
      </c>
      <c r="O12" s="14">
        <f t="shared" si="2"/>
        <v>66.52031856238514</v>
      </c>
      <c r="P12" s="3">
        <v>30.4</v>
      </c>
      <c r="Q12" s="3">
        <v>138.5</v>
      </c>
      <c r="R12" s="14">
        <f t="shared" si="7"/>
        <v>455.59210526315786</v>
      </c>
      <c r="S12" s="3">
        <v>0</v>
      </c>
      <c r="T12" s="3">
        <v>56.2</v>
      </c>
      <c r="U12" s="14"/>
      <c r="V12" s="3">
        <v>0</v>
      </c>
      <c r="W12" s="3">
        <v>53.2</v>
      </c>
      <c r="X12" s="14"/>
      <c r="Y12" s="3">
        <f t="shared" si="16"/>
        <v>30.4</v>
      </c>
      <c r="Z12" s="3">
        <f t="shared" si="17"/>
        <v>247.89999999999998</v>
      </c>
      <c r="AA12" s="14">
        <f t="shared" si="18"/>
        <v>815.4605263157894</v>
      </c>
      <c r="AB12" s="3">
        <v>0</v>
      </c>
      <c r="AC12" s="3">
        <v>21.3</v>
      </c>
      <c r="AD12" s="14"/>
      <c r="AE12" s="3"/>
      <c r="AF12" s="3"/>
      <c r="AG12" s="28" t="e">
        <f t="shared" si="8"/>
        <v>#DIV/0!</v>
      </c>
      <c r="AH12" s="3"/>
      <c r="AI12" s="3"/>
      <c r="AJ12" s="3">
        <f t="shared" si="9"/>
        <v>0</v>
      </c>
      <c r="AK12" s="3">
        <f t="shared" si="10"/>
        <v>21.3</v>
      </c>
      <c r="AL12" s="14" t="e">
        <f t="shared" si="19"/>
        <v>#DIV/0!</v>
      </c>
      <c r="AM12" s="3"/>
      <c r="AN12" s="3"/>
      <c r="AO12" s="3"/>
      <c r="AP12" s="3"/>
      <c r="AQ12" s="3"/>
      <c r="AR12" s="3"/>
      <c r="AS12" s="3">
        <f t="shared" si="11"/>
        <v>1009.8</v>
      </c>
      <c r="AT12" s="3">
        <f t="shared" si="12"/>
        <v>920.6999999999999</v>
      </c>
      <c r="AU12" s="14">
        <f>AT12/AS12*100</f>
        <v>91.17647058823529</v>
      </c>
      <c r="AV12" s="14">
        <f t="shared" si="13"/>
        <v>89.10000000000002</v>
      </c>
      <c r="AW12" s="4">
        <f t="shared" si="14"/>
        <v>27.800000000000068</v>
      </c>
    </row>
    <row r="13" spans="1:49" s="43" customFormat="1" ht="24" customHeight="1">
      <c r="A13" s="6">
        <v>6</v>
      </c>
      <c r="B13" s="1" t="s">
        <v>101</v>
      </c>
      <c r="C13" s="2">
        <v>98.5</v>
      </c>
      <c r="D13" s="3">
        <v>135.7</v>
      </c>
      <c r="E13" s="3">
        <v>31.3</v>
      </c>
      <c r="F13" s="14">
        <f t="shared" si="0"/>
        <v>23.065585851142227</v>
      </c>
      <c r="G13" s="3">
        <v>116.1</v>
      </c>
      <c r="H13" s="3">
        <v>114.5</v>
      </c>
      <c r="I13" s="14">
        <f t="shared" si="3"/>
        <v>98.62187769164514</v>
      </c>
      <c r="J13" s="3">
        <v>122.5</v>
      </c>
      <c r="K13" s="3">
        <v>192</v>
      </c>
      <c r="L13" s="14">
        <f t="shared" si="4"/>
        <v>156.73469387755102</v>
      </c>
      <c r="M13" s="3">
        <f t="shared" si="5"/>
        <v>374.29999999999995</v>
      </c>
      <c r="N13" s="3">
        <f t="shared" si="6"/>
        <v>337.8</v>
      </c>
      <c r="O13" s="14">
        <f t="shared" si="2"/>
        <v>90.24846379909165</v>
      </c>
      <c r="P13" s="3">
        <v>11.5</v>
      </c>
      <c r="Q13" s="3">
        <v>31</v>
      </c>
      <c r="R13" s="14">
        <f t="shared" si="7"/>
        <v>269.5652173913044</v>
      </c>
      <c r="S13" s="3">
        <v>0</v>
      </c>
      <c r="T13" s="3">
        <v>20.8</v>
      </c>
      <c r="U13" s="14"/>
      <c r="V13" s="3">
        <v>0</v>
      </c>
      <c r="W13" s="3">
        <v>13.7</v>
      </c>
      <c r="X13" s="14"/>
      <c r="Y13" s="3">
        <f t="shared" si="16"/>
        <v>11.5</v>
      </c>
      <c r="Z13" s="3">
        <f t="shared" si="17"/>
        <v>65.5</v>
      </c>
      <c r="AA13" s="28">
        <f t="shared" si="18"/>
        <v>569.5652173913044</v>
      </c>
      <c r="AB13" s="3">
        <v>0</v>
      </c>
      <c r="AC13" s="3">
        <v>28.5</v>
      </c>
      <c r="AD13" s="14"/>
      <c r="AE13" s="3"/>
      <c r="AF13" s="3"/>
      <c r="AG13" s="28" t="e">
        <f t="shared" si="8"/>
        <v>#DIV/0!</v>
      </c>
      <c r="AH13" s="3"/>
      <c r="AI13" s="3"/>
      <c r="AJ13" s="3">
        <f t="shared" si="9"/>
        <v>0</v>
      </c>
      <c r="AK13" s="3">
        <f t="shared" si="10"/>
        <v>28.5</v>
      </c>
      <c r="AL13" s="28" t="e">
        <f t="shared" si="19"/>
        <v>#DIV/0!</v>
      </c>
      <c r="AM13" s="3"/>
      <c r="AN13" s="3"/>
      <c r="AO13" s="3"/>
      <c r="AP13" s="3"/>
      <c r="AQ13" s="3"/>
      <c r="AR13" s="3"/>
      <c r="AS13" s="3">
        <f t="shared" si="11"/>
        <v>385.79999999999995</v>
      </c>
      <c r="AT13" s="3">
        <f t="shared" si="12"/>
        <v>431.8</v>
      </c>
      <c r="AU13" s="14">
        <f>AT13/AS13*100</f>
        <v>111.92327630896838</v>
      </c>
      <c r="AV13" s="14">
        <f t="shared" si="13"/>
        <v>-46.00000000000006</v>
      </c>
      <c r="AW13" s="4">
        <f t="shared" si="14"/>
        <v>52.49999999999994</v>
      </c>
    </row>
    <row r="14" spans="1:49" s="43" customFormat="1" ht="24" customHeight="1">
      <c r="A14" s="6">
        <v>7</v>
      </c>
      <c r="B14" s="1" t="s">
        <v>102</v>
      </c>
      <c r="C14" s="2">
        <v>-56</v>
      </c>
      <c r="D14" s="3">
        <v>206.9</v>
      </c>
      <c r="E14" s="3">
        <v>0</v>
      </c>
      <c r="F14" s="14">
        <f t="shared" si="0"/>
        <v>0</v>
      </c>
      <c r="G14" s="44">
        <v>263.1</v>
      </c>
      <c r="H14" s="44">
        <v>204.6</v>
      </c>
      <c r="I14" s="14">
        <f t="shared" si="3"/>
        <v>77.76510832383123</v>
      </c>
      <c r="J14" s="44">
        <v>263.2</v>
      </c>
      <c r="K14" s="44">
        <v>427.5</v>
      </c>
      <c r="L14" s="14">
        <f t="shared" si="4"/>
        <v>162.42401215805472</v>
      </c>
      <c r="M14" s="3">
        <f t="shared" si="5"/>
        <v>733.2</v>
      </c>
      <c r="N14" s="3">
        <f t="shared" si="6"/>
        <v>632.1</v>
      </c>
      <c r="O14" s="14">
        <f t="shared" si="2"/>
        <v>86.21112929623568</v>
      </c>
      <c r="P14" s="44">
        <v>41.5</v>
      </c>
      <c r="Q14" s="44">
        <v>41.5</v>
      </c>
      <c r="R14" s="14">
        <f t="shared" si="7"/>
        <v>100</v>
      </c>
      <c r="S14" s="44">
        <v>0</v>
      </c>
      <c r="T14" s="44">
        <v>0</v>
      </c>
      <c r="U14" s="14"/>
      <c r="V14" s="44">
        <v>0</v>
      </c>
      <c r="W14" s="44">
        <v>22.5</v>
      </c>
      <c r="X14" s="14"/>
      <c r="Y14" s="3">
        <f t="shared" si="16"/>
        <v>41.5</v>
      </c>
      <c r="Z14" s="3">
        <f t="shared" si="17"/>
        <v>64</v>
      </c>
      <c r="AA14" s="14">
        <f t="shared" si="18"/>
        <v>154.21686746987953</v>
      </c>
      <c r="AB14" s="44"/>
      <c r="AC14" s="44"/>
      <c r="AD14" s="14"/>
      <c r="AE14" s="44"/>
      <c r="AF14" s="44"/>
      <c r="AG14" s="33" t="e">
        <f t="shared" si="8"/>
        <v>#DIV/0!</v>
      </c>
      <c r="AH14" s="44"/>
      <c r="AI14" s="44"/>
      <c r="AJ14" s="3">
        <f t="shared" si="9"/>
        <v>0</v>
      </c>
      <c r="AK14" s="3">
        <f t="shared" si="10"/>
        <v>0</v>
      </c>
      <c r="AL14" s="14" t="e">
        <f t="shared" si="19"/>
        <v>#DIV/0!</v>
      </c>
      <c r="AM14" s="44"/>
      <c r="AN14" s="44"/>
      <c r="AO14" s="44"/>
      <c r="AP14" s="44"/>
      <c r="AQ14" s="44"/>
      <c r="AR14" s="44"/>
      <c r="AS14" s="3">
        <f t="shared" si="11"/>
        <v>774.7</v>
      </c>
      <c r="AT14" s="3">
        <f t="shared" si="12"/>
        <v>696.1</v>
      </c>
      <c r="AU14" s="14">
        <f aca="true" t="shared" si="20" ref="AU14:AU22">AT14/AS14*100</f>
        <v>89.85413708532334</v>
      </c>
      <c r="AV14" s="14">
        <f t="shared" si="13"/>
        <v>78.60000000000002</v>
      </c>
      <c r="AW14" s="4">
        <f t="shared" si="14"/>
        <v>22.600000000000023</v>
      </c>
    </row>
    <row r="15" spans="1:49" s="43" customFormat="1" ht="24" customHeight="1">
      <c r="A15" s="6">
        <v>8</v>
      </c>
      <c r="B15" s="1" t="s">
        <v>103</v>
      </c>
      <c r="C15" s="2">
        <v>158.6</v>
      </c>
      <c r="D15" s="3">
        <v>592.8</v>
      </c>
      <c r="E15" s="3">
        <v>207</v>
      </c>
      <c r="F15" s="14">
        <f t="shared" si="0"/>
        <v>34.91902834008098</v>
      </c>
      <c r="G15" s="3">
        <v>576.1</v>
      </c>
      <c r="H15" s="3">
        <v>507.6</v>
      </c>
      <c r="I15" s="14">
        <f t="shared" si="3"/>
        <v>88.10970317653185</v>
      </c>
      <c r="J15" s="3">
        <v>541.6</v>
      </c>
      <c r="K15" s="3">
        <v>613</v>
      </c>
      <c r="L15" s="14">
        <f t="shared" si="4"/>
        <v>113.18316100443131</v>
      </c>
      <c r="M15" s="3">
        <f t="shared" si="5"/>
        <v>1710.5</v>
      </c>
      <c r="N15" s="3">
        <f t="shared" si="6"/>
        <v>1327.6</v>
      </c>
      <c r="O15" s="14">
        <f t="shared" si="2"/>
        <v>77.61473253434667</v>
      </c>
      <c r="P15" s="3">
        <v>78.5</v>
      </c>
      <c r="Q15" s="3">
        <v>452.2</v>
      </c>
      <c r="R15" s="14">
        <f t="shared" si="7"/>
        <v>576.0509554140127</v>
      </c>
      <c r="S15" s="3">
        <v>0</v>
      </c>
      <c r="T15" s="3">
        <v>10.4</v>
      </c>
      <c r="U15" s="14"/>
      <c r="V15" s="3">
        <v>0</v>
      </c>
      <c r="W15" s="3">
        <v>22.3</v>
      </c>
      <c r="X15" s="14"/>
      <c r="Y15" s="3">
        <f t="shared" si="16"/>
        <v>78.5</v>
      </c>
      <c r="Z15" s="3">
        <f t="shared" si="17"/>
        <v>484.9</v>
      </c>
      <c r="AA15" s="14">
        <f t="shared" si="18"/>
        <v>617.7070063694267</v>
      </c>
      <c r="AB15" s="3">
        <v>0</v>
      </c>
      <c r="AC15" s="3">
        <v>0</v>
      </c>
      <c r="AD15" s="14"/>
      <c r="AE15" s="3"/>
      <c r="AF15" s="3"/>
      <c r="AG15" s="28" t="e">
        <f t="shared" si="8"/>
        <v>#DIV/0!</v>
      </c>
      <c r="AH15" s="3"/>
      <c r="AI15" s="3"/>
      <c r="AJ15" s="3">
        <f t="shared" si="9"/>
        <v>0</v>
      </c>
      <c r="AK15" s="3">
        <f t="shared" si="10"/>
        <v>0</v>
      </c>
      <c r="AL15" s="14" t="e">
        <f t="shared" si="19"/>
        <v>#DIV/0!</v>
      </c>
      <c r="AM15" s="3"/>
      <c r="AN15" s="3"/>
      <c r="AO15" s="3"/>
      <c r="AP15" s="3"/>
      <c r="AQ15" s="3"/>
      <c r="AR15" s="3"/>
      <c r="AS15" s="3">
        <f t="shared" si="11"/>
        <v>1789</v>
      </c>
      <c r="AT15" s="3">
        <f t="shared" si="12"/>
        <v>1812.5</v>
      </c>
      <c r="AU15" s="14">
        <f t="shared" si="20"/>
        <v>101.31358300726663</v>
      </c>
      <c r="AV15" s="14">
        <f t="shared" si="13"/>
        <v>-23.5</v>
      </c>
      <c r="AW15" s="4">
        <f t="shared" si="14"/>
        <v>135.0999999999999</v>
      </c>
    </row>
    <row r="16" spans="1:49" s="43" customFormat="1" ht="24" customHeight="1">
      <c r="A16" s="6">
        <v>9</v>
      </c>
      <c r="B16" s="1" t="s">
        <v>104</v>
      </c>
      <c r="C16" s="2">
        <v>4.1</v>
      </c>
      <c r="D16" s="3">
        <v>61</v>
      </c>
      <c r="E16" s="3">
        <v>0</v>
      </c>
      <c r="F16" s="14">
        <f t="shared" si="0"/>
        <v>0</v>
      </c>
      <c r="G16" s="3">
        <v>52</v>
      </c>
      <c r="H16" s="3">
        <v>42.7</v>
      </c>
      <c r="I16" s="14">
        <f t="shared" si="3"/>
        <v>82.11538461538463</v>
      </c>
      <c r="J16" s="3">
        <v>52.9</v>
      </c>
      <c r="K16" s="3">
        <v>115.1</v>
      </c>
      <c r="L16" s="14">
        <f t="shared" si="4"/>
        <v>217.5803402646503</v>
      </c>
      <c r="M16" s="3">
        <f t="shared" si="5"/>
        <v>165.9</v>
      </c>
      <c r="N16" s="3">
        <f t="shared" si="6"/>
        <v>157.8</v>
      </c>
      <c r="O16" s="14">
        <f t="shared" si="2"/>
        <v>95.11754068716094</v>
      </c>
      <c r="P16" s="3">
        <v>4.6</v>
      </c>
      <c r="Q16" s="3">
        <v>3.6</v>
      </c>
      <c r="R16" s="14">
        <f t="shared" si="7"/>
        <v>78.26086956521739</v>
      </c>
      <c r="S16" s="3">
        <v>0</v>
      </c>
      <c r="T16" s="3">
        <v>13.2</v>
      </c>
      <c r="U16" s="28" t="e">
        <f t="shared" si="15"/>
        <v>#DIV/0!</v>
      </c>
      <c r="V16" s="3">
        <v>0</v>
      </c>
      <c r="W16" s="3">
        <v>0</v>
      </c>
      <c r="X16" s="28" t="e">
        <f>W16/V16*100</f>
        <v>#DIV/0!</v>
      </c>
      <c r="Y16" s="3">
        <f t="shared" si="16"/>
        <v>4.6</v>
      </c>
      <c r="Z16" s="3">
        <f t="shared" si="17"/>
        <v>16.8</v>
      </c>
      <c r="AA16" s="14">
        <f t="shared" si="18"/>
        <v>365.21739130434787</v>
      </c>
      <c r="AB16" s="3">
        <v>0</v>
      </c>
      <c r="AC16" s="3">
        <v>0</v>
      </c>
      <c r="AD16" s="28" t="e">
        <f>AC16/AB16*100</f>
        <v>#DIV/0!</v>
      </c>
      <c r="AE16" s="3"/>
      <c r="AF16" s="3"/>
      <c r="AG16" s="28"/>
      <c r="AH16" s="3"/>
      <c r="AI16" s="3"/>
      <c r="AJ16" s="3">
        <f t="shared" si="9"/>
        <v>0</v>
      </c>
      <c r="AK16" s="3">
        <f t="shared" si="10"/>
        <v>0</v>
      </c>
      <c r="AL16" s="28" t="e">
        <f t="shared" si="19"/>
        <v>#DIV/0!</v>
      </c>
      <c r="AM16" s="3"/>
      <c r="AN16" s="3"/>
      <c r="AO16" s="3"/>
      <c r="AP16" s="3"/>
      <c r="AQ16" s="3"/>
      <c r="AR16" s="3"/>
      <c r="AS16" s="3">
        <f t="shared" si="11"/>
        <v>170.5</v>
      </c>
      <c r="AT16" s="3">
        <f t="shared" si="12"/>
        <v>174.60000000000002</v>
      </c>
      <c r="AU16" s="14">
        <f t="shared" si="20"/>
        <v>102.40469208211145</v>
      </c>
      <c r="AV16" s="14">
        <f t="shared" si="13"/>
        <v>-4.100000000000023</v>
      </c>
      <c r="AW16" s="4">
        <f t="shared" si="14"/>
        <v>0</v>
      </c>
    </row>
    <row r="17" spans="1:49" s="43" customFormat="1" ht="24" customHeight="1">
      <c r="A17" s="6">
        <v>10</v>
      </c>
      <c r="B17" s="15" t="s">
        <v>105</v>
      </c>
      <c r="C17" s="2">
        <f>-0.3+(-520.6)</f>
        <v>-520.9</v>
      </c>
      <c r="D17" s="3">
        <v>1098.2</v>
      </c>
      <c r="E17" s="3">
        <v>0</v>
      </c>
      <c r="F17" s="14">
        <f t="shared" si="0"/>
        <v>0</v>
      </c>
      <c r="G17" s="3">
        <v>999</v>
      </c>
      <c r="H17" s="3">
        <v>30.5</v>
      </c>
      <c r="I17" s="14">
        <f t="shared" si="3"/>
        <v>3.053053053053053</v>
      </c>
      <c r="J17" s="3">
        <v>927.9</v>
      </c>
      <c r="K17" s="3">
        <v>804.7</v>
      </c>
      <c r="L17" s="14">
        <f t="shared" si="4"/>
        <v>86.72270718827461</v>
      </c>
      <c r="M17" s="3">
        <f t="shared" si="5"/>
        <v>3025.1</v>
      </c>
      <c r="N17" s="3">
        <f t="shared" si="6"/>
        <v>835.2</v>
      </c>
      <c r="O17" s="14">
        <f t="shared" si="2"/>
        <v>27.609004661002945</v>
      </c>
      <c r="P17" s="3">
        <v>102.4</v>
      </c>
      <c r="Q17" s="3">
        <v>727.1</v>
      </c>
      <c r="R17" s="14">
        <f t="shared" si="7"/>
        <v>710.05859375</v>
      </c>
      <c r="S17" s="3">
        <v>0</v>
      </c>
      <c r="T17" s="3">
        <v>77</v>
      </c>
      <c r="U17" s="14"/>
      <c r="V17" s="3">
        <v>0</v>
      </c>
      <c r="W17" s="3">
        <v>50</v>
      </c>
      <c r="X17" s="14"/>
      <c r="Y17" s="3">
        <f t="shared" si="16"/>
        <v>102.4</v>
      </c>
      <c r="Z17" s="3">
        <f t="shared" si="17"/>
        <v>854.1</v>
      </c>
      <c r="AA17" s="14">
        <f t="shared" si="18"/>
        <v>834.08203125</v>
      </c>
      <c r="AB17" s="3">
        <v>0</v>
      </c>
      <c r="AC17" s="3">
        <v>100</v>
      </c>
      <c r="AD17" s="14"/>
      <c r="AE17" s="3"/>
      <c r="AF17" s="3"/>
      <c r="AG17" s="28" t="e">
        <f>AF17/AE17*100</f>
        <v>#DIV/0!</v>
      </c>
      <c r="AH17" s="3"/>
      <c r="AI17" s="3"/>
      <c r="AJ17" s="3">
        <f t="shared" si="9"/>
        <v>0</v>
      </c>
      <c r="AK17" s="3">
        <f t="shared" si="10"/>
        <v>100</v>
      </c>
      <c r="AL17" s="14" t="e">
        <f t="shared" si="19"/>
        <v>#DIV/0!</v>
      </c>
      <c r="AM17" s="3"/>
      <c r="AN17" s="3"/>
      <c r="AO17" s="3"/>
      <c r="AP17" s="3"/>
      <c r="AQ17" s="3"/>
      <c r="AR17" s="3"/>
      <c r="AS17" s="3">
        <f t="shared" si="11"/>
        <v>3127.5</v>
      </c>
      <c r="AT17" s="3">
        <f t="shared" si="12"/>
        <v>1789.3000000000002</v>
      </c>
      <c r="AU17" s="14">
        <f t="shared" si="20"/>
        <v>57.21183053557155</v>
      </c>
      <c r="AV17" s="14">
        <f t="shared" si="13"/>
        <v>1338.1999999999998</v>
      </c>
      <c r="AW17" s="4">
        <f t="shared" si="14"/>
        <v>817.2999999999997</v>
      </c>
    </row>
    <row r="18" spans="1:49" ht="24" customHeight="1">
      <c r="A18" s="6">
        <v>11</v>
      </c>
      <c r="B18" s="15" t="s">
        <v>106</v>
      </c>
      <c r="C18" s="2">
        <v>35.6</v>
      </c>
      <c r="D18" s="3">
        <v>96</v>
      </c>
      <c r="E18" s="3">
        <v>0</v>
      </c>
      <c r="F18" s="14">
        <f t="shared" si="0"/>
        <v>0</v>
      </c>
      <c r="G18" s="3">
        <v>99.9</v>
      </c>
      <c r="H18" s="3">
        <v>72.5</v>
      </c>
      <c r="I18" s="14">
        <f t="shared" si="3"/>
        <v>72.57257257257257</v>
      </c>
      <c r="J18" s="3">
        <v>124.1</v>
      </c>
      <c r="K18" s="3">
        <v>154.6</v>
      </c>
      <c r="L18" s="14">
        <f t="shared" si="4"/>
        <v>124.57695406929896</v>
      </c>
      <c r="M18" s="3">
        <f t="shared" si="5"/>
        <v>320</v>
      </c>
      <c r="N18" s="3">
        <f t="shared" si="6"/>
        <v>227.1</v>
      </c>
      <c r="O18" s="14">
        <f t="shared" si="2"/>
        <v>70.96875</v>
      </c>
      <c r="P18" s="3">
        <v>33.1</v>
      </c>
      <c r="Q18" s="3">
        <v>26.5</v>
      </c>
      <c r="R18" s="14">
        <f t="shared" si="7"/>
        <v>80.06042296072508</v>
      </c>
      <c r="S18" s="3">
        <v>0</v>
      </c>
      <c r="T18" s="3">
        <v>22.2</v>
      </c>
      <c r="U18" s="28" t="e">
        <f t="shared" si="15"/>
        <v>#DIV/0!</v>
      </c>
      <c r="V18" s="3">
        <v>0</v>
      </c>
      <c r="W18" s="3">
        <v>22.6</v>
      </c>
      <c r="X18" s="28" t="e">
        <f>W18/V18*100</f>
        <v>#DIV/0!</v>
      </c>
      <c r="Y18" s="3">
        <f t="shared" si="16"/>
        <v>33.1</v>
      </c>
      <c r="Z18" s="3">
        <f t="shared" si="17"/>
        <v>71.30000000000001</v>
      </c>
      <c r="AA18" s="14">
        <f t="shared" si="18"/>
        <v>215.4078549848943</v>
      </c>
      <c r="AB18" s="3">
        <v>0</v>
      </c>
      <c r="AC18" s="3">
        <v>22.6</v>
      </c>
      <c r="AD18" s="28" t="e">
        <f>AC18/AB18*100</f>
        <v>#DIV/0!</v>
      </c>
      <c r="AE18" s="3"/>
      <c r="AF18" s="3"/>
      <c r="AG18" s="28" t="e">
        <f>AF18/AE18*100</f>
        <v>#DIV/0!</v>
      </c>
      <c r="AH18" s="3"/>
      <c r="AI18" s="3"/>
      <c r="AJ18" s="3">
        <f t="shared" si="9"/>
        <v>0</v>
      </c>
      <c r="AK18" s="3">
        <f t="shared" si="10"/>
        <v>22.6</v>
      </c>
      <c r="AL18" s="28" t="e">
        <f t="shared" si="19"/>
        <v>#DIV/0!</v>
      </c>
      <c r="AM18" s="3"/>
      <c r="AN18" s="3"/>
      <c r="AO18" s="3"/>
      <c r="AP18" s="3"/>
      <c r="AQ18" s="3"/>
      <c r="AR18" s="3"/>
      <c r="AS18" s="3">
        <f t="shared" si="11"/>
        <v>353.1</v>
      </c>
      <c r="AT18" s="3">
        <f t="shared" si="12"/>
        <v>321</v>
      </c>
      <c r="AU18" s="14">
        <f t="shared" si="20"/>
        <v>90.9090909090909</v>
      </c>
      <c r="AV18" s="14">
        <f t="shared" si="13"/>
        <v>32.10000000000002</v>
      </c>
      <c r="AW18" s="4">
        <f t="shared" si="14"/>
        <v>67.70000000000005</v>
      </c>
    </row>
    <row r="19" spans="1:49" s="43" customFormat="1" ht="24" customHeight="1">
      <c r="A19" s="6">
        <v>12</v>
      </c>
      <c r="B19" s="1" t="s">
        <v>107</v>
      </c>
      <c r="C19" s="2">
        <v>22.2</v>
      </c>
      <c r="D19" s="3">
        <v>198</v>
      </c>
      <c r="E19" s="3">
        <v>32.4</v>
      </c>
      <c r="F19" s="14">
        <f t="shared" si="0"/>
        <v>16.363636363636363</v>
      </c>
      <c r="G19" s="3">
        <v>225</v>
      </c>
      <c r="H19" s="3">
        <v>186.2</v>
      </c>
      <c r="I19" s="14">
        <f t="shared" si="3"/>
        <v>82.75555555555555</v>
      </c>
      <c r="J19" s="3">
        <v>255.2</v>
      </c>
      <c r="K19" s="3">
        <v>353.5</v>
      </c>
      <c r="L19" s="14">
        <f t="shared" si="4"/>
        <v>138.51880877742948</v>
      </c>
      <c r="M19" s="3">
        <f t="shared" si="5"/>
        <v>678.2</v>
      </c>
      <c r="N19" s="3">
        <f t="shared" si="6"/>
        <v>572.1</v>
      </c>
      <c r="O19" s="14">
        <f t="shared" si="2"/>
        <v>84.35564730168092</v>
      </c>
      <c r="P19" s="3">
        <v>33.5</v>
      </c>
      <c r="Q19" s="3">
        <v>3.2</v>
      </c>
      <c r="R19" s="14">
        <f t="shared" si="7"/>
        <v>9.55223880597015</v>
      </c>
      <c r="S19" s="3">
        <v>0</v>
      </c>
      <c r="T19" s="3">
        <v>53.8</v>
      </c>
      <c r="U19" s="28" t="e">
        <f t="shared" si="15"/>
        <v>#DIV/0!</v>
      </c>
      <c r="V19" s="3">
        <v>0</v>
      </c>
      <c r="W19" s="3">
        <v>-1.9</v>
      </c>
      <c r="X19" s="28" t="e">
        <f>W19/V19*100</f>
        <v>#DIV/0!</v>
      </c>
      <c r="Y19" s="3">
        <f t="shared" si="16"/>
        <v>33.5</v>
      </c>
      <c r="Z19" s="3">
        <f t="shared" si="17"/>
        <v>55.1</v>
      </c>
      <c r="AA19" s="28">
        <f t="shared" si="18"/>
        <v>164.47761194029852</v>
      </c>
      <c r="AB19" s="3"/>
      <c r="AC19" s="3"/>
      <c r="AD19" s="28" t="e">
        <f>AC19/AB19*100</f>
        <v>#DIV/0!</v>
      </c>
      <c r="AE19" s="3"/>
      <c r="AF19" s="3"/>
      <c r="AG19" s="28" t="e">
        <f>AF19/AE19*100</f>
        <v>#DIV/0!</v>
      </c>
      <c r="AH19" s="3"/>
      <c r="AI19" s="3"/>
      <c r="AJ19" s="3">
        <f t="shared" si="9"/>
        <v>0</v>
      </c>
      <c r="AK19" s="3">
        <f t="shared" si="10"/>
        <v>0</v>
      </c>
      <c r="AL19" s="28" t="e">
        <f t="shared" si="19"/>
        <v>#DIV/0!</v>
      </c>
      <c r="AM19" s="3"/>
      <c r="AN19" s="3"/>
      <c r="AO19" s="3"/>
      <c r="AP19" s="3"/>
      <c r="AQ19" s="3"/>
      <c r="AR19" s="3"/>
      <c r="AS19" s="3">
        <f t="shared" si="11"/>
        <v>711.7</v>
      </c>
      <c r="AT19" s="3">
        <f t="shared" si="12"/>
        <v>627.2</v>
      </c>
      <c r="AU19" s="14">
        <f t="shared" si="20"/>
        <v>88.12701981171843</v>
      </c>
      <c r="AV19" s="14">
        <f t="shared" si="13"/>
        <v>84.5</v>
      </c>
      <c r="AW19" s="4">
        <f t="shared" si="14"/>
        <v>106.70000000000005</v>
      </c>
    </row>
    <row r="20" spans="1:49" s="43" customFormat="1" ht="24" customHeight="1">
      <c r="A20" s="6">
        <v>13</v>
      </c>
      <c r="B20" s="15" t="s">
        <v>108</v>
      </c>
      <c r="C20" s="2"/>
      <c r="D20" s="21">
        <v>0</v>
      </c>
      <c r="E20" s="21">
        <v>0</v>
      </c>
      <c r="F20" s="28" t="e">
        <f t="shared" si="0"/>
        <v>#DIV/0!</v>
      </c>
      <c r="G20" s="21"/>
      <c r="H20" s="21"/>
      <c r="I20" s="28" t="e">
        <f t="shared" si="3"/>
        <v>#DIV/0!</v>
      </c>
      <c r="J20" s="21"/>
      <c r="K20" s="21"/>
      <c r="L20" s="14"/>
      <c r="M20" s="3"/>
      <c r="N20" s="3"/>
      <c r="O20" s="28" t="e">
        <f t="shared" si="2"/>
        <v>#DIV/0!</v>
      </c>
      <c r="P20" s="21"/>
      <c r="Q20" s="21"/>
      <c r="R20" s="14"/>
      <c r="S20" s="21"/>
      <c r="T20" s="21"/>
      <c r="U20" s="14"/>
      <c r="V20" s="21"/>
      <c r="W20" s="21"/>
      <c r="X20" s="14"/>
      <c r="Y20" s="3"/>
      <c r="Z20" s="3"/>
      <c r="AA20" s="28" t="e">
        <f t="shared" si="18"/>
        <v>#DIV/0!</v>
      </c>
      <c r="AB20" s="21"/>
      <c r="AC20" s="21"/>
      <c r="AD20" s="14"/>
      <c r="AE20" s="21"/>
      <c r="AF20" s="21"/>
      <c r="AG20" s="28"/>
      <c r="AH20" s="21"/>
      <c r="AI20" s="21"/>
      <c r="AJ20" s="3"/>
      <c r="AK20" s="3"/>
      <c r="AL20" s="28" t="e">
        <f t="shared" si="19"/>
        <v>#DIV/0!</v>
      </c>
      <c r="AM20" s="21"/>
      <c r="AN20" s="21"/>
      <c r="AO20" s="21"/>
      <c r="AP20" s="21"/>
      <c r="AQ20" s="21"/>
      <c r="AR20" s="21"/>
      <c r="AS20" s="3"/>
      <c r="AT20" s="3"/>
      <c r="AU20" s="14"/>
      <c r="AV20" s="14"/>
      <c r="AW20" s="4"/>
    </row>
    <row r="21" spans="1:49" ht="24" customHeight="1">
      <c r="A21" s="6">
        <v>14</v>
      </c>
      <c r="B21" s="15" t="s">
        <v>109</v>
      </c>
      <c r="C21" s="2"/>
      <c r="D21" s="21"/>
      <c r="E21" s="21"/>
      <c r="F21" s="28" t="e">
        <f t="shared" si="0"/>
        <v>#DIV/0!</v>
      </c>
      <c r="G21" s="21"/>
      <c r="H21" s="21"/>
      <c r="I21" s="28" t="e">
        <f t="shared" si="3"/>
        <v>#DIV/0!</v>
      </c>
      <c r="J21" s="21"/>
      <c r="K21" s="21"/>
      <c r="L21" s="14"/>
      <c r="M21" s="3"/>
      <c r="N21" s="3"/>
      <c r="O21" s="28" t="e">
        <f t="shared" si="2"/>
        <v>#DIV/0!</v>
      </c>
      <c r="P21" s="21"/>
      <c r="Q21" s="21"/>
      <c r="R21" s="14"/>
      <c r="S21" s="21"/>
      <c r="T21" s="21"/>
      <c r="U21" s="14"/>
      <c r="V21" s="21"/>
      <c r="W21" s="21"/>
      <c r="X21" s="14"/>
      <c r="Y21" s="3"/>
      <c r="Z21" s="3"/>
      <c r="AA21" s="28" t="e">
        <f t="shared" si="18"/>
        <v>#DIV/0!</v>
      </c>
      <c r="AB21" s="21"/>
      <c r="AC21" s="21"/>
      <c r="AD21" s="14"/>
      <c r="AE21" s="21"/>
      <c r="AF21" s="21"/>
      <c r="AG21" s="28"/>
      <c r="AH21" s="21"/>
      <c r="AI21" s="21"/>
      <c r="AJ21" s="3"/>
      <c r="AK21" s="3"/>
      <c r="AL21" s="28" t="e">
        <f t="shared" si="19"/>
        <v>#DIV/0!</v>
      </c>
      <c r="AM21" s="21"/>
      <c r="AN21" s="21"/>
      <c r="AO21" s="21"/>
      <c r="AP21" s="21"/>
      <c r="AQ21" s="21"/>
      <c r="AR21" s="21"/>
      <c r="AS21" s="3"/>
      <c r="AT21" s="3"/>
      <c r="AU21" s="14"/>
      <c r="AV21" s="14"/>
      <c r="AW21" s="4"/>
    </row>
    <row r="22" spans="1:49" ht="31.5" customHeight="1">
      <c r="A22" s="6">
        <v>15</v>
      </c>
      <c r="B22" s="15" t="s">
        <v>110</v>
      </c>
      <c r="C22" s="2">
        <v>31.3</v>
      </c>
      <c r="D22" s="3">
        <v>108.6</v>
      </c>
      <c r="E22" s="3">
        <v>20.9</v>
      </c>
      <c r="F22" s="14">
        <f>E22/D22*100</f>
        <v>19.244935543278086</v>
      </c>
      <c r="G22" s="44">
        <v>157.5</v>
      </c>
      <c r="H22" s="44">
        <v>46.2</v>
      </c>
      <c r="I22" s="14">
        <f t="shared" si="3"/>
        <v>29.333333333333332</v>
      </c>
      <c r="J22" s="44">
        <v>161.5</v>
      </c>
      <c r="K22" s="44">
        <v>134.6</v>
      </c>
      <c r="L22" s="14">
        <f t="shared" si="4"/>
        <v>83.34365325077398</v>
      </c>
      <c r="M22" s="3">
        <f t="shared" si="5"/>
        <v>427.6</v>
      </c>
      <c r="N22" s="3">
        <f t="shared" si="6"/>
        <v>201.7</v>
      </c>
      <c r="O22" s="14">
        <f t="shared" si="2"/>
        <v>47.17025257249766</v>
      </c>
      <c r="P22" s="44">
        <v>10.7</v>
      </c>
      <c r="Q22" s="44">
        <v>64.7</v>
      </c>
      <c r="R22" s="14">
        <f t="shared" si="7"/>
        <v>604.6728971962618</v>
      </c>
      <c r="S22" s="44">
        <v>0</v>
      </c>
      <c r="T22" s="44">
        <v>27.1</v>
      </c>
      <c r="U22" s="28" t="e">
        <f>T22/S22*100</f>
        <v>#DIV/0!</v>
      </c>
      <c r="V22" s="44">
        <v>0</v>
      </c>
      <c r="W22" s="44">
        <v>42.1</v>
      </c>
      <c r="X22" s="28" t="e">
        <f>W22/V22*100</f>
        <v>#DIV/0!</v>
      </c>
      <c r="Y22" s="3">
        <f>P22+S22+V22</f>
        <v>10.7</v>
      </c>
      <c r="Z22" s="3">
        <f>Q22+T22+W22</f>
        <v>133.9</v>
      </c>
      <c r="AA22" s="28">
        <f t="shared" si="18"/>
        <v>1251.4018691588785</v>
      </c>
      <c r="AB22" s="44">
        <v>0</v>
      </c>
      <c r="AC22" s="44">
        <v>9</v>
      </c>
      <c r="AD22" s="28" t="e">
        <f>AC22/AB22*100</f>
        <v>#DIV/0!</v>
      </c>
      <c r="AE22" s="3"/>
      <c r="AF22" s="3"/>
      <c r="AG22" s="28"/>
      <c r="AH22" s="3"/>
      <c r="AI22" s="3"/>
      <c r="AJ22" s="3">
        <f t="shared" si="9"/>
        <v>0</v>
      </c>
      <c r="AK22" s="3">
        <f t="shared" si="10"/>
        <v>9</v>
      </c>
      <c r="AL22" s="28" t="e">
        <f t="shared" si="19"/>
        <v>#DIV/0!</v>
      </c>
      <c r="AM22" s="3"/>
      <c r="AN22" s="3"/>
      <c r="AO22" s="3"/>
      <c r="AP22" s="3"/>
      <c r="AQ22" s="3"/>
      <c r="AR22" s="3"/>
      <c r="AS22" s="3">
        <f t="shared" si="11"/>
        <v>438.3</v>
      </c>
      <c r="AT22" s="3">
        <f t="shared" si="12"/>
        <v>344.6</v>
      </c>
      <c r="AU22" s="14">
        <f t="shared" si="20"/>
        <v>78.6219484371435</v>
      </c>
      <c r="AV22" s="14">
        <f t="shared" si="13"/>
        <v>93.69999999999999</v>
      </c>
      <c r="AW22" s="4">
        <f t="shared" si="14"/>
        <v>125</v>
      </c>
    </row>
    <row r="23" spans="1:49" ht="22.5" customHeight="1">
      <c r="A23" s="6">
        <v>16</v>
      </c>
      <c r="B23" s="15" t="s">
        <v>29</v>
      </c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3"/>
      <c r="N23" s="3"/>
      <c r="O23" s="28" t="e">
        <f t="shared" si="2"/>
        <v>#DIV/0!</v>
      </c>
      <c r="P23" s="45"/>
      <c r="Q23" s="45"/>
      <c r="R23" s="14"/>
      <c r="S23" s="45"/>
      <c r="T23" s="45"/>
      <c r="U23" s="45"/>
      <c r="V23" s="45"/>
      <c r="W23" s="45"/>
      <c r="X23" s="45"/>
      <c r="Y23" s="3"/>
      <c r="Z23" s="3"/>
      <c r="AA23" s="28" t="e">
        <f t="shared" si="18"/>
        <v>#DIV/0!</v>
      </c>
      <c r="AB23" s="45"/>
      <c r="AC23" s="45"/>
      <c r="AD23" s="45"/>
      <c r="AE23" s="90"/>
      <c r="AF23" s="90"/>
      <c r="AG23" s="110"/>
      <c r="AH23" s="90"/>
      <c r="AI23" s="90"/>
      <c r="AJ23" s="3"/>
      <c r="AK23" s="3"/>
      <c r="AL23" s="28" t="e">
        <f t="shared" si="19"/>
        <v>#DIV/0!</v>
      </c>
      <c r="AM23" s="90"/>
      <c r="AN23" s="90"/>
      <c r="AO23" s="90"/>
      <c r="AP23" s="90"/>
      <c r="AQ23" s="90"/>
      <c r="AR23" s="90"/>
      <c r="AS23" s="3"/>
      <c r="AT23" s="3"/>
      <c r="AU23" s="45"/>
      <c r="AV23" s="14"/>
      <c r="AW23" s="4"/>
    </row>
    <row r="24" spans="1:49" s="43" customFormat="1" ht="36.75" customHeight="1">
      <c r="A24" s="6">
        <v>17</v>
      </c>
      <c r="B24" s="15" t="s">
        <v>111</v>
      </c>
      <c r="C24" s="2">
        <v>-184.9</v>
      </c>
      <c r="D24" s="3">
        <v>597.5</v>
      </c>
      <c r="E24" s="3">
        <v>88.9</v>
      </c>
      <c r="F24" s="14">
        <f>E24/D24*100</f>
        <v>14.87866108786611</v>
      </c>
      <c r="G24" s="3">
        <v>594.9</v>
      </c>
      <c r="H24" s="3">
        <v>257.6</v>
      </c>
      <c r="I24" s="14">
        <f>H24/G24*100</f>
        <v>43.30139519246933</v>
      </c>
      <c r="J24" s="3">
        <v>595.8</v>
      </c>
      <c r="K24" s="3">
        <v>475.9</v>
      </c>
      <c r="L24" s="14">
        <f>K24/J24*100</f>
        <v>79.87579724739847</v>
      </c>
      <c r="M24" s="3">
        <f t="shared" si="5"/>
        <v>1788.2</v>
      </c>
      <c r="N24" s="3">
        <f t="shared" si="6"/>
        <v>822.4</v>
      </c>
      <c r="O24" s="14">
        <f t="shared" si="2"/>
        <v>45.99038138910636</v>
      </c>
      <c r="P24" s="3">
        <v>28.5</v>
      </c>
      <c r="Q24" s="3">
        <v>114.2</v>
      </c>
      <c r="R24" s="14">
        <f t="shared" si="7"/>
        <v>400.70175438596493</v>
      </c>
      <c r="S24" s="3">
        <v>0</v>
      </c>
      <c r="T24" s="3">
        <v>504.7</v>
      </c>
      <c r="U24" s="28" t="e">
        <f>T24/S24*100</f>
        <v>#DIV/0!</v>
      </c>
      <c r="V24" s="3">
        <v>0</v>
      </c>
      <c r="W24" s="3">
        <v>41.1</v>
      </c>
      <c r="X24" s="28" t="e">
        <f>W24/V24*100</f>
        <v>#DIV/0!</v>
      </c>
      <c r="Y24" s="3">
        <f>P24+S24+V24</f>
        <v>28.5</v>
      </c>
      <c r="Z24" s="3">
        <f>Q24+T24+W24</f>
        <v>660</v>
      </c>
      <c r="AA24" s="28">
        <f t="shared" si="18"/>
        <v>2315.7894736842104</v>
      </c>
      <c r="AB24" s="3">
        <v>0</v>
      </c>
      <c r="AC24" s="3">
        <v>6.2</v>
      </c>
      <c r="AD24" s="28" t="e">
        <f>AC24/AB24*100</f>
        <v>#DIV/0!</v>
      </c>
      <c r="AE24" s="3"/>
      <c r="AF24" s="3"/>
      <c r="AG24" s="28" t="e">
        <f>AF24/AE24*100</f>
        <v>#DIV/0!</v>
      </c>
      <c r="AH24" s="3"/>
      <c r="AI24" s="3"/>
      <c r="AJ24" s="3">
        <f t="shared" si="9"/>
        <v>0</v>
      </c>
      <c r="AK24" s="3">
        <f t="shared" si="10"/>
        <v>6.2</v>
      </c>
      <c r="AL24" s="28" t="e">
        <f t="shared" si="19"/>
        <v>#DIV/0!</v>
      </c>
      <c r="AM24" s="3"/>
      <c r="AN24" s="3"/>
      <c r="AO24" s="3"/>
      <c r="AP24" s="3"/>
      <c r="AQ24" s="3"/>
      <c r="AR24" s="3"/>
      <c r="AS24" s="3">
        <f t="shared" si="11"/>
        <v>1816.7</v>
      </c>
      <c r="AT24" s="3">
        <f t="shared" si="12"/>
        <v>1488.6000000000001</v>
      </c>
      <c r="AU24" s="14">
        <f>AT24/AS24*100</f>
        <v>81.93978092145099</v>
      </c>
      <c r="AV24" s="14">
        <f t="shared" si="13"/>
        <v>328.0999999999999</v>
      </c>
      <c r="AW24" s="4">
        <f t="shared" si="14"/>
        <v>143.19999999999982</v>
      </c>
    </row>
    <row r="25" spans="1:49" s="43" customFormat="1" ht="24.75" customHeight="1">
      <c r="A25" s="6">
        <v>18</v>
      </c>
      <c r="B25" s="1" t="s">
        <v>112</v>
      </c>
      <c r="C25" s="2">
        <v>-57.2</v>
      </c>
      <c r="D25" s="3">
        <v>156.9</v>
      </c>
      <c r="E25" s="3">
        <v>0</v>
      </c>
      <c r="F25" s="14">
        <f>E25/D25*100</f>
        <v>0</v>
      </c>
      <c r="G25" s="44">
        <v>171.6</v>
      </c>
      <c r="H25" s="44">
        <v>150.5</v>
      </c>
      <c r="I25" s="14">
        <f>H25/G25*100</f>
        <v>87.70396270396272</v>
      </c>
      <c r="J25" s="44">
        <v>195.6</v>
      </c>
      <c r="K25" s="44">
        <v>234.6</v>
      </c>
      <c r="L25" s="14">
        <f>K25/J25*100</f>
        <v>119.93865030674846</v>
      </c>
      <c r="M25" s="3">
        <f t="shared" si="5"/>
        <v>524.1</v>
      </c>
      <c r="N25" s="3">
        <f t="shared" si="6"/>
        <v>385.1</v>
      </c>
      <c r="O25" s="14">
        <f t="shared" si="2"/>
        <v>73.47834382751384</v>
      </c>
      <c r="P25" s="44">
        <v>34.6</v>
      </c>
      <c r="Q25" s="44">
        <v>110.8</v>
      </c>
      <c r="R25" s="14">
        <f t="shared" si="7"/>
        <v>320.23121387283237</v>
      </c>
      <c r="S25" s="44">
        <v>0</v>
      </c>
      <c r="T25" s="44">
        <v>33</v>
      </c>
      <c r="U25" s="28" t="e">
        <f>T25/S25*100</f>
        <v>#DIV/0!</v>
      </c>
      <c r="V25" s="44">
        <v>0</v>
      </c>
      <c r="W25" s="44">
        <v>19.9</v>
      </c>
      <c r="X25" s="28" t="e">
        <f>W25/V25*100</f>
        <v>#DIV/0!</v>
      </c>
      <c r="Y25" s="3">
        <f>P25+S25+V25</f>
        <v>34.6</v>
      </c>
      <c r="Z25" s="3">
        <f>Q25+T25+W25</f>
        <v>163.70000000000002</v>
      </c>
      <c r="AA25" s="28">
        <f t="shared" si="18"/>
        <v>473.121387283237</v>
      </c>
      <c r="AB25" s="44">
        <v>0</v>
      </c>
      <c r="AC25" s="44">
        <v>3.1</v>
      </c>
      <c r="AD25" s="28" t="e">
        <f>AC25/AB25*100</f>
        <v>#DIV/0!</v>
      </c>
      <c r="AE25" s="3"/>
      <c r="AF25" s="3"/>
      <c r="AG25" s="14"/>
      <c r="AH25" s="3"/>
      <c r="AI25" s="3"/>
      <c r="AJ25" s="3">
        <f t="shared" si="9"/>
        <v>0</v>
      </c>
      <c r="AK25" s="3">
        <f t="shared" si="10"/>
        <v>3.1</v>
      </c>
      <c r="AL25" s="28" t="e">
        <f t="shared" si="19"/>
        <v>#DIV/0!</v>
      </c>
      <c r="AM25" s="3"/>
      <c r="AN25" s="3"/>
      <c r="AO25" s="3"/>
      <c r="AP25" s="3"/>
      <c r="AQ25" s="3"/>
      <c r="AR25" s="3"/>
      <c r="AS25" s="3">
        <f t="shared" si="11"/>
        <v>558.7</v>
      </c>
      <c r="AT25" s="3">
        <f t="shared" si="12"/>
        <v>551.9000000000001</v>
      </c>
      <c r="AU25" s="14">
        <f>AT25/AS25*100</f>
        <v>98.78288884911403</v>
      </c>
      <c r="AV25" s="14">
        <f t="shared" si="13"/>
        <v>6.7999999999999545</v>
      </c>
      <c r="AW25" s="4">
        <f t="shared" si="14"/>
        <v>-50.400000000000034</v>
      </c>
    </row>
    <row r="26" spans="1:49" ht="25.5" customHeight="1">
      <c r="A26" s="6">
        <v>19</v>
      </c>
      <c r="B26" s="15" t="s">
        <v>113</v>
      </c>
      <c r="C26" s="2"/>
      <c r="D26" s="44"/>
      <c r="E26" s="44"/>
      <c r="F26" s="36"/>
      <c r="G26" s="3"/>
      <c r="H26" s="3"/>
      <c r="I26" s="14"/>
      <c r="J26" s="3"/>
      <c r="K26" s="3"/>
      <c r="L26" s="14"/>
      <c r="M26" s="3"/>
      <c r="N26" s="3"/>
      <c r="O26" s="28" t="e">
        <f t="shared" si="2"/>
        <v>#DIV/0!</v>
      </c>
      <c r="P26" s="3"/>
      <c r="Q26" s="3"/>
      <c r="R26" s="14"/>
      <c r="S26" s="3"/>
      <c r="T26" s="3"/>
      <c r="U26" s="14"/>
      <c r="V26" s="3"/>
      <c r="W26" s="3"/>
      <c r="X26" s="14"/>
      <c r="Y26" s="3"/>
      <c r="Z26" s="3"/>
      <c r="AA26" s="28" t="e">
        <f t="shared" si="18"/>
        <v>#DIV/0!</v>
      </c>
      <c r="AB26" s="3"/>
      <c r="AC26" s="3"/>
      <c r="AD26" s="14"/>
      <c r="AE26" s="3"/>
      <c r="AF26" s="3"/>
      <c r="AG26" s="28" t="e">
        <f>AF26/AE26*100</f>
        <v>#DIV/0!</v>
      </c>
      <c r="AH26" s="3"/>
      <c r="AI26" s="3"/>
      <c r="AJ26" s="3"/>
      <c r="AK26" s="3"/>
      <c r="AL26" s="28" t="e">
        <f t="shared" si="19"/>
        <v>#DIV/0!</v>
      </c>
      <c r="AM26" s="3"/>
      <c r="AN26" s="3"/>
      <c r="AO26" s="3"/>
      <c r="AP26" s="3"/>
      <c r="AQ26" s="3"/>
      <c r="AR26" s="3"/>
      <c r="AS26" s="3"/>
      <c r="AT26" s="3"/>
      <c r="AU26" s="14"/>
      <c r="AV26" s="14"/>
      <c r="AW26" s="4"/>
    </row>
    <row r="27" spans="1:49" ht="27.75" customHeight="1">
      <c r="A27" s="6">
        <v>20</v>
      </c>
      <c r="B27" s="15" t="s">
        <v>114</v>
      </c>
      <c r="C27" s="2">
        <v>28.8</v>
      </c>
      <c r="D27" s="3">
        <v>24.4</v>
      </c>
      <c r="E27" s="3">
        <v>0</v>
      </c>
      <c r="F27" s="14">
        <f>E27/D27*100</f>
        <v>0</v>
      </c>
      <c r="G27" s="3">
        <v>26.5</v>
      </c>
      <c r="H27" s="3">
        <v>18.8</v>
      </c>
      <c r="I27" s="14">
        <f>H27/G27*100</f>
        <v>70.9433962264151</v>
      </c>
      <c r="J27" s="3">
        <v>27.3</v>
      </c>
      <c r="K27" s="3">
        <v>8</v>
      </c>
      <c r="L27" s="14">
        <f>K27/J27*100</f>
        <v>29.304029304029307</v>
      </c>
      <c r="M27" s="3">
        <f t="shared" si="5"/>
        <v>78.2</v>
      </c>
      <c r="N27" s="3">
        <f t="shared" si="6"/>
        <v>26.8</v>
      </c>
      <c r="O27" s="14">
        <f t="shared" si="2"/>
        <v>34.271099744245525</v>
      </c>
      <c r="P27" s="3">
        <v>0.3</v>
      </c>
      <c r="Q27" s="3">
        <v>7.5</v>
      </c>
      <c r="R27" s="14">
        <f>Q27/P27*100</f>
        <v>2500</v>
      </c>
      <c r="S27" s="3">
        <v>0</v>
      </c>
      <c r="T27" s="3">
        <v>4.7</v>
      </c>
      <c r="U27" s="14"/>
      <c r="V27" s="3">
        <v>0</v>
      </c>
      <c r="W27" s="3">
        <v>7.3</v>
      </c>
      <c r="X27" s="14"/>
      <c r="Y27" s="3">
        <f>P27+S27+V27</f>
        <v>0.3</v>
      </c>
      <c r="Z27" s="3">
        <f>Q27+T27+W27</f>
        <v>19.5</v>
      </c>
      <c r="AA27" s="14">
        <f t="shared" si="18"/>
        <v>6500</v>
      </c>
      <c r="AB27" s="3">
        <v>0</v>
      </c>
      <c r="AC27" s="3">
        <v>6.3</v>
      </c>
      <c r="AD27" s="14"/>
      <c r="AE27" s="3"/>
      <c r="AF27" s="3"/>
      <c r="AG27" s="28" t="e">
        <f>AF27/AE27*100</f>
        <v>#DIV/0!</v>
      </c>
      <c r="AH27" s="3"/>
      <c r="AI27" s="3"/>
      <c r="AJ27" s="3">
        <f t="shared" si="9"/>
        <v>0</v>
      </c>
      <c r="AK27" s="3">
        <f t="shared" si="10"/>
        <v>6.3</v>
      </c>
      <c r="AL27" s="14" t="e">
        <f t="shared" si="19"/>
        <v>#DIV/0!</v>
      </c>
      <c r="AM27" s="3"/>
      <c r="AN27" s="3"/>
      <c r="AO27" s="3"/>
      <c r="AP27" s="3"/>
      <c r="AQ27" s="3"/>
      <c r="AR27" s="3"/>
      <c r="AS27" s="3">
        <f t="shared" si="11"/>
        <v>78.5</v>
      </c>
      <c r="AT27" s="3">
        <f t="shared" si="12"/>
        <v>52.599999999999994</v>
      </c>
      <c r="AU27" s="14">
        <f>AT27/AS27*100</f>
        <v>67.00636942675159</v>
      </c>
      <c r="AV27" s="14">
        <f t="shared" si="13"/>
        <v>25.900000000000006</v>
      </c>
      <c r="AW27" s="4">
        <f t="shared" si="14"/>
        <v>54.7</v>
      </c>
    </row>
    <row r="28" spans="1:49" s="43" customFormat="1" ht="30" customHeight="1">
      <c r="A28" s="6">
        <v>21</v>
      </c>
      <c r="B28" s="1" t="s">
        <v>97</v>
      </c>
      <c r="C28" s="2">
        <v>-240.8</v>
      </c>
      <c r="D28" s="3">
        <v>334.5</v>
      </c>
      <c r="E28" s="3">
        <v>0</v>
      </c>
      <c r="F28" s="14">
        <f>E28/D28*100</f>
        <v>0</v>
      </c>
      <c r="G28" s="44">
        <v>303.3</v>
      </c>
      <c r="H28" s="44">
        <v>115.8</v>
      </c>
      <c r="I28" s="14">
        <f>H28/G28*100</f>
        <v>38.180019782393664</v>
      </c>
      <c r="J28" s="44">
        <v>304.9</v>
      </c>
      <c r="K28" s="44">
        <v>330.9</v>
      </c>
      <c r="L28" s="14">
        <f>K28/J28*100</f>
        <v>108.52738602820597</v>
      </c>
      <c r="M28" s="3">
        <f t="shared" si="5"/>
        <v>942.6999999999999</v>
      </c>
      <c r="N28" s="3">
        <f t="shared" si="6"/>
        <v>446.7</v>
      </c>
      <c r="O28" s="14">
        <f t="shared" si="2"/>
        <v>47.385170255648674</v>
      </c>
      <c r="P28" s="44">
        <v>29.1</v>
      </c>
      <c r="Q28" s="44">
        <v>194.6</v>
      </c>
      <c r="R28" s="14">
        <f>Q28/P28*100</f>
        <v>668.7285223367697</v>
      </c>
      <c r="S28" s="44">
        <v>0</v>
      </c>
      <c r="T28" s="44">
        <v>66.9</v>
      </c>
      <c r="U28" s="14"/>
      <c r="V28" s="44">
        <v>0</v>
      </c>
      <c r="W28" s="44">
        <v>24.4</v>
      </c>
      <c r="X28" s="14"/>
      <c r="Y28" s="3">
        <f>P28+S28+V28</f>
        <v>29.1</v>
      </c>
      <c r="Z28" s="3">
        <f>Q28+T28+W28</f>
        <v>285.9</v>
      </c>
      <c r="AA28" s="14">
        <f t="shared" si="18"/>
        <v>982.4742268041236</v>
      </c>
      <c r="AB28" s="44">
        <v>0</v>
      </c>
      <c r="AC28" s="44">
        <v>21.9</v>
      </c>
      <c r="AD28" s="14"/>
      <c r="AE28" s="21"/>
      <c r="AF28" s="21"/>
      <c r="AG28" s="28"/>
      <c r="AH28" s="21"/>
      <c r="AI28" s="21"/>
      <c r="AJ28" s="3">
        <f t="shared" si="9"/>
        <v>0</v>
      </c>
      <c r="AK28" s="3">
        <f t="shared" si="10"/>
        <v>21.9</v>
      </c>
      <c r="AL28" s="14" t="e">
        <f t="shared" si="19"/>
        <v>#DIV/0!</v>
      </c>
      <c r="AM28" s="44"/>
      <c r="AN28" s="44"/>
      <c r="AO28" s="44"/>
      <c r="AP28" s="44"/>
      <c r="AQ28" s="44"/>
      <c r="AR28" s="44"/>
      <c r="AS28" s="3">
        <f t="shared" si="11"/>
        <v>971.8</v>
      </c>
      <c r="AT28" s="3">
        <f t="shared" si="12"/>
        <v>754.4999999999999</v>
      </c>
      <c r="AU28" s="14">
        <f>AT28/AS28*100</f>
        <v>77.63943198188927</v>
      </c>
      <c r="AV28" s="14">
        <f t="shared" si="13"/>
        <v>217.30000000000007</v>
      </c>
      <c r="AW28" s="4">
        <f t="shared" si="14"/>
        <v>-23.499999999999886</v>
      </c>
    </row>
    <row r="29" spans="1:49" ht="24" customHeight="1">
      <c r="A29" s="6">
        <v>22</v>
      </c>
      <c r="B29" s="1" t="s">
        <v>31</v>
      </c>
      <c r="C29" s="46"/>
      <c r="D29" s="35"/>
      <c r="E29" s="35"/>
      <c r="F29" s="35"/>
      <c r="G29" s="46"/>
      <c r="H29" s="46"/>
      <c r="I29" s="46"/>
      <c r="J29" s="46"/>
      <c r="K29" s="46"/>
      <c r="L29" s="46"/>
      <c r="M29" s="3"/>
      <c r="N29" s="3"/>
      <c r="O29" s="14"/>
      <c r="P29" s="46"/>
      <c r="Q29" s="46"/>
      <c r="R29" s="46"/>
      <c r="S29" s="46"/>
      <c r="T29" s="46"/>
      <c r="U29" s="46"/>
      <c r="V29" s="46"/>
      <c r="W29" s="46"/>
      <c r="X29" s="46"/>
      <c r="Y29" s="3"/>
      <c r="Z29" s="3"/>
      <c r="AA29" s="14"/>
      <c r="AB29" s="46"/>
      <c r="AC29" s="46"/>
      <c r="AD29" s="46"/>
      <c r="AE29" s="46"/>
      <c r="AF29" s="46"/>
      <c r="AG29" s="111"/>
      <c r="AH29" s="46"/>
      <c r="AI29" s="46"/>
      <c r="AJ29" s="3"/>
      <c r="AK29" s="3"/>
      <c r="AL29" s="14"/>
      <c r="AM29" s="46"/>
      <c r="AN29" s="46"/>
      <c r="AO29" s="46"/>
      <c r="AP29" s="46"/>
      <c r="AQ29" s="46"/>
      <c r="AR29" s="46"/>
      <c r="AS29" s="3"/>
      <c r="AT29" s="3"/>
      <c r="AU29" s="46"/>
      <c r="AV29" s="14"/>
      <c r="AW29" s="4"/>
    </row>
    <row r="30" spans="1:49" ht="24" customHeight="1">
      <c r="A30" s="6">
        <v>23</v>
      </c>
      <c r="B30" s="15" t="s">
        <v>32</v>
      </c>
      <c r="C30" s="34"/>
      <c r="D30" s="35"/>
      <c r="E30" s="35"/>
      <c r="F30" s="35"/>
      <c r="G30" s="35"/>
      <c r="H30" s="35"/>
      <c r="I30" s="35"/>
      <c r="J30" s="35"/>
      <c r="K30" s="35"/>
      <c r="L30" s="35"/>
      <c r="M30" s="3"/>
      <c r="N30" s="3"/>
      <c r="O30" s="14"/>
      <c r="P30" s="35"/>
      <c r="Q30" s="35"/>
      <c r="R30" s="35"/>
      <c r="S30" s="35"/>
      <c r="T30" s="35"/>
      <c r="U30" s="35"/>
      <c r="V30" s="35"/>
      <c r="W30" s="35"/>
      <c r="X30" s="35"/>
      <c r="Y30" s="3"/>
      <c r="Z30" s="3"/>
      <c r="AA30" s="14"/>
      <c r="AB30" s="35"/>
      <c r="AC30" s="35"/>
      <c r="AD30" s="35"/>
      <c r="AE30" s="46"/>
      <c r="AF30" s="46"/>
      <c r="AG30" s="111"/>
      <c r="AH30" s="46"/>
      <c r="AI30" s="46"/>
      <c r="AJ30" s="3"/>
      <c r="AK30" s="3"/>
      <c r="AL30" s="14"/>
      <c r="AM30" s="46"/>
      <c r="AN30" s="46"/>
      <c r="AO30" s="46"/>
      <c r="AP30" s="46"/>
      <c r="AQ30" s="46"/>
      <c r="AR30" s="46"/>
      <c r="AS30" s="3"/>
      <c r="AT30" s="3"/>
      <c r="AU30" s="35"/>
      <c r="AV30" s="14"/>
      <c r="AW30" s="4"/>
    </row>
    <row r="31" spans="1:49" ht="24" customHeight="1">
      <c r="A31" s="6">
        <v>24</v>
      </c>
      <c r="B31" s="15" t="s">
        <v>33</v>
      </c>
      <c r="C31" s="47"/>
      <c r="D31" s="35"/>
      <c r="E31" s="35"/>
      <c r="F31" s="35"/>
      <c r="G31" s="46"/>
      <c r="H31" s="46"/>
      <c r="I31" s="46"/>
      <c r="J31" s="46"/>
      <c r="K31" s="46"/>
      <c r="L31" s="46"/>
      <c r="M31" s="3"/>
      <c r="N31" s="3"/>
      <c r="O31" s="14"/>
      <c r="P31" s="46"/>
      <c r="Q31" s="46"/>
      <c r="R31" s="46"/>
      <c r="S31" s="46"/>
      <c r="T31" s="46"/>
      <c r="U31" s="46"/>
      <c r="V31" s="46"/>
      <c r="W31" s="46"/>
      <c r="X31" s="46"/>
      <c r="Y31" s="3"/>
      <c r="Z31" s="3"/>
      <c r="AA31" s="14"/>
      <c r="AB31" s="46"/>
      <c r="AC31" s="46"/>
      <c r="AD31" s="46"/>
      <c r="AE31" s="46"/>
      <c r="AF31" s="46"/>
      <c r="AG31" s="111"/>
      <c r="AH31" s="46"/>
      <c r="AI31" s="46"/>
      <c r="AJ31" s="3"/>
      <c r="AK31" s="3"/>
      <c r="AL31" s="14"/>
      <c r="AM31" s="46"/>
      <c r="AN31" s="46"/>
      <c r="AO31" s="46"/>
      <c r="AP31" s="46"/>
      <c r="AQ31" s="46"/>
      <c r="AR31" s="46"/>
      <c r="AS31" s="3"/>
      <c r="AT31" s="3"/>
      <c r="AU31" s="46"/>
      <c r="AV31" s="14"/>
      <c r="AW31" s="4"/>
    </row>
    <row r="32" spans="1:49" s="43" customFormat="1" ht="24" customHeight="1">
      <c r="A32" s="6">
        <v>25</v>
      </c>
      <c r="B32" s="15" t="s">
        <v>34</v>
      </c>
      <c r="C32" s="2"/>
      <c r="D32" s="21"/>
      <c r="E32" s="21"/>
      <c r="F32" s="36"/>
      <c r="G32" s="21"/>
      <c r="H32" s="21"/>
      <c r="I32" s="36"/>
      <c r="J32" s="21"/>
      <c r="K32" s="21"/>
      <c r="L32" s="36"/>
      <c r="M32" s="3"/>
      <c r="N32" s="3"/>
      <c r="O32" s="14"/>
      <c r="P32" s="21"/>
      <c r="Q32" s="21"/>
      <c r="R32" s="36"/>
      <c r="S32" s="21"/>
      <c r="T32" s="21"/>
      <c r="U32" s="36"/>
      <c r="V32" s="21"/>
      <c r="W32" s="21"/>
      <c r="X32" s="36"/>
      <c r="Y32" s="3"/>
      <c r="Z32" s="3"/>
      <c r="AA32" s="14"/>
      <c r="AB32" s="21"/>
      <c r="AC32" s="21"/>
      <c r="AD32" s="36"/>
      <c r="AE32" s="21"/>
      <c r="AF32" s="21"/>
      <c r="AG32" s="28"/>
      <c r="AH32" s="21"/>
      <c r="AI32" s="21"/>
      <c r="AJ32" s="3"/>
      <c r="AK32" s="3"/>
      <c r="AL32" s="14"/>
      <c r="AM32" s="21"/>
      <c r="AN32" s="21"/>
      <c r="AO32" s="21"/>
      <c r="AP32" s="21"/>
      <c r="AQ32" s="21"/>
      <c r="AR32" s="21"/>
      <c r="AS32" s="3"/>
      <c r="AT32" s="3"/>
      <c r="AU32" s="36"/>
      <c r="AV32" s="14"/>
      <c r="AW32" s="4"/>
    </row>
    <row r="33" spans="1:49" s="43" customFormat="1" ht="24" customHeight="1">
      <c r="A33" s="6"/>
      <c r="B33" s="15" t="s">
        <v>115</v>
      </c>
      <c r="C33" s="2">
        <f>-6.7+4537.9</f>
        <v>4531.2</v>
      </c>
      <c r="D33" s="3">
        <f>41.3</f>
        <v>41.3</v>
      </c>
      <c r="E33" s="3"/>
      <c r="F33" s="14">
        <f aca="true" t="shared" si="21" ref="F33:F47">E33/D33*100</f>
        <v>0</v>
      </c>
      <c r="G33" s="3">
        <v>38.4</v>
      </c>
      <c r="H33" s="3">
        <v>17.2</v>
      </c>
      <c r="I33" s="14">
        <f aca="true" t="shared" si="22" ref="I33:I47">H33/G33*100</f>
        <v>44.79166666666667</v>
      </c>
      <c r="J33" s="3">
        <v>35.9</v>
      </c>
      <c r="K33" s="3">
        <v>72.6</v>
      </c>
      <c r="L33" s="33">
        <f aca="true" t="shared" si="23" ref="L33:L48">K33/J33*100</f>
        <v>202.22841225626743</v>
      </c>
      <c r="M33" s="3">
        <f t="shared" si="5"/>
        <v>115.6</v>
      </c>
      <c r="N33" s="3">
        <f t="shared" si="6"/>
        <v>89.8</v>
      </c>
      <c r="O33" s="14">
        <f t="shared" si="2"/>
        <v>77.68166089965398</v>
      </c>
      <c r="P33" s="3">
        <v>3.2</v>
      </c>
      <c r="Q33" s="3">
        <v>21</v>
      </c>
      <c r="R33" s="14">
        <f aca="true" t="shared" si="24" ref="R33:R44">Q33/P33*100</f>
        <v>656.25</v>
      </c>
      <c r="S33" s="3">
        <v>0</v>
      </c>
      <c r="T33" s="3">
        <v>1.9</v>
      </c>
      <c r="U33" s="14"/>
      <c r="V33" s="3">
        <v>0</v>
      </c>
      <c r="W33" s="3">
        <v>0</v>
      </c>
      <c r="X33" s="14"/>
      <c r="Y33" s="3">
        <f>P33+S33+V33</f>
        <v>3.2</v>
      </c>
      <c r="Z33" s="3">
        <f>Q33+T33+W33</f>
        <v>22.9</v>
      </c>
      <c r="AA33" s="14">
        <f aca="true" t="shared" si="25" ref="AA33:AA48">Z33/Y33*100</f>
        <v>715.6249999999999</v>
      </c>
      <c r="AB33" s="3">
        <v>0</v>
      </c>
      <c r="AC33" s="3">
        <v>0</v>
      </c>
      <c r="AD33" s="14">
        <v>0</v>
      </c>
      <c r="AE33" s="3"/>
      <c r="AF33" s="3"/>
      <c r="AG33" s="28" t="e">
        <f>AF33/AE33*100</f>
        <v>#DIV/0!</v>
      </c>
      <c r="AH33" s="3"/>
      <c r="AI33" s="3"/>
      <c r="AJ33" s="3">
        <f t="shared" si="9"/>
        <v>0</v>
      </c>
      <c r="AK33" s="3">
        <f t="shared" si="10"/>
        <v>0</v>
      </c>
      <c r="AL33" s="14" t="e">
        <f aca="true" t="shared" si="26" ref="AL33:AL48">AK33/AJ33*100</f>
        <v>#DIV/0!</v>
      </c>
      <c r="AM33" s="3"/>
      <c r="AN33" s="3"/>
      <c r="AO33" s="3"/>
      <c r="AP33" s="3"/>
      <c r="AQ33" s="3"/>
      <c r="AR33" s="3"/>
      <c r="AS33" s="3">
        <f t="shared" si="11"/>
        <v>118.8</v>
      </c>
      <c r="AT33" s="3">
        <f t="shared" si="12"/>
        <v>112.69999999999999</v>
      </c>
      <c r="AU33" s="14">
        <f>AT33/AS33*100</f>
        <v>94.86531986531985</v>
      </c>
      <c r="AV33" s="14">
        <f t="shared" si="13"/>
        <v>6.1000000000000085</v>
      </c>
      <c r="AW33" s="4">
        <f t="shared" si="14"/>
        <v>4537.3</v>
      </c>
    </row>
    <row r="34" spans="1:49" s="43" customFormat="1" ht="24" customHeight="1">
      <c r="A34" s="6"/>
      <c r="B34" s="15" t="s">
        <v>116</v>
      </c>
      <c r="C34" s="2">
        <v>-227.6</v>
      </c>
      <c r="D34" s="3">
        <v>1710</v>
      </c>
      <c r="E34" s="3">
        <v>0</v>
      </c>
      <c r="F34" s="14">
        <f>E34/D34*100</f>
        <v>0</v>
      </c>
      <c r="G34" s="3">
        <v>1849.5</v>
      </c>
      <c r="H34" s="3">
        <v>931.8</v>
      </c>
      <c r="I34" s="14">
        <f>H34/G34*100</f>
        <v>50.38118410381184</v>
      </c>
      <c r="J34" s="3">
        <v>1775.8</v>
      </c>
      <c r="K34" s="3">
        <v>1427.7</v>
      </c>
      <c r="L34" s="14">
        <f>K34/J34*100</f>
        <v>80.39756729361415</v>
      </c>
      <c r="M34" s="3">
        <f>D34+G34+J34</f>
        <v>5335.3</v>
      </c>
      <c r="N34" s="3">
        <f>E34+H34+K34</f>
        <v>2359.5</v>
      </c>
      <c r="O34" s="14">
        <f>N34/M34*100</f>
        <v>44.22431728300189</v>
      </c>
      <c r="P34" s="3">
        <v>0.3</v>
      </c>
      <c r="Q34" s="3">
        <v>0</v>
      </c>
      <c r="R34" s="14">
        <f>Q34/P34*100</f>
        <v>0</v>
      </c>
      <c r="S34" s="3">
        <v>0</v>
      </c>
      <c r="T34" s="3">
        <v>0</v>
      </c>
      <c r="U34" s="14"/>
      <c r="V34" s="3">
        <v>0</v>
      </c>
      <c r="W34" s="3">
        <v>0</v>
      </c>
      <c r="X34" s="14"/>
      <c r="Y34" s="3">
        <f>P34+S34+V34</f>
        <v>0.3</v>
      </c>
      <c r="Z34" s="3">
        <f>Q34+T34+W34</f>
        <v>0</v>
      </c>
      <c r="AA34" s="14">
        <f>Z34/Y34*100</f>
        <v>0</v>
      </c>
      <c r="AB34" s="3">
        <v>0</v>
      </c>
      <c r="AC34" s="3">
        <v>0</v>
      </c>
      <c r="AD34" s="14">
        <v>0</v>
      </c>
      <c r="AE34" s="3"/>
      <c r="AF34" s="3"/>
      <c r="AG34" s="28" t="e">
        <f>AF34/AE34*100</f>
        <v>#DIV/0!</v>
      </c>
      <c r="AH34" s="3"/>
      <c r="AI34" s="3"/>
      <c r="AJ34" s="3">
        <f>AB34+AE34+AH34</f>
        <v>0</v>
      </c>
      <c r="AK34" s="3">
        <f>AC34+AF34+AI34</f>
        <v>0</v>
      </c>
      <c r="AL34" s="14" t="e">
        <f>AK34/AJ34*100</f>
        <v>#DIV/0!</v>
      </c>
      <c r="AM34" s="3"/>
      <c r="AN34" s="3"/>
      <c r="AO34" s="3"/>
      <c r="AP34" s="3"/>
      <c r="AQ34" s="3"/>
      <c r="AR34" s="3"/>
      <c r="AS34" s="3">
        <f>M34+Y34+AJ34+AM34+AO34+AQ34</f>
        <v>5335.6</v>
      </c>
      <c r="AT34" s="3">
        <f>N34+Z34+AK34+AN34+AP34+AR34</f>
        <v>2359.5</v>
      </c>
      <c r="AU34" s="14">
        <f>AT34/AS34*100</f>
        <v>44.22183072194317</v>
      </c>
      <c r="AV34" s="14">
        <f>AS34-AT34</f>
        <v>2976.1000000000004</v>
      </c>
      <c r="AW34" s="4">
        <f>C34+AS34-AT34</f>
        <v>2748.5</v>
      </c>
    </row>
    <row r="35" spans="1:49" s="43" customFormat="1" ht="24" customHeight="1">
      <c r="A35" s="6"/>
      <c r="B35" s="15" t="s">
        <v>117</v>
      </c>
      <c r="C35" s="2"/>
      <c r="D35" s="3"/>
      <c r="E35" s="3"/>
      <c r="F35" s="14"/>
      <c r="G35" s="3"/>
      <c r="H35" s="3"/>
      <c r="I35" s="14"/>
      <c r="J35" s="3"/>
      <c r="K35" s="3"/>
      <c r="L35" s="14"/>
      <c r="M35" s="3"/>
      <c r="N35" s="3"/>
      <c r="O35" s="14"/>
      <c r="P35" s="3"/>
      <c r="Q35" s="3"/>
      <c r="R35" s="14"/>
      <c r="S35" s="3"/>
      <c r="T35" s="3"/>
      <c r="U35" s="14"/>
      <c r="V35" s="3"/>
      <c r="W35" s="3"/>
      <c r="X35" s="14"/>
      <c r="Y35" s="3"/>
      <c r="Z35" s="3"/>
      <c r="AA35" s="14"/>
      <c r="AB35" s="3"/>
      <c r="AC35" s="3"/>
      <c r="AD35" s="14"/>
      <c r="AE35" s="3"/>
      <c r="AF35" s="3"/>
      <c r="AG35" s="28"/>
      <c r="AH35" s="3"/>
      <c r="AI35" s="3"/>
      <c r="AJ35" s="3"/>
      <c r="AK35" s="3"/>
      <c r="AL35" s="14"/>
      <c r="AM35" s="3"/>
      <c r="AN35" s="3"/>
      <c r="AO35" s="3"/>
      <c r="AP35" s="3"/>
      <c r="AQ35" s="3"/>
      <c r="AR35" s="3"/>
      <c r="AS35" s="3"/>
      <c r="AT35" s="3"/>
      <c r="AU35" s="14"/>
      <c r="AV35" s="14"/>
      <c r="AW35" s="4"/>
    </row>
    <row r="36" spans="1:49" ht="24.75" customHeight="1">
      <c r="A36" s="19"/>
      <c r="B36" s="15" t="s">
        <v>35</v>
      </c>
      <c r="C36" s="2"/>
      <c r="D36" s="21"/>
      <c r="E36" s="21"/>
      <c r="F36" s="36"/>
      <c r="G36" s="3"/>
      <c r="H36" s="3"/>
      <c r="I36" s="36" t="e">
        <f t="shared" si="22"/>
        <v>#DIV/0!</v>
      </c>
      <c r="J36" s="3"/>
      <c r="K36" s="3"/>
      <c r="L36" s="36" t="e">
        <f t="shared" si="23"/>
        <v>#DIV/0!</v>
      </c>
      <c r="M36" s="3"/>
      <c r="N36" s="3"/>
      <c r="O36" s="28" t="e">
        <f t="shared" si="2"/>
        <v>#DIV/0!</v>
      </c>
      <c r="P36" s="3"/>
      <c r="Q36" s="3"/>
      <c r="R36" s="36" t="e">
        <f t="shared" si="24"/>
        <v>#DIV/0!</v>
      </c>
      <c r="S36" s="3"/>
      <c r="T36" s="3"/>
      <c r="U36" s="36" t="e">
        <f>T36/S36*100</f>
        <v>#DIV/0!</v>
      </c>
      <c r="V36" s="3"/>
      <c r="W36" s="3"/>
      <c r="X36" s="36" t="e">
        <f>W36/V36*100</f>
        <v>#DIV/0!</v>
      </c>
      <c r="Y36" s="3"/>
      <c r="Z36" s="3"/>
      <c r="AA36" s="28" t="e">
        <f t="shared" si="25"/>
        <v>#DIV/0!</v>
      </c>
      <c r="AB36" s="3"/>
      <c r="AC36" s="3"/>
      <c r="AD36" s="36" t="e">
        <f>AC36/AB36*100</f>
        <v>#DIV/0!</v>
      </c>
      <c r="AE36" s="3"/>
      <c r="AF36" s="3"/>
      <c r="AG36" s="28"/>
      <c r="AH36" s="3"/>
      <c r="AI36" s="3"/>
      <c r="AJ36" s="3"/>
      <c r="AK36" s="3"/>
      <c r="AL36" s="28" t="e">
        <f t="shared" si="26"/>
        <v>#DIV/0!</v>
      </c>
      <c r="AM36" s="3"/>
      <c r="AN36" s="3"/>
      <c r="AO36" s="3"/>
      <c r="AP36" s="3"/>
      <c r="AQ36" s="3"/>
      <c r="AR36" s="3"/>
      <c r="AS36" s="3"/>
      <c r="AT36" s="3"/>
      <c r="AU36" s="14"/>
      <c r="AV36" s="14"/>
      <c r="AW36" s="4"/>
    </row>
    <row r="37" spans="1:49" s="43" customFormat="1" ht="27.75" customHeight="1">
      <c r="A37" s="6">
        <v>26</v>
      </c>
      <c r="B37" s="15" t="s">
        <v>118</v>
      </c>
      <c r="C37" s="2"/>
      <c r="D37" s="3"/>
      <c r="E37" s="3"/>
      <c r="F37" s="14"/>
      <c r="G37" s="3"/>
      <c r="H37" s="3"/>
      <c r="I37" s="14"/>
      <c r="J37" s="3"/>
      <c r="K37" s="3"/>
      <c r="L37" s="14"/>
      <c r="M37" s="3"/>
      <c r="N37" s="3"/>
      <c r="O37" s="14"/>
      <c r="P37" s="3"/>
      <c r="Q37" s="3"/>
      <c r="R37" s="14"/>
      <c r="S37" s="3"/>
      <c r="T37" s="3"/>
      <c r="U37" s="14"/>
      <c r="V37" s="3"/>
      <c r="W37" s="3"/>
      <c r="X37" s="14"/>
      <c r="Y37" s="3"/>
      <c r="Z37" s="3"/>
      <c r="AA37" s="14"/>
      <c r="AB37" s="3"/>
      <c r="AC37" s="3"/>
      <c r="AD37" s="14"/>
      <c r="AE37" s="3"/>
      <c r="AF37" s="3"/>
      <c r="AG37" s="28"/>
      <c r="AH37" s="3"/>
      <c r="AI37" s="3"/>
      <c r="AJ37" s="3"/>
      <c r="AK37" s="3"/>
      <c r="AL37" s="14"/>
      <c r="AM37" s="3"/>
      <c r="AN37" s="3"/>
      <c r="AO37" s="3"/>
      <c r="AP37" s="3"/>
      <c r="AQ37" s="3"/>
      <c r="AR37" s="3"/>
      <c r="AS37" s="3"/>
      <c r="AT37" s="3"/>
      <c r="AU37" s="14"/>
      <c r="AV37" s="14"/>
      <c r="AW37" s="4"/>
    </row>
    <row r="38" spans="1:49" s="43" customFormat="1" ht="24" customHeight="1">
      <c r="A38" s="6">
        <v>27</v>
      </c>
      <c r="B38" s="1" t="s">
        <v>90</v>
      </c>
      <c r="C38" s="2">
        <f>-1.8+(-141.7)</f>
        <v>-143.5</v>
      </c>
      <c r="D38" s="3">
        <v>271.3</v>
      </c>
      <c r="E38" s="3">
        <v>23.9</v>
      </c>
      <c r="F38" s="14">
        <f t="shared" si="21"/>
        <v>8.809436048654625</v>
      </c>
      <c r="G38" s="3">
        <v>258.6</v>
      </c>
      <c r="H38" s="3">
        <v>108.1</v>
      </c>
      <c r="I38" s="14">
        <f t="shared" si="22"/>
        <v>41.80201082753287</v>
      </c>
      <c r="J38" s="3">
        <v>264.7</v>
      </c>
      <c r="K38" s="3">
        <v>336.3</v>
      </c>
      <c r="L38" s="14">
        <f t="shared" si="23"/>
        <v>127.04948998866644</v>
      </c>
      <c r="M38" s="3">
        <f t="shared" si="5"/>
        <v>794.6000000000001</v>
      </c>
      <c r="N38" s="3">
        <f t="shared" si="6"/>
        <v>468.3</v>
      </c>
      <c r="O38" s="14">
        <f t="shared" si="2"/>
        <v>58.935313365215194</v>
      </c>
      <c r="P38" s="3">
        <v>35.9</v>
      </c>
      <c r="Q38" s="3">
        <v>67.1</v>
      </c>
      <c r="R38" s="14">
        <f t="shared" si="24"/>
        <v>186.90807799442896</v>
      </c>
      <c r="S38" s="3">
        <v>0</v>
      </c>
      <c r="T38" s="3">
        <v>61.9</v>
      </c>
      <c r="U38" s="14"/>
      <c r="V38" s="3">
        <v>0</v>
      </c>
      <c r="W38" s="3">
        <v>20.2</v>
      </c>
      <c r="X38" s="14"/>
      <c r="Y38" s="3">
        <f aca="true" t="shared" si="27" ref="Y38:Z44">P38+S38+V38</f>
        <v>35.9</v>
      </c>
      <c r="Z38" s="3">
        <f t="shared" si="27"/>
        <v>149.2</v>
      </c>
      <c r="AA38" s="14">
        <f t="shared" si="25"/>
        <v>415.59888579387183</v>
      </c>
      <c r="AB38" s="3">
        <v>0</v>
      </c>
      <c r="AC38" s="3">
        <v>33.1</v>
      </c>
      <c r="AD38" s="14"/>
      <c r="AE38" s="3"/>
      <c r="AF38" s="3"/>
      <c r="AG38" s="28">
        <v>0</v>
      </c>
      <c r="AH38" s="3"/>
      <c r="AI38" s="3"/>
      <c r="AJ38" s="3">
        <f t="shared" si="9"/>
        <v>0</v>
      </c>
      <c r="AK38" s="3">
        <f t="shared" si="10"/>
        <v>33.1</v>
      </c>
      <c r="AL38" s="14" t="e">
        <f t="shared" si="26"/>
        <v>#DIV/0!</v>
      </c>
      <c r="AM38" s="3"/>
      <c r="AN38" s="3"/>
      <c r="AO38" s="3"/>
      <c r="AP38" s="3"/>
      <c r="AQ38" s="3"/>
      <c r="AR38" s="3"/>
      <c r="AS38" s="3">
        <f t="shared" si="11"/>
        <v>830.5000000000001</v>
      </c>
      <c r="AT38" s="3">
        <f t="shared" si="12"/>
        <v>650.6</v>
      </c>
      <c r="AU38" s="14">
        <f aca="true" t="shared" si="28" ref="AU38:AU47">AT38/AS38*100</f>
        <v>78.33835039133051</v>
      </c>
      <c r="AV38" s="14">
        <f t="shared" si="13"/>
        <v>179.9000000000001</v>
      </c>
      <c r="AW38" s="4">
        <f t="shared" si="14"/>
        <v>36.40000000000009</v>
      </c>
    </row>
    <row r="39" spans="1:49" s="43" customFormat="1" ht="24" customHeight="1">
      <c r="A39" s="6">
        <v>28</v>
      </c>
      <c r="B39" s="15" t="s">
        <v>119</v>
      </c>
      <c r="C39" s="2">
        <v>-431.4</v>
      </c>
      <c r="D39" s="3">
        <v>389.7</v>
      </c>
      <c r="E39" s="3">
        <v>10.7</v>
      </c>
      <c r="F39" s="14">
        <f t="shared" si="21"/>
        <v>2.745701821914293</v>
      </c>
      <c r="G39" s="3">
        <v>397.3</v>
      </c>
      <c r="H39" s="3">
        <v>149.6</v>
      </c>
      <c r="I39" s="14">
        <f t="shared" si="22"/>
        <v>37.65416561792097</v>
      </c>
      <c r="J39" s="3">
        <v>406.1</v>
      </c>
      <c r="K39" s="3">
        <v>471.5</v>
      </c>
      <c r="L39" s="14">
        <f t="shared" si="23"/>
        <v>116.10440778133464</v>
      </c>
      <c r="M39" s="3">
        <f t="shared" si="5"/>
        <v>1193.1</v>
      </c>
      <c r="N39" s="3">
        <f t="shared" si="6"/>
        <v>631.8</v>
      </c>
      <c r="O39" s="14">
        <f t="shared" si="2"/>
        <v>52.95448830776968</v>
      </c>
      <c r="P39" s="3">
        <v>88.4</v>
      </c>
      <c r="Q39" s="3">
        <v>154.8</v>
      </c>
      <c r="R39" s="14">
        <f t="shared" si="24"/>
        <v>175.1131221719457</v>
      </c>
      <c r="S39" s="3">
        <v>38</v>
      </c>
      <c r="T39" s="3">
        <v>73</v>
      </c>
      <c r="U39" s="14"/>
      <c r="V39" s="3">
        <v>39.5</v>
      </c>
      <c r="W39" s="3">
        <v>54.7</v>
      </c>
      <c r="X39" s="14"/>
      <c r="Y39" s="3">
        <f t="shared" si="27"/>
        <v>165.9</v>
      </c>
      <c r="Z39" s="3">
        <f t="shared" si="27"/>
        <v>282.5</v>
      </c>
      <c r="AA39" s="14">
        <f t="shared" si="25"/>
        <v>170.2833031946956</v>
      </c>
      <c r="AB39" s="3">
        <v>43.1</v>
      </c>
      <c r="AC39" s="3">
        <v>28.2</v>
      </c>
      <c r="AD39" s="14"/>
      <c r="AE39" s="3"/>
      <c r="AF39" s="3"/>
      <c r="AG39" s="28" t="e">
        <f aca="true" t="shared" si="29" ref="AG39:AG44">AF39/AE39*100</f>
        <v>#DIV/0!</v>
      </c>
      <c r="AH39" s="3"/>
      <c r="AI39" s="3"/>
      <c r="AJ39" s="3">
        <f t="shared" si="9"/>
        <v>43.1</v>
      </c>
      <c r="AK39" s="3">
        <f t="shared" si="10"/>
        <v>28.2</v>
      </c>
      <c r="AL39" s="14">
        <f t="shared" si="26"/>
        <v>65.4292343387471</v>
      </c>
      <c r="AM39" s="3"/>
      <c r="AN39" s="3"/>
      <c r="AO39" s="3"/>
      <c r="AP39" s="3"/>
      <c r="AQ39" s="3"/>
      <c r="AR39" s="3"/>
      <c r="AS39" s="3">
        <f t="shared" si="11"/>
        <v>1402.1</v>
      </c>
      <c r="AT39" s="3">
        <f t="shared" si="12"/>
        <v>942.5</v>
      </c>
      <c r="AU39" s="14">
        <f t="shared" si="28"/>
        <v>67.2205976749162</v>
      </c>
      <c r="AV39" s="14">
        <f t="shared" si="13"/>
        <v>459.5999999999999</v>
      </c>
      <c r="AW39" s="4">
        <f t="shared" si="14"/>
        <v>28.199999999999932</v>
      </c>
    </row>
    <row r="40" spans="1:49" s="43" customFormat="1" ht="24" customHeight="1">
      <c r="A40" s="6">
        <v>29</v>
      </c>
      <c r="B40" s="15" t="s">
        <v>120</v>
      </c>
      <c r="C40" s="2">
        <f>29.7+(-662.9)</f>
        <v>-633.1999999999999</v>
      </c>
      <c r="D40" s="3">
        <v>961.5</v>
      </c>
      <c r="E40" s="3">
        <v>53.7</v>
      </c>
      <c r="F40" s="14">
        <f t="shared" si="21"/>
        <v>5.585023400936038</v>
      </c>
      <c r="G40" s="3">
        <v>967.4</v>
      </c>
      <c r="H40" s="3">
        <v>756.1</v>
      </c>
      <c r="I40" s="14">
        <f t="shared" si="22"/>
        <v>78.15794914203019</v>
      </c>
      <c r="J40" s="3">
        <v>1019.1</v>
      </c>
      <c r="K40" s="3">
        <v>1006.2</v>
      </c>
      <c r="L40" s="14">
        <f t="shared" si="23"/>
        <v>98.73417721518987</v>
      </c>
      <c r="M40" s="3">
        <f t="shared" si="5"/>
        <v>2948</v>
      </c>
      <c r="N40" s="3">
        <f t="shared" si="6"/>
        <v>1816</v>
      </c>
      <c r="O40" s="14">
        <f t="shared" si="2"/>
        <v>61.601085481682496</v>
      </c>
      <c r="P40" s="3">
        <v>134.2</v>
      </c>
      <c r="Q40" s="3">
        <v>414.8</v>
      </c>
      <c r="R40" s="14">
        <f t="shared" si="24"/>
        <v>309.0909090909091</v>
      </c>
      <c r="S40" s="3">
        <v>0</v>
      </c>
      <c r="T40" s="3">
        <v>77.2</v>
      </c>
      <c r="U40" s="14"/>
      <c r="V40" s="3">
        <v>-25.5</v>
      </c>
      <c r="W40" s="3">
        <v>1.2</v>
      </c>
      <c r="X40" s="14"/>
      <c r="Y40" s="3">
        <f t="shared" si="27"/>
        <v>108.69999999999999</v>
      </c>
      <c r="Z40" s="3">
        <f t="shared" si="27"/>
        <v>493.2</v>
      </c>
      <c r="AA40" s="14">
        <f t="shared" si="25"/>
        <v>453.72585096596134</v>
      </c>
      <c r="AB40" s="3">
        <v>0</v>
      </c>
      <c r="AC40" s="3">
        <v>52.6</v>
      </c>
      <c r="AD40" s="14"/>
      <c r="AE40" s="3"/>
      <c r="AF40" s="3"/>
      <c r="AG40" s="28" t="e">
        <f>AF40/AE40*100</f>
        <v>#DIV/0!</v>
      </c>
      <c r="AH40" s="3"/>
      <c r="AI40" s="3"/>
      <c r="AJ40" s="3">
        <f t="shared" si="9"/>
        <v>0</v>
      </c>
      <c r="AK40" s="3">
        <f t="shared" si="10"/>
        <v>52.6</v>
      </c>
      <c r="AL40" s="14" t="e">
        <f t="shared" si="26"/>
        <v>#DIV/0!</v>
      </c>
      <c r="AM40" s="3"/>
      <c r="AN40" s="3"/>
      <c r="AO40" s="3"/>
      <c r="AP40" s="3"/>
      <c r="AQ40" s="3"/>
      <c r="AR40" s="3"/>
      <c r="AS40" s="3">
        <f t="shared" si="11"/>
        <v>3056.7</v>
      </c>
      <c r="AT40" s="3">
        <f t="shared" si="12"/>
        <v>2361.7999999999997</v>
      </c>
      <c r="AU40" s="14">
        <f t="shared" si="28"/>
        <v>77.26633297346811</v>
      </c>
      <c r="AV40" s="14">
        <f t="shared" si="13"/>
        <v>694.9000000000001</v>
      </c>
      <c r="AW40" s="4">
        <f t="shared" si="14"/>
        <v>61.70000000000027</v>
      </c>
    </row>
    <row r="41" spans="1:49" ht="26.25" customHeight="1">
      <c r="A41" s="6">
        <v>30</v>
      </c>
      <c r="B41" s="15" t="s">
        <v>121</v>
      </c>
      <c r="C41" s="2">
        <v>-1389</v>
      </c>
      <c r="D41" s="3">
        <v>1357.5</v>
      </c>
      <c r="E41" s="3">
        <v>118.2</v>
      </c>
      <c r="F41" s="119">
        <f t="shared" si="21"/>
        <v>8.707182320441989</v>
      </c>
      <c r="G41" s="3">
        <v>1304.7</v>
      </c>
      <c r="H41" s="3">
        <v>531.3</v>
      </c>
      <c r="I41" s="14">
        <f t="shared" si="22"/>
        <v>40.72200505863417</v>
      </c>
      <c r="J41" s="3">
        <v>1294.4</v>
      </c>
      <c r="K41" s="3">
        <v>1268.3</v>
      </c>
      <c r="L41" s="14">
        <f t="shared" si="23"/>
        <v>97.9836217552534</v>
      </c>
      <c r="M41" s="3">
        <f t="shared" si="5"/>
        <v>3956.6</v>
      </c>
      <c r="N41" s="3">
        <f t="shared" si="6"/>
        <v>1917.8</v>
      </c>
      <c r="O41" s="14">
        <f t="shared" si="2"/>
        <v>48.470909366627914</v>
      </c>
      <c r="P41" s="3">
        <v>166.1</v>
      </c>
      <c r="Q41" s="3">
        <v>660.3</v>
      </c>
      <c r="R41" s="14">
        <f t="shared" si="24"/>
        <v>397.5316074653823</v>
      </c>
      <c r="S41" s="3">
        <v>0</v>
      </c>
      <c r="T41" s="3">
        <v>64.8</v>
      </c>
      <c r="U41" s="28" t="e">
        <f>T41/S41*100</f>
        <v>#DIV/0!</v>
      </c>
      <c r="V41" s="3">
        <v>0</v>
      </c>
      <c r="W41" s="3">
        <v>139</v>
      </c>
      <c r="X41" s="28" t="e">
        <f>W41/V41*100</f>
        <v>#DIV/0!</v>
      </c>
      <c r="Y41" s="3">
        <f t="shared" si="27"/>
        <v>166.1</v>
      </c>
      <c r="Z41" s="3">
        <f t="shared" si="27"/>
        <v>864.0999999999999</v>
      </c>
      <c r="AA41" s="14">
        <f t="shared" si="25"/>
        <v>520.2287778446719</v>
      </c>
      <c r="AB41" s="3">
        <v>0</v>
      </c>
      <c r="AC41" s="3">
        <v>0</v>
      </c>
      <c r="AD41" s="28" t="e">
        <f>AC41/AB41*100</f>
        <v>#DIV/0!</v>
      </c>
      <c r="AE41" s="3"/>
      <c r="AF41" s="3"/>
      <c r="AG41" s="28" t="e">
        <f t="shared" si="29"/>
        <v>#DIV/0!</v>
      </c>
      <c r="AH41" s="3"/>
      <c r="AI41" s="3"/>
      <c r="AJ41" s="3">
        <f t="shared" si="9"/>
        <v>0</v>
      </c>
      <c r="AK41" s="3">
        <f t="shared" si="10"/>
        <v>0</v>
      </c>
      <c r="AL41" s="28" t="e">
        <f t="shared" si="26"/>
        <v>#DIV/0!</v>
      </c>
      <c r="AM41" s="3"/>
      <c r="AN41" s="3"/>
      <c r="AO41" s="3"/>
      <c r="AP41" s="3"/>
      <c r="AQ41" s="3"/>
      <c r="AR41" s="3"/>
      <c r="AS41" s="3">
        <f t="shared" si="11"/>
        <v>4122.7</v>
      </c>
      <c r="AT41" s="3">
        <f t="shared" si="12"/>
        <v>2781.8999999999996</v>
      </c>
      <c r="AU41" s="119">
        <f t="shared" si="28"/>
        <v>67.47762388725835</v>
      </c>
      <c r="AV41" s="14">
        <f t="shared" si="13"/>
        <v>1340.8000000000002</v>
      </c>
      <c r="AW41" s="4">
        <f t="shared" si="14"/>
        <v>-48.19999999999982</v>
      </c>
    </row>
    <row r="42" spans="1:49" ht="24.75" customHeight="1">
      <c r="A42" s="6">
        <v>31</v>
      </c>
      <c r="B42" s="15" t="s">
        <v>122</v>
      </c>
      <c r="C42" s="2">
        <v>25.4</v>
      </c>
      <c r="D42" s="3">
        <v>0</v>
      </c>
      <c r="E42" s="3">
        <v>0</v>
      </c>
      <c r="F42" s="28" t="e">
        <f t="shared" si="21"/>
        <v>#DIV/0!</v>
      </c>
      <c r="G42" s="3"/>
      <c r="H42" s="3"/>
      <c r="I42" s="28" t="e">
        <f t="shared" si="22"/>
        <v>#DIV/0!</v>
      </c>
      <c r="J42" s="3"/>
      <c r="K42" s="3"/>
      <c r="L42" s="28" t="e">
        <f t="shared" si="23"/>
        <v>#DIV/0!</v>
      </c>
      <c r="M42" s="3"/>
      <c r="N42" s="3"/>
      <c r="O42" s="14"/>
      <c r="P42" s="3"/>
      <c r="Q42" s="3"/>
      <c r="R42" s="14"/>
      <c r="S42" s="3"/>
      <c r="T42" s="3"/>
      <c r="U42" s="28"/>
      <c r="V42" s="3"/>
      <c r="W42" s="3"/>
      <c r="X42" s="28"/>
      <c r="Y42" s="3"/>
      <c r="Z42" s="3"/>
      <c r="AA42" s="28"/>
      <c r="AB42" s="3"/>
      <c r="AC42" s="3"/>
      <c r="AD42" s="28"/>
      <c r="AE42" s="3"/>
      <c r="AF42" s="3"/>
      <c r="AG42" s="28"/>
      <c r="AH42" s="3"/>
      <c r="AI42" s="3"/>
      <c r="AJ42" s="3"/>
      <c r="AK42" s="3"/>
      <c r="AL42" s="28"/>
      <c r="AM42" s="3"/>
      <c r="AN42" s="3"/>
      <c r="AO42" s="3"/>
      <c r="AP42" s="3"/>
      <c r="AQ42" s="3"/>
      <c r="AR42" s="3"/>
      <c r="AS42" s="3"/>
      <c r="AT42" s="3"/>
      <c r="AU42" s="28"/>
      <c r="AV42" s="14">
        <f t="shared" si="13"/>
        <v>0</v>
      </c>
      <c r="AW42" s="4">
        <f t="shared" si="14"/>
        <v>25.4</v>
      </c>
    </row>
    <row r="43" spans="1:49" s="43" customFormat="1" ht="29.25" customHeight="1">
      <c r="A43" s="6">
        <v>32</v>
      </c>
      <c r="B43" s="1" t="s">
        <v>123</v>
      </c>
      <c r="C43" s="2">
        <v>-272.7</v>
      </c>
      <c r="D43" s="3">
        <v>712.7</v>
      </c>
      <c r="E43" s="3">
        <v>14.9</v>
      </c>
      <c r="F43" s="14">
        <f t="shared" si="21"/>
        <v>2.0906412235162057</v>
      </c>
      <c r="G43" s="3">
        <v>652.9</v>
      </c>
      <c r="H43" s="3">
        <v>402.8</v>
      </c>
      <c r="I43" s="14">
        <f t="shared" si="22"/>
        <v>61.693980701485685</v>
      </c>
      <c r="J43" s="3">
        <v>622.3</v>
      </c>
      <c r="K43" s="3">
        <v>673.2</v>
      </c>
      <c r="L43" s="14">
        <f t="shared" si="23"/>
        <v>108.17933472601639</v>
      </c>
      <c r="M43" s="3">
        <f t="shared" si="5"/>
        <v>1987.8999999999999</v>
      </c>
      <c r="N43" s="3">
        <f t="shared" si="6"/>
        <v>1090.9</v>
      </c>
      <c r="O43" s="14">
        <f t="shared" si="2"/>
        <v>54.87700588560793</v>
      </c>
      <c r="P43" s="3">
        <v>43.6</v>
      </c>
      <c r="Q43" s="3">
        <v>520.9</v>
      </c>
      <c r="R43" s="14">
        <f t="shared" si="24"/>
        <v>1194.7247706422017</v>
      </c>
      <c r="S43" s="3">
        <v>0</v>
      </c>
      <c r="T43" s="3">
        <v>35.3</v>
      </c>
      <c r="U43" s="28" t="e">
        <f>T43/S43*100</f>
        <v>#DIV/0!</v>
      </c>
      <c r="V43" s="3">
        <v>0</v>
      </c>
      <c r="W43" s="3">
        <v>-2.2</v>
      </c>
      <c r="X43" s="28" t="e">
        <f>W43/V43*100</f>
        <v>#DIV/0!</v>
      </c>
      <c r="Y43" s="3">
        <f t="shared" si="27"/>
        <v>43.6</v>
      </c>
      <c r="Z43" s="3">
        <f t="shared" si="27"/>
        <v>553.9999999999999</v>
      </c>
      <c r="AA43" s="28">
        <f t="shared" si="25"/>
        <v>1270.6422018348621</v>
      </c>
      <c r="AB43" s="3">
        <v>0</v>
      </c>
      <c r="AC43" s="3">
        <v>3.7</v>
      </c>
      <c r="AD43" s="28" t="e">
        <f>AC43/AB43*100</f>
        <v>#DIV/0!</v>
      </c>
      <c r="AE43" s="3"/>
      <c r="AF43" s="3"/>
      <c r="AG43" s="28" t="e">
        <f t="shared" si="29"/>
        <v>#DIV/0!</v>
      </c>
      <c r="AH43" s="3"/>
      <c r="AI43" s="3"/>
      <c r="AJ43" s="3">
        <f t="shared" si="9"/>
        <v>0</v>
      </c>
      <c r="AK43" s="3">
        <f t="shared" si="10"/>
        <v>3.7</v>
      </c>
      <c r="AL43" s="28" t="e">
        <f t="shared" si="26"/>
        <v>#DIV/0!</v>
      </c>
      <c r="AM43" s="3"/>
      <c r="AN43" s="3"/>
      <c r="AO43" s="3"/>
      <c r="AP43" s="3"/>
      <c r="AQ43" s="3"/>
      <c r="AR43" s="3"/>
      <c r="AS43" s="3">
        <f t="shared" si="11"/>
        <v>2031.4999999999998</v>
      </c>
      <c r="AT43" s="3">
        <f t="shared" si="12"/>
        <v>1648.6000000000001</v>
      </c>
      <c r="AU43" s="14">
        <f t="shared" si="28"/>
        <v>81.1518582328329</v>
      </c>
      <c r="AV43" s="14">
        <f t="shared" si="13"/>
        <v>382.89999999999964</v>
      </c>
      <c r="AW43" s="4">
        <f t="shared" si="14"/>
        <v>110.19999999999959</v>
      </c>
    </row>
    <row r="44" spans="1:49" s="43" customFormat="1" ht="25.5" customHeight="1">
      <c r="A44" s="6">
        <v>33</v>
      </c>
      <c r="B44" s="15" t="s">
        <v>124</v>
      </c>
      <c r="C44" s="2">
        <v>-1132.2</v>
      </c>
      <c r="D44" s="3">
        <v>1277.4</v>
      </c>
      <c r="E44" s="3">
        <v>0.8</v>
      </c>
      <c r="F44" s="14">
        <v>1.8</v>
      </c>
      <c r="G44" s="3">
        <v>1246</v>
      </c>
      <c r="H44" s="3">
        <v>314</v>
      </c>
      <c r="I44" s="14">
        <f t="shared" si="22"/>
        <v>25.20064205457464</v>
      </c>
      <c r="J44" s="3">
        <v>1221.4</v>
      </c>
      <c r="K44" s="3">
        <v>562.8</v>
      </c>
      <c r="L44" s="14">
        <f t="shared" si="23"/>
        <v>46.078270836744714</v>
      </c>
      <c r="M44" s="3">
        <f t="shared" si="5"/>
        <v>3744.8</v>
      </c>
      <c r="N44" s="3">
        <f t="shared" si="6"/>
        <v>877.5999999999999</v>
      </c>
      <c r="O44" s="14">
        <f t="shared" si="2"/>
        <v>23.435163426618242</v>
      </c>
      <c r="P44" s="3">
        <v>243.2</v>
      </c>
      <c r="Q44" s="3">
        <v>2151.7</v>
      </c>
      <c r="R44" s="14">
        <f t="shared" si="24"/>
        <v>884.7450657894736</v>
      </c>
      <c r="S44" s="3">
        <v>89</v>
      </c>
      <c r="T44" s="3">
        <v>33.8</v>
      </c>
      <c r="U44" s="14"/>
      <c r="V44" s="3">
        <v>95.3</v>
      </c>
      <c r="W44" s="3">
        <v>105.6</v>
      </c>
      <c r="X44" s="14"/>
      <c r="Y44" s="3">
        <f t="shared" si="27"/>
        <v>427.5</v>
      </c>
      <c r="Z44" s="3">
        <f t="shared" si="27"/>
        <v>2291.1</v>
      </c>
      <c r="AA44" s="14">
        <f t="shared" si="25"/>
        <v>535.9298245614035</v>
      </c>
      <c r="AB44" s="3">
        <v>95.3</v>
      </c>
      <c r="AC44" s="3">
        <v>80.6</v>
      </c>
      <c r="AD44" s="14"/>
      <c r="AE44" s="3"/>
      <c r="AF44" s="3"/>
      <c r="AG44" s="28" t="e">
        <f t="shared" si="29"/>
        <v>#DIV/0!</v>
      </c>
      <c r="AH44" s="3"/>
      <c r="AI44" s="3"/>
      <c r="AJ44" s="3">
        <f t="shared" si="9"/>
        <v>95.3</v>
      </c>
      <c r="AK44" s="3">
        <f t="shared" si="10"/>
        <v>80.6</v>
      </c>
      <c r="AL44" s="14">
        <f t="shared" si="26"/>
        <v>84.57502623294857</v>
      </c>
      <c r="AM44" s="3"/>
      <c r="AN44" s="3"/>
      <c r="AO44" s="3"/>
      <c r="AP44" s="3"/>
      <c r="AQ44" s="3"/>
      <c r="AR44" s="3"/>
      <c r="AS44" s="3">
        <f t="shared" si="11"/>
        <v>4267.6</v>
      </c>
      <c r="AT44" s="3">
        <f t="shared" si="12"/>
        <v>3249.2999999999997</v>
      </c>
      <c r="AU44" s="14">
        <f t="shared" si="28"/>
        <v>76.13881338457212</v>
      </c>
      <c r="AV44" s="14">
        <f t="shared" si="13"/>
        <v>1018.3000000000006</v>
      </c>
      <c r="AW44" s="4">
        <f t="shared" si="14"/>
        <v>-113.89999999999918</v>
      </c>
    </row>
    <row r="45" spans="1:49" s="8" customFormat="1" ht="24.75" customHeight="1">
      <c r="A45" s="38">
        <v>34</v>
      </c>
      <c r="B45" s="16" t="s">
        <v>40</v>
      </c>
      <c r="C45" s="48">
        <f>C46+C47</f>
        <v>1127.7</v>
      </c>
      <c r="D45" s="4">
        <f>D46+D47</f>
        <v>65072.9</v>
      </c>
      <c r="E45" s="4">
        <f>E46+E47</f>
        <v>5198</v>
      </c>
      <c r="F45" s="14">
        <f t="shared" si="21"/>
        <v>7.9879642677673806</v>
      </c>
      <c r="G45" s="4">
        <f>G46+G47</f>
        <v>80988.9</v>
      </c>
      <c r="H45" s="4">
        <f>H46+H47</f>
        <v>65679.6</v>
      </c>
      <c r="I45" s="14">
        <f>H45/G45*100</f>
        <v>81.09703922389365</v>
      </c>
      <c r="J45" s="4">
        <f>J46+J47</f>
        <v>83279.7</v>
      </c>
      <c r="K45" s="4">
        <f>K46+K47</f>
        <v>85444</v>
      </c>
      <c r="L45" s="14">
        <f t="shared" si="23"/>
        <v>102.59883260866694</v>
      </c>
      <c r="M45" s="4">
        <f>M46+M47</f>
        <v>229341.5</v>
      </c>
      <c r="N45" s="4">
        <f>N46+N47</f>
        <v>156321.6</v>
      </c>
      <c r="O45" s="14">
        <f t="shared" si="2"/>
        <v>68.16106112500354</v>
      </c>
      <c r="P45" s="4">
        <f>P46+P47</f>
        <v>39331.8</v>
      </c>
      <c r="Q45" s="4">
        <f>Q46+Q47</f>
        <v>51697.7</v>
      </c>
      <c r="R45" s="14">
        <f>Q45/P45*100</f>
        <v>131.43995443890185</v>
      </c>
      <c r="S45" s="4">
        <f>S46+S47</f>
        <v>5243.1</v>
      </c>
      <c r="T45" s="4">
        <f>T46+T47</f>
        <v>30047.7</v>
      </c>
      <c r="U45" s="14">
        <f>T45/S45*100</f>
        <v>573.0903473136121</v>
      </c>
      <c r="V45" s="4">
        <f>V46+V47</f>
        <v>3444.3</v>
      </c>
      <c r="W45" s="4">
        <f>W46+W47</f>
        <v>21337.1</v>
      </c>
      <c r="X45" s="14">
        <f>W45/V45*100</f>
        <v>619.4901721685103</v>
      </c>
      <c r="Y45" s="4">
        <f>Y46+Y47</f>
        <v>48019.2</v>
      </c>
      <c r="Z45" s="4">
        <f>Z46+Z47</f>
        <v>103082.5</v>
      </c>
      <c r="AA45" s="14">
        <f t="shared" si="25"/>
        <v>214.66934059709453</v>
      </c>
      <c r="AB45" s="4">
        <f>AB46+AB47</f>
        <v>1806.1</v>
      </c>
      <c r="AC45" s="4">
        <f>AC46+AC47</f>
        <v>6951.3</v>
      </c>
      <c r="AD45" s="14">
        <f>AC45/AB45*100</f>
        <v>384.8790210951775</v>
      </c>
      <c r="AE45" s="4">
        <f>AE46+AE47</f>
        <v>0</v>
      </c>
      <c r="AF45" s="4">
        <f>AF46+AF47</f>
        <v>0</v>
      </c>
      <c r="AG45" s="28" t="e">
        <f>AF45/AE45*100</f>
        <v>#DIV/0!</v>
      </c>
      <c r="AH45" s="4">
        <f>AH46+AH47</f>
        <v>0</v>
      </c>
      <c r="AI45" s="4">
        <f>AI46+AI47</f>
        <v>0</v>
      </c>
      <c r="AJ45" s="4">
        <f>AJ46+AJ47</f>
        <v>1806.1</v>
      </c>
      <c r="AK45" s="4">
        <f>AK46+AK47</f>
        <v>6951.3</v>
      </c>
      <c r="AL45" s="14">
        <f t="shared" si="26"/>
        <v>384.8790210951775</v>
      </c>
      <c r="AM45" s="4">
        <f aca="true" t="shared" si="30" ref="AM45:AT45">AM46+AM47</f>
        <v>0</v>
      </c>
      <c r="AN45" s="4">
        <f t="shared" si="30"/>
        <v>0</v>
      </c>
      <c r="AO45" s="4">
        <f t="shared" si="30"/>
        <v>0</v>
      </c>
      <c r="AP45" s="4">
        <f t="shared" si="30"/>
        <v>0</v>
      </c>
      <c r="AQ45" s="4">
        <f>AQ46+AQ47</f>
        <v>0</v>
      </c>
      <c r="AR45" s="4">
        <f>AR46+AR47</f>
        <v>0</v>
      </c>
      <c r="AS45" s="4">
        <f t="shared" si="30"/>
        <v>279166.8</v>
      </c>
      <c r="AT45" s="4">
        <f t="shared" si="30"/>
        <v>266355.4</v>
      </c>
      <c r="AU45" s="14">
        <f t="shared" si="28"/>
        <v>95.4108439828805</v>
      </c>
      <c r="AV45" s="49">
        <f>AV46+AV47</f>
        <v>12811.4</v>
      </c>
      <c r="AW45" s="49">
        <f>AW46+AW47</f>
        <v>13939.1</v>
      </c>
    </row>
    <row r="46" spans="1:49" s="50" customFormat="1" ht="24.75" customHeight="1">
      <c r="A46" s="38"/>
      <c r="B46" s="1" t="s">
        <v>58</v>
      </c>
      <c r="C46" s="2">
        <v>1495</v>
      </c>
      <c r="D46" s="3">
        <v>63757</v>
      </c>
      <c r="E46" s="3">
        <v>5198</v>
      </c>
      <c r="F46" s="14">
        <f t="shared" si="21"/>
        <v>8.15283027745973</v>
      </c>
      <c r="G46" s="3">
        <v>79845</v>
      </c>
      <c r="H46" s="3">
        <v>65128</v>
      </c>
      <c r="I46" s="14">
        <f t="shared" si="22"/>
        <v>81.56803807376792</v>
      </c>
      <c r="J46" s="3">
        <v>82047</v>
      </c>
      <c r="K46" s="3">
        <v>83903</v>
      </c>
      <c r="L46" s="14">
        <f t="shared" si="23"/>
        <v>102.26211805428595</v>
      </c>
      <c r="M46" s="3">
        <f>D46+G46+J46</f>
        <v>225649</v>
      </c>
      <c r="N46" s="3">
        <f>E46+H46+K46</f>
        <v>154229</v>
      </c>
      <c r="O46" s="14">
        <f t="shared" si="2"/>
        <v>68.34907311798413</v>
      </c>
      <c r="P46" s="3">
        <v>38880</v>
      </c>
      <c r="Q46" s="3">
        <v>50465</v>
      </c>
      <c r="R46" s="14">
        <f>Q46/P46*100</f>
        <v>129.7968106995885</v>
      </c>
      <c r="S46" s="3">
        <v>5201</v>
      </c>
      <c r="T46" s="3">
        <v>29596</v>
      </c>
      <c r="U46" s="14">
        <f>T46/S46*100</f>
        <v>569.0444145356662</v>
      </c>
      <c r="V46" s="3">
        <v>3422</v>
      </c>
      <c r="W46" s="3">
        <v>21295</v>
      </c>
      <c r="X46" s="14">
        <f>W46/V46*100</f>
        <v>622.2969023962595</v>
      </c>
      <c r="Y46" s="3">
        <f>P46+S46+V46</f>
        <v>47503</v>
      </c>
      <c r="Z46" s="3">
        <f>Q46+T46+W46</f>
        <v>101356</v>
      </c>
      <c r="AA46" s="14">
        <f t="shared" si="25"/>
        <v>213.36757678462413</v>
      </c>
      <c r="AB46" s="3">
        <v>1788</v>
      </c>
      <c r="AC46" s="3">
        <v>6929</v>
      </c>
      <c r="AD46" s="14">
        <f>AC46/AB46*100</f>
        <v>387.52796420581655</v>
      </c>
      <c r="AE46" s="3"/>
      <c r="AF46" s="3"/>
      <c r="AG46" s="28" t="e">
        <f>AF46/AE46*100</f>
        <v>#DIV/0!</v>
      </c>
      <c r="AH46" s="3"/>
      <c r="AI46" s="3"/>
      <c r="AJ46" s="3">
        <f>AB46+AE46+AH46</f>
        <v>1788</v>
      </c>
      <c r="AK46" s="3">
        <f>AC46+AF46+AI46</f>
        <v>6929</v>
      </c>
      <c r="AL46" s="14">
        <f t="shared" si="26"/>
        <v>387.52796420581655</v>
      </c>
      <c r="AM46" s="3"/>
      <c r="AN46" s="3"/>
      <c r="AO46" s="3"/>
      <c r="AP46" s="3"/>
      <c r="AQ46" s="3"/>
      <c r="AR46" s="3"/>
      <c r="AS46" s="3">
        <f>M46+Y46+AJ46+AM46+AO46+AQ46</f>
        <v>274940</v>
      </c>
      <c r="AT46" s="3">
        <f>N46+Z46+AK46+AN46+AP46+AR46</f>
        <v>262514</v>
      </c>
      <c r="AU46" s="14">
        <f t="shared" si="28"/>
        <v>95.4804684658471</v>
      </c>
      <c r="AV46" s="14">
        <f>AS46-AT46</f>
        <v>12426</v>
      </c>
      <c r="AW46" s="4">
        <f>C46+AS46-AT46</f>
        <v>13921</v>
      </c>
    </row>
    <row r="47" spans="1:49" s="8" customFormat="1" ht="24.75" customHeight="1">
      <c r="A47" s="38"/>
      <c r="B47" s="1" t="s">
        <v>35</v>
      </c>
      <c r="C47" s="2">
        <v>-367.3</v>
      </c>
      <c r="D47" s="3">
        <v>1315.9</v>
      </c>
      <c r="E47" s="3">
        <v>0</v>
      </c>
      <c r="F47" s="14">
        <f t="shared" si="21"/>
        <v>0</v>
      </c>
      <c r="G47" s="44">
        <v>1143.9</v>
      </c>
      <c r="H47" s="44">
        <v>551.6</v>
      </c>
      <c r="I47" s="14">
        <f t="shared" si="22"/>
        <v>48.220998339015644</v>
      </c>
      <c r="J47" s="44">
        <v>1232.7</v>
      </c>
      <c r="K47" s="44">
        <v>1541</v>
      </c>
      <c r="L47" s="14">
        <f t="shared" si="23"/>
        <v>125.01014034233795</v>
      </c>
      <c r="M47" s="3">
        <f>D47+G47+J47</f>
        <v>3692.5</v>
      </c>
      <c r="N47" s="3">
        <f>E47+H47+K47</f>
        <v>2092.6</v>
      </c>
      <c r="O47" s="14">
        <f t="shared" si="2"/>
        <v>56.67163168584969</v>
      </c>
      <c r="P47" s="44">
        <v>451.8</v>
      </c>
      <c r="Q47" s="44">
        <v>1232.7</v>
      </c>
      <c r="R47" s="14">
        <f>Q47/P47*100</f>
        <v>272.84196547144757</v>
      </c>
      <c r="S47" s="44">
        <v>42.1</v>
      </c>
      <c r="T47" s="44">
        <v>451.7</v>
      </c>
      <c r="U47" s="14">
        <f>T47/S47*100</f>
        <v>1072.9216152019</v>
      </c>
      <c r="V47" s="44">
        <v>22.3</v>
      </c>
      <c r="W47" s="44">
        <v>42.1</v>
      </c>
      <c r="X47" s="14">
        <f>W47/V47*100</f>
        <v>188.78923766816143</v>
      </c>
      <c r="Y47" s="3">
        <f>P47+S47+V47</f>
        <v>516.2</v>
      </c>
      <c r="Z47" s="3">
        <f>Q47+T47+W47</f>
        <v>1726.5</v>
      </c>
      <c r="AA47" s="14">
        <f t="shared" si="25"/>
        <v>334.4633862843859</v>
      </c>
      <c r="AB47" s="44">
        <v>18.1</v>
      </c>
      <c r="AC47" s="44">
        <v>22.3</v>
      </c>
      <c r="AD47" s="14">
        <f>AC47/AB47*100</f>
        <v>123.20441988950274</v>
      </c>
      <c r="AE47" s="44"/>
      <c r="AF47" s="44"/>
      <c r="AG47" s="36" t="e">
        <f>AF47/AE47*100</f>
        <v>#DIV/0!</v>
      </c>
      <c r="AH47" s="44"/>
      <c r="AI47" s="44"/>
      <c r="AJ47" s="3">
        <f>AB47+AE47+AH47</f>
        <v>18.1</v>
      </c>
      <c r="AK47" s="3">
        <f>AC47+AF47+AI47</f>
        <v>22.3</v>
      </c>
      <c r="AL47" s="14">
        <f t="shared" si="26"/>
        <v>123.20441988950274</v>
      </c>
      <c r="AM47" s="44"/>
      <c r="AN47" s="44"/>
      <c r="AO47" s="44"/>
      <c r="AP47" s="44"/>
      <c r="AQ47" s="44"/>
      <c r="AR47" s="44"/>
      <c r="AS47" s="3">
        <f>M47+Y47+AJ47+AM47+AO47+AQ47</f>
        <v>4226.8</v>
      </c>
      <c r="AT47" s="3">
        <f>N47+Z47+AK47+AN47+AP47+AR47</f>
        <v>3841.4</v>
      </c>
      <c r="AU47" s="14">
        <f t="shared" si="28"/>
        <v>90.88199110438157</v>
      </c>
      <c r="AV47" s="14">
        <f>AS47-AT47</f>
        <v>385.4000000000001</v>
      </c>
      <c r="AW47" s="4">
        <f>C47+AS47-AT47</f>
        <v>18.09999999999991</v>
      </c>
    </row>
    <row r="48" spans="1:51" s="8" customFormat="1" ht="24.75" customHeight="1">
      <c r="A48" s="38"/>
      <c r="B48" s="16" t="s">
        <v>42</v>
      </c>
      <c r="C48" s="48">
        <f>C7+C45</f>
        <v>548.5999999999997</v>
      </c>
      <c r="D48" s="4">
        <f>D7+D45</f>
        <v>76842</v>
      </c>
      <c r="E48" s="4">
        <f>E7+E45</f>
        <v>5974.2</v>
      </c>
      <c r="F48" s="14">
        <f>E48/D48*100</f>
        <v>7.774654485828063</v>
      </c>
      <c r="G48" s="4">
        <f>G7+G45</f>
        <v>92701.09999999999</v>
      </c>
      <c r="H48" s="4">
        <f>H7+H45</f>
        <v>71534.20000000001</v>
      </c>
      <c r="I48" s="14">
        <f>H48/G48*100</f>
        <v>77.1665061148142</v>
      </c>
      <c r="J48" s="4">
        <f>J7+J45</f>
        <v>94911</v>
      </c>
      <c r="K48" s="4">
        <f>K7+K45</f>
        <v>96559.6</v>
      </c>
      <c r="L48" s="14">
        <f t="shared" si="23"/>
        <v>101.73699571177208</v>
      </c>
      <c r="M48" s="4">
        <f>M7+M45</f>
        <v>264454.1</v>
      </c>
      <c r="N48" s="4">
        <f>N7+N45</f>
        <v>174068</v>
      </c>
      <c r="O48" s="14">
        <f t="shared" si="2"/>
        <v>65.82163029425523</v>
      </c>
      <c r="P48" s="4">
        <f>P7+P45</f>
        <v>40603.100000000006</v>
      </c>
      <c r="Q48" s="4">
        <f>Q7+Q45</f>
        <v>58057.7</v>
      </c>
      <c r="R48" s="14">
        <f>Q48/P48*100</f>
        <v>142.98834325457906</v>
      </c>
      <c r="S48" s="4">
        <f>S7+S45</f>
        <v>5370.1</v>
      </c>
      <c r="T48" s="4">
        <f>T7+T45</f>
        <v>31447.3</v>
      </c>
      <c r="U48" s="14">
        <f>T48/S48*100</f>
        <v>585.5998957188879</v>
      </c>
      <c r="V48" s="4">
        <f>V7+V45</f>
        <v>3553.6000000000004</v>
      </c>
      <c r="W48" s="4">
        <f>W7+W45</f>
        <v>22102.399999999998</v>
      </c>
      <c r="X48" s="14">
        <f>W48/V48*100</f>
        <v>621.9720846465555</v>
      </c>
      <c r="Y48" s="4">
        <f>Y7+Y45</f>
        <v>49526.799999999996</v>
      </c>
      <c r="Z48" s="4">
        <f>Z7+Z45</f>
        <v>111607.4</v>
      </c>
      <c r="AA48" s="14">
        <f t="shared" si="25"/>
        <v>225.3474886324172</v>
      </c>
      <c r="AB48" s="4">
        <f>AB7+AB45</f>
        <v>1944.5</v>
      </c>
      <c r="AC48" s="4">
        <f>AC7+AC45</f>
        <v>7573.6</v>
      </c>
      <c r="AD48" s="14">
        <f>AC48/AB48*100</f>
        <v>389.4883003342762</v>
      </c>
      <c r="AE48" s="4">
        <f>AE7+AE45</f>
        <v>0</v>
      </c>
      <c r="AF48" s="4">
        <f>AF7+AF45</f>
        <v>0</v>
      </c>
      <c r="AG48" s="14" t="e">
        <f>AF48/AE48*100</f>
        <v>#DIV/0!</v>
      </c>
      <c r="AH48" s="4">
        <f>AH7+AH45</f>
        <v>0</v>
      </c>
      <c r="AI48" s="4">
        <f>AI7+AI45</f>
        <v>0</v>
      </c>
      <c r="AJ48" s="4">
        <f>AJ7+AJ45</f>
        <v>1944.5</v>
      </c>
      <c r="AK48" s="4">
        <f>AK7+AK45</f>
        <v>7573.6</v>
      </c>
      <c r="AL48" s="14">
        <f t="shared" si="26"/>
        <v>389.4883003342762</v>
      </c>
      <c r="AM48" s="4">
        <f aca="true" t="shared" si="31" ref="AM48:AT48">AM7+AM45</f>
        <v>0</v>
      </c>
      <c r="AN48" s="4">
        <f t="shared" si="31"/>
        <v>0</v>
      </c>
      <c r="AO48" s="4">
        <f t="shared" si="31"/>
        <v>0</v>
      </c>
      <c r="AP48" s="4">
        <f t="shared" si="31"/>
        <v>0</v>
      </c>
      <c r="AQ48" s="4">
        <f>AQ7+AQ45</f>
        <v>0</v>
      </c>
      <c r="AR48" s="4">
        <f>AR7+AR45</f>
        <v>0</v>
      </c>
      <c r="AS48" s="4">
        <f t="shared" si="31"/>
        <v>315925.39999999997</v>
      </c>
      <c r="AT48" s="4">
        <f t="shared" si="31"/>
        <v>293249</v>
      </c>
      <c r="AU48" s="14">
        <f>AT48/AS48*100</f>
        <v>92.82222955166</v>
      </c>
      <c r="AV48" s="49">
        <f>AV7+AV45</f>
        <v>22676.4</v>
      </c>
      <c r="AW48" s="49">
        <f>AW7+AW45</f>
        <v>23225</v>
      </c>
      <c r="AX48" s="20">
        <f>AS48-AT48</f>
        <v>22676.399999999965</v>
      </c>
      <c r="AY48" s="18">
        <f>C48+AS48-AT48</f>
        <v>23224.99999999994</v>
      </c>
    </row>
    <row r="49" spans="1:49" ht="17.25" customHeight="1">
      <c r="A49" s="154"/>
      <c r="B49" s="155"/>
      <c r="C49" s="155"/>
      <c r="D49" s="155"/>
      <c r="E49" s="155"/>
      <c r="F49" s="155"/>
      <c r="G49" s="155"/>
      <c r="H49" s="155"/>
      <c r="I49" s="155"/>
      <c r="J49" s="155"/>
      <c r="K49" s="155"/>
      <c r="L49" s="155"/>
      <c r="M49" s="155"/>
      <c r="N49" s="155"/>
      <c r="O49" s="155"/>
      <c r="P49" s="155"/>
      <c r="Q49" s="155"/>
      <c r="R49" s="155"/>
      <c r="S49" s="155"/>
      <c r="T49" s="155"/>
      <c r="U49" s="155"/>
      <c r="V49" s="155"/>
      <c r="W49" s="155"/>
      <c r="X49" s="155"/>
      <c r="Y49" s="155"/>
      <c r="Z49" s="155"/>
      <c r="AA49" s="155"/>
      <c r="AB49" s="155"/>
      <c r="AC49" s="155"/>
      <c r="AD49" s="155"/>
      <c r="AE49" s="155"/>
      <c r="AF49" s="155"/>
      <c r="AG49" s="155"/>
      <c r="AH49" s="155"/>
      <c r="AI49" s="155"/>
      <c r="AJ49" s="155"/>
      <c r="AK49" s="155"/>
      <c r="AL49" s="155"/>
      <c r="AM49" s="155"/>
      <c r="AN49" s="155"/>
      <c r="AO49" s="155"/>
      <c r="AP49" s="155"/>
      <c r="AQ49" s="155"/>
      <c r="AR49" s="155"/>
      <c r="AS49" s="155"/>
      <c r="AT49" s="155"/>
      <c r="AU49" s="155"/>
      <c r="AV49" s="155"/>
      <c r="AW49" s="155"/>
    </row>
    <row r="50" spans="1:49" ht="4.5" customHeight="1">
      <c r="A50" s="156"/>
      <c r="B50" s="156"/>
      <c r="C50" s="156"/>
      <c r="D50" s="156"/>
      <c r="E50" s="156"/>
      <c r="F50" s="156"/>
      <c r="G50" s="156"/>
      <c r="H50" s="156"/>
      <c r="I50" s="156"/>
      <c r="J50" s="156"/>
      <c r="K50" s="156"/>
      <c r="L50" s="156"/>
      <c r="M50" s="156"/>
      <c r="N50" s="156"/>
      <c r="O50" s="156"/>
      <c r="P50" s="156"/>
      <c r="Q50" s="156"/>
      <c r="R50" s="156"/>
      <c r="S50" s="156"/>
      <c r="T50" s="156"/>
      <c r="U50" s="156"/>
      <c r="V50" s="156"/>
      <c r="W50" s="156"/>
      <c r="X50" s="156"/>
      <c r="Y50" s="156"/>
      <c r="Z50" s="156"/>
      <c r="AA50" s="156"/>
      <c r="AB50" s="156"/>
      <c r="AC50" s="156"/>
      <c r="AD50" s="156"/>
      <c r="AE50" s="156"/>
      <c r="AF50" s="156"/>
      <c r="AG50" s="156"/>
      <c r="AH50" s="156"/>
      <c r="AI50" s="156"/>
      <c r="AJ50" s="156"/>
      <c r="AK50" s="156"/>
      <c r="AL50" s="156"/>
      <c r="AM50" s="156"/>
      <c r="AN50" s="156"/>
      <c r="AO50" s="156"/>
      <c r="AP50" s="156"/>
      <c r="AQ50" s="156"/>
      <c r="AR50" s="156"/>
      <c r="AS50" s="156"/>
      <c r="AT50" s="156"/>
      <c r="AU50" s="156"/>
      <c r="AV50" s="156"/>
      <c r="AW50" s="156"/>
    </row>
    <row r="51" spans="1:49" ht="18.75" customHeight="1" hidden="1">
      <c r="A51" s="6"/>
      <c r="B51" s="8" t="s">
        <v>45</v>
      </c>
      <c r="C51" s="51"/>
      <c r="D51" s="52"/>
      <c r="E51" s="53"/>
      <c r="F51" s="54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8"/>
    </row>
    <row r="52" spans="2:49" ht="7.5" customHeight="1" hidden="1">
      <c r="B52" s="8"/>
      <c r="C52" s="51"/>
      <c r="D52" s="51"/>
      <c r="E52" s="51"/>
      <c r="F52" s="54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8"/>
    </row>
    <row r="53" spans="1:49" ht="18.75" customHeight="1" hidden="1">
      <c r="A53" s="6"/>
      <c r="B53" s="8" t="s">
        <v>46</v>
      </c>
      <c r="C53" s="51"/>
      <c r="D53" s="53"/>
      <c r="E53" s="51"/>
      <c r="F53" s="54"/>
      <c r="G53" s="31"/>
      <c r="H53" s="31"/>
      <c r="I53" s="55"/>
      <c r="J53" s="31"/>
      <c r="K53" s="31"/>
      <c r="L53" s="55"/>
      <c r="M53" s="55"/>
      <c r="N53" s="55"/>
      <c r="O53" s="55"/>
      <c r="P53" s="31"/>
      <c r="Q53" s="31"/>
      <c r="R53" s="55"/>
      <c r="S53" s="31"/>
      <c r="T53" s="31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6"/>
      <c r="AT53" s="56"/>
      <c r="AU53" s="55"/>
      <c r="AV53" s="31"/>
      <c r="AW53" s="57" t="s">
        <v>57</v>
      </c>
    </row>
    <row r="54" spans="1:49" ht="24.75" customHeight="1">
      <c r="A54" s="58"/>
      <c r="B54" s="153"/>
      <c r="C54" s="153"/>
      <c r="G54" s="31"/>
      <c r="H54" s="31"/>
      <c r="I54" s="55"/>
      <c r="J54" s="31"/>
      <c r="K54" s="31"/>
      <c r="L54" s="55"/>
      <c r="M54" s="55"/>
      <c r="N54" s="55"/>
      <c r="O54" s="55"/>
      <c r="P54" s="31"/>
      <c r="Q54" s="31"/>
      <c r="R54" s="55"/>
      <c r="S54" s="31"/>
      <c r="T54" s="31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31"/>
      <c r="AT54" s="31"/>
      <c r="AU54" s="55"/>
      <c r="AV54" s="31"/>
      <c r="AW54" s="31"/>
    </row>
    <row r="55" spans="1:49" s="64" customFormat="1" ht="52.5" customHeight="1">
      <c r="A55" s="59"/>
      <c r="B55" s="150" t="s">
        <v>61</v>
      </c>
      <c r="C55" s="150"/>
      <c r="D55" s="150"/>
      <c r="E55" s="60"/>
      <c r="F55" s="61"/>
      <c r="G55" s="62"/>
      <c r="H55" s="62"/>
      <c r="I55" s="61"/>
      <c r="J55" s="62"/>
      <c r="K55" s="62"/>
      <c r="L55" s="61"/>
      <c r="M55" s="61"/>
      <c r="N55" s="61"/>
      <c r="O55" s="61"/>
      <c r="P55" s="62"/>
      <c r="Q55" s="62"/>
      <c r="R55" s="61"/>
      <c r="S55" s="62"/>
      <c r="T55" s="62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0"/>
      <c r="AT55" s="60"/>
      <c r="AU55" s="61"/>
      <c r="AV55" s="62"/>
      <c r="AW55" s="63" t="s">
        <v>60</v>
      </c>
    </row>
    <row r="56" spans="1:49" ht="49.5" customHeight="1" hidden="1">
      <c r="A56" s="58"/>
      <c r="B56" s="157" t="s">
        <v>9</v>
      </c>
      <c r="C56" s="157"/>
      <c r="D56" s="8"/>
      <c r="E56" s="8"/>
      <c r="G56" s="27"/>
      <c r="H56" s="27"/>
      <c r="I56" s="65"/>
      <c r="J56" s="27"/>
      <c r="K56" s="27"/>
      <c r="L56" s="65"/>
      <c r="M56" s="65"/>
      <c r="N56" s="65"/>
      <c r="O56" s="65"/>
      <c r="P56" s="27"/>
      <c r="Q56" s="27"/>
      <c r="R56" s="65"/>
      <c r="S56" s="27"/>
      <c r="T56" s="27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65"/>
      <c r="AK56" s="65"/>
      <c r="AL56" s="65"/>
      <c r="AM56" s="65"/>
      <c r="AN56" s="65"/>
      <c r="AO56" s="65"/>
      <c r="AP56" s="65"/>
      <c r="AQ56" s="65"/>
      <c r="AR56" s="65"/>
      <c r="AS56" s="27"/>
      <c r="AT56" s="27"/>
      <c r="AU56" s="65"/>
      <c r="AV56" s="27"/>
      <c r="AW56" s="27"/>
    </row>
    <row r="57" spans="1:54" ht="73.5" customHeight="1" hidden="1">
      <c r="A57" s="151" t="s">
        <v>59</v>
      </c>
      <c r="B57" s="151"/>
      <c r="C57" s="151"/>
      <c r="D57" s="56"/>
      <c r="E57" s="56"/>
      <c r="F57" s="55"/>
      <c r="G57" s="3">
        <v>142.7</v>
      </c>
      <c r="H57" s="3">
        <v>103.3</v>
      </c>
      <c r="I57" s="14"/>
      <c r="J57" s="3">
        <v>142.7</v>
      </c>
      <c r="K57" s="3">
        <v>103.3</v>
      </c>
      <c r="L57" s="14"/>
      <c r="M57" s="14"/>
      <c r="N57" s="14"/>
      <c r="O57" s="14"/>
      <c r="P57" s="3">
        <v>142.7</v>
      </c>
      <c r="Q57" s="3">
        <v>103.3</v>
      </c>
      <c r="R57" s="14"/>
      <c r="S57" s="3">
        <v>142.7</v>
      </c>
      <c r="T57" s="3">
        <v>103.3</v>
      </c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3">
        <v>1154.2</v>
      </c>
      <c r="AT57" s="3">
        <v>1213.3</v>
      </c>
      <c r="AU57" s="14"/>
      <c r="AV57" s="3"/>
      <c r="AW57" s="4">
        <f>C57+D57-E57</f>
        <v>0</v>
      </c>
      <c r="AX57" s="31"/>
      <c r="AY57" s="31"/>
      <c r="AZ57" s="31"/>
      <c r="BA57" s="55"/>
      <c r="BB57" s="57" t="s">
        <v>57</v>
      </c>
    </row>
    <row r="58" spans="2:49" ht="18.75">
      <c r="B58" s="5" t="s">
        <v>12</v>
      </c>
      <c r="C58" s="66">
        <v>91.5</v>
      </c>
      <c r="D58" s="31"/>
      <c r="E58" s="31"/>
      <c r="F58" s="55"/>
      <c r="G58" s="27"/>
      <c r="H58" s="27"/>
      <c r="I58" s="65"/>
      <c r="J58" s="27"/>
      <c r="K58" s="27"/>
      <c r="L58" s="65"/>
      <c r="M58" s="65"/>
      <c r="N58" s="65"/>
      <c r="O58" s="65"/>
      <c r="P58" s="27"/>
      <c r="Q58" s="27"/>
      <c r="R58" s="65"/>
      <c r="S58" s="27"/>
      <c r="T58" s="27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5"/>
      <c r="AI58" s="65"/>
      <c r="AJ58" s="65"/>
      <c r="AK58" s="65"/>
      <c r="AL58" s="65"/>
      <c r="AM58" s="65"/>
      <c r="AN58" s="65"/>
      <c r="AO58" s="65"/>
      <c r="AP58" s="65"/>
      <c r="AQ58" s="65"/>
      <c r="AR58" s="65"/>
      <c r="AS58" s="27">
        <v>1415.7</v>
      </c>
      <c r="AT58" s="27">
        <v>1436.1</v>
      </c>
      <c r="AU58" s="65"/>
      <c r="AV58" s="27"/>
      <c r="AW58" s="4">
        <f>C58+D58-E58</f>
        <v>91.5</v>
      </c>
    </row>
    <row r="59" spans="3:49" ht="18.75">
      <c r="C59" s="66"/>
      <c r="D59" s="31"/>
      <c r="E59" s="31"/>
      <c r="F59" s="55"/>
      <c r="G59" s="27"/>
      <c r="H59" s="27"/>
      <c r="I59" s="65"/>
      <c r="J59" s="27"/>
      <c r="K59" s="27"/>
      <c r="L59" s="65"/>
      <c r="M59" s="65"/>
      <c r="N59" s="65"/>
      <c r="O59" s="65"/>
      <c r="P59" s="27"/>
      <c r="Q59" s="27"/>
      <c r="R59" s="65"/>
      <c r="S59" s="27"/>
      <c r="T59" s="27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O59" s="65"/>
      <c r="AP59" s="65"/>
      <c r="AQ59" s="65"/>
      <c r="AR59" s="65"/>
      <c r="AS59" s="27"/>
      <c r="AT59" s="27"/>
      <c r="AU59" s="65"/>
      <c r="AV59" s="27"/>
      <c r="AW59" s="27"/>
    </row>
    <row r="60" spans="3:49" ht="18.75">
      <c r="C60" s="66"/>
      <c r="D60" s="31"/>
      <c r="E60" s="31"/>
      <c r="F60" s="55"/>
      <c r="G60" s="27"/>
      <c r="H60" s="27"/>
      <c r="I60" s="65"/>
      <c r="J60" s="27"/>
      <c r="K60" s="27"/>
      <c r="L60" s="65"/>
      <c r="M60" s="65"/>
      <c r="N60" s="65"/>
      <c r="O60" s="65"/>
      <c r="P60" s="27"/>
      <c r="Q60" s="27"/>
      <c r="R60" s="65"/>
      <c r="S60" s="27"/>
      <c r="T60" s="27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65"/>
      <c r="AL60" s="65"/>
      <c r="AM60" s="65"/>
      <c r="AN60" s="65"/>
      <c r="AO60" s="65"/>
      <c r="AP60" s="65"/>
      <c r="AQ60" s="65"/>
      <c r="AR60" s="65"/>
      <c r="AS60" s="27"/>
      <c r="AT60" s="27"/>
      <c r="AU60" s="65"/>
      <c r="AV60" s="27"/>
      <c r="AW60" s="27"/>
    </row>
    <row r="61" spans="2:49" ht="18.75">
      <c r="B61" s="5" t="s">
        <v>13</v>
      </c>
      <c r="C61" s="66">
        <f>C9+C17+C20+C26+C38+C40+C42</f>
        <v>-1345.2999999999997</v>
      </c>
      <c r="D61" s="31"/>
      <c r="E61" s="31"/>
      <c r="F61" s="55"/>
      <c r="G61" s="27"/>
      <c r="H61" s="27"/>
      <c r="I61" s="65"/>
      <c r="J61" s="27"/>
      <c r="K61" s="27"/>
      <c r="L61" s="65"/>
      <c r="M61" s="65"/>
      <c r="N61" s="65"/>
      <c r="O61" s="65"/>
      <c r="P61" s="27"/>
      <c r="Q61" s="27"/>
      <c r="R61" s="65"/>
      <c r="S61" s="27"/>
      <c r="T61" s="27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65"/>
      <c r="AJ61" s="65"/>
      <c r="AK61" s="65"/>
      <c r="AL61" s="65"/>
      <c r="AM61" s="65"/>
      <c r="AN61" s="65"/>
      <c r="AO61" s="65"/>
      <c r="AP61" s="65"/>
      <c r="AQ61" s="65"/>
      <c r="AR61" s="65"/>
      <c r="AS61" s="27"/>
      <c r="AT61" s="27"/>
      <c r="AU61" s="65"/>
      <c r="AV61" s="27"/>
      <c r="AW61" s="27">
        <f>AW9+AW17+AW20+AW26+AW38+AW40+AW42</f>
        <v>1219.8000000000004</v>
      </c>
    </row>
    <row r="62" spans="2:49" ht="18.75">
      <c r="B62" s="5" t="s">
        <v>14</v>
      </c>
      <c r="C62" s="66">
        <f>C11+C13+C14+C16+C18+C19+C25</f>
        <v>30.900000000000006</v>
      </c>
      <c r="D62" s="31"/>
      <c r="E62" s="31"/>
      <c r="F62" s="55"/>
      <c r="G62" s="27"/>
      <c r="H62" s="27"/>
      <c r="I62" s="65"/>
      <c r="J62" s="27"/>
      <c r="K62" s="27"/>
      <c r="L62" s="65"/>
      <c r="M62" s="65"/>
      <c r="N62" s="65"/>
      <c r="O62" s="65"/>
      <c r="P62" s="27"/>
      <c r="Q62" s="27"/>
      <c r="R62" s="65"/>
      <c r="S62" s="27"/>
      <c r="T62" s="27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65"/>
      <c r="AH62" s="65"/>
      <c r="AI62" s="65"/>
      <c r="AJ62" s="65"/>
      <c r="AK62" s="65"/>
      <c r="AL62" s="65"/>
      <c r="AM62" s="65"/>
      <c r="AN62" s="65"/>
      <c r="AO62" s="65"/>
      <c r="AP62" s="65"/>
      <c r="AQ62" s="65"/>
      <c r="AR62" s="65"/>
      <c r="AS62" s="27"/>
      <c r="AT62" s="27"/>
      <c r="AU62" s="65"/>
      <c r="AV62" s="27"/>
      <c r="AW62" s="27">
        <f>AW11+AW13+AW14+AW16+AW18+AW19+AW25</f>
        <v>225.5</v>
      </c>
    </row>
    <row r="63" spans="3:49" ht="18.75">
      <c r="C63" s="66"/>
      <c r="D63" s="31"/>
      <c r="E63" s="31"/>
      <c r="F63" s="55"/>
      <c r="G63" s="27"/>
      <c r="H63" s="27"/>
      <c r="I63" s="65"/>
      <c r="J63" s="27"/>
      <c r="K63" s="27"/>
      <c r="L63" s="65"/>
      <c r="M63" s="65"/>
      <c r="N63" s="65"/>
      <c r="O63" s="65"/>
      <c r="P63" s="27"/>
      <c r="Q63" s="27"/>
      <c r="R63" s="65"/>
      <c r="S63" s="27"/>
      <c r="T63" s="27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  <c r="AH63" s="65"/>
      <c r="AI63" s="65"/>
      <c r="AJ63" s="65"/>
      <c r="AK63" s="65"/>
      <c r="AL63" s="65"/>
      <c r="AM63" s="65"/>
      <c r="AN63" s="65"/>
      <c r="AO63" s="65"/>
      <c r="AP63" s="65"/>
      <c r="AQ63" s="65"/>
      <c r="AR63" s="65"/>
      <c r="AS63" s="27"/>
      <c r="AT63" s="27"/>
      <c r="AU63" s="65"/>
      <c r="AV63" s="27"/>
      <c r="AW63" s="27"/>
    </row>
    <row r="64" spans="7:49" ht="18.75">
      <c r="G64" s="27"/>
      <c r="H64" s="27"/>
      <c r="I64" s="65"/>
      <c r="J64" s="27"/>
      <c r="K64" s="27"/>
      <c r="L64" s="65"/>
      <c r="M64" s="65"/>
      <c r="N64" s="65"/>
      <c r="O64" s="65"/>
      <c r="P64" s="27"/>
      <c r="Q64" s="27"/>
      <c r="R64" s="65"/>
      <c r="S64" s="27"/>
      <c r="T64" s="27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5"/>
      <c r="AI64" s="65"/>
      <c r="AJ64" s="65"/>
      <c r="AK64" s="65"/>
      <c r="AL64" s="65"/>
      <c r="AM64" s="65"/>
      <c r="AN64" s="65"/>
      <c r="AO64" s="65"/>
      <c r="AP64" s="65"/>
      <c r="AQ64" s="65"/>
      <c r="AR64" s="65"/>
      <c r="AS64" s="27"/>
      <c r="AT64" s="27"/>
      <c r="AU64" s="65"/>
      <c r="AV64" s="27"/>
      <c r="AW64" s="27"/>
    </row>
    <row r="65" spans="7:49" ht="18.75">
      <c r="G65" s="27"/>
      <c r="H65" s="27"/>
      <c r="I65" s="65"/>
      <c r="J65" s="27"/>
      <c r="K65" s="27"/>
      <c r="L65" s="65"/>
      <c r="M65" s="65"/>
      <c r="N65" s="65"/>
      <c r="O65" s="65"/>
      <c r="P65" s="27"/>
      <c r="Q65" s="27"/>
      <c r="R65" s="65"/>
      <c r="S65" s="27"/>
      <c r="T65" s="27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5"/>
      <c r="AG65" s="65"/>
      <c r="AH65" s="65"/>
      <c r="AI65" s="65"/>
      <c r="AJ65" s="65"/>
      <c r="AK65" s="65"/>
      <c r="AL65" s="65"/>
      <c r="AM65" s="65"/>
      <c r="AN65" s="65"/>
      <c r="AO65" s="65"/>
      <c r="AP65" s="65"/>
      <c r="AQ65" s="65"/>
      <c r="AR65" s="65"/>
      <c r="AS65" s="27"/>
      <c r="AT65" s="27"/>
      <c r="AU65" s="65"/>
      <c r="AV65" s="27"/>
      <c r="AW65" s="27"/>
    </row>
    <row r="66" spans="7:49" ht="18.75">
      <c r="G66" s="27"/>
      <c r="H66" s="27"/>
      <c r="I66" s="65"/>
      <c r="J66" s="27"/>
      <c r="K66" s="27"/>
      <c r="L66" s="65"/>
      <c r="M66" s="65"/>
      <c r="N66" s="65"/>
      <c r="O66" s="65"/>
      <c r="P66" s="27"/>
      <c r="Q66" s="27"/>
      <c r="R66" s="65"/>
      <c r="S66" s="27"/>
      <c r="T66" s="27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5"/>
      <c r="AH66" s="65"/>
      <c r="AI66" s="65"/>
      <c r="AJ66" s="65"/>
      <c r="AK66" s="65"/>
      <c r="AL66" s="65"/>
      <c r="AM66" s="65"/>
      <c r="AN66" s="65"/>
      <c r="AO66" s="65"/>
      <c r="AP66" s="65"/>
      <c r="AQ66" s="65"/>
      <c r="AR66" s="65"/>
      <c r="AS66" s="27"/>
      <c r="AT66" s="27"/>
      <c r="AU66" s="65"/>
      <c r="AV66" s="27"/>
      <c r="AW66" s="27"/>
    </row>
    <row r="67" spans="7:49" ht="18.75">
      <c r="G67" s="27"/>
      <c r="H67" s="27"/>
      <c r="I67" s="65"/>
      <c r="J67" s="27"/>
      <c r="K67" s="27"/>
      <c r="L67" s="65"/>
      <c r="M67" s="65"/>
      <c r="N67" s="65"/>
      <c r="O67" s="65"/>
      <c r="P67" s="27"/>
      <c r="Q67" s="27"/>
      <c r="R67" s="65"/>
      <c r="S67" s="27"/>
      <c r="T67" s="27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5"/>
      <c r="AF67" s="65"/>
      <c r="AG67" s="65"/>
      <c r="AH67" s="65"/>
      <c r="AI67" s="65"/>
      <c r="AJ67" s="65"/>
      <c r="AK67" s="65"/>
      <c r="AL67" s="65"/>
      <c r="AM67" s="65"/>
      <c r="AN67" s="65"/>
      <c r="AO67" s="65"/>
      <c r="AP67" s="65"/>
      <c r="AQ67" s="65"/>
      <c r="AR67" s="65"/>
      <c r="AS67" s="27"/>
      <c r="AT67" s="27"/>
      <c r="AU67" s="65"/>
      <c r="AV67" s="27"/>
      <c r="AW67" s="27"/>
    </row>
    <row r="68" spans="7:49" ht="18.75">
      <c r="G68" s="27"/>
      <c r="H68" s="27"/>
      <c r="I68" s="65"/>
      <c r="J68" s="27"/>
      <c r="K68" s="27"/>
      <c r="L68" s="65"/>
      <c r="M68" s="65"/>
      <c r="N68" s="65"/>
      <c r="O68" s="65"/>
      <c r="P68" s="27"/>
      <c r="Q68" s="27"/>
      <c r="R68" s="65"/>
      <c r="S68" s="27"/>
      <c r="T68" s="27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  <c r="AG68" s="65"/>
      <c r="AH68" s="65"/>
      <c r="AI68" s="65"/>
      <c r="AJ68" s="65"/>
      <c r="AK68" s="65"/>
      <c r="AL68" s="65"/>
      <c r="AM68" s="65"/>
      <c r="AN68" s="65"/>
      <c r="AO68" s="65"/>
      <c r="AP68" s="65"/>
      <c r="AQ68" s="65"/>
      <c r="AR68" s="65"/>
      <c r="AS68" s="27"/>
      <c r="AT68" s="27"/>
      <c r="AU68" s="65"/>
      <c r="AV68" s="27"/>
      <c r="AW68" s="27"/>
    </row>
    <row r="69" spans="7:49" ht="18.75">
      <c r="G69" s="27"/>
      <c r="H69" s="27"/>
      <c r="I69" s="65"/>
      <c r="J69" s="27"/>
      <c r="K69" s="27"/>
      <c r="L69" s="65"/>
      <c r="M69" s="65"/>
      <c r="N69" s="65"/>
      <c r="O69" s="65"/>
      <c r="P69" s="27"/>
      <c r="Q69" s="27"/>
      <c r="R69" s="65"/>
      <c r="S69" s="27"/>
      <c r="T69" s="27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  <c r="AG69" s="65"/>
      <c r="AH69" s="65"/>
      <c r="AI69" s="65"/>
      <c r="AJ69" s="65"/>
      <c r="AK69" s="65"/>
      <c r="AL69" s="65"/>
      <c r="AM69" s="65"/>
      <c r="AN69" s="65"/>
      <c r="AO69" s="65"/>
      <c r="AP69" s="65"/>
      <c r="AQ69" s="65"/>
      <c r="AR69" s="65"/>
      <c r="AS69" s="27"/>
      <c r="AT69" s="27"/>
      <c r="AU69" s="65"/>
      <c r="AV69" s="27"/>
      <c r="AW69" s="27"/>
    </row>
    <row r="70" spans="7:49" ht="18.75">
      <c r="G70" s="27"/>
      <c r="H70" s="27"/>
      <c r="I70" s="65"/>
      <c r="J70" s="27"/>
      <c r="K70" s="27"/>
      <c r="L70" s="65"/>
      <c r="M70" s="65"/>
      <c r="N70" s="65"/>
      <c r="O70" s="65"/>
      <c r="P70" s="27"/>
      <c r="Q70" s="27"/>
      <c r="R70" s="65"/>
      <c r="S70" s="27"/>
      <c r="T70" s="27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  <c r="AG70" s="65"/>
      <c r="AH70" s="65"/>
      <c r="AI70" s="65"/>
      <c r="AJ70" s="65"/>
      <c r="AK70" s="65"/>
      <c r="AL70" s="65"/>
      <c r="AM70" s="65"/>
      <c r="AN70" s="65"/>
      <c r="AO70" s="65"/>
      <c r="AP70" s="65"/>
      <c r="AQ70" s="65"/>
      <c r="AR70" s="65"/>
      <c r="AS70" s="27"/>
      <c r="AT70" s="27"/>
      <c r="AU70" s="65"/>
      <c r="AV70" s="27"/>
      <c r="AW70" s="27"/>
    </row>
    <row r="71" spans="7:49" ht="18.75">
      <c r="G71" s="27"/>
      <c r="H71" s="27"/>
      <c r="I71" s="65"/>
      <c r="J71" s="27"/>
      <c r="K71" s="27"/>
      <c r="L71" s="65"/>
      <c r="M71" s="65"/>
      <c r="N71" s="65"/>
      <c r="O71" s="65"/>
      <c r="P71" s="27"/>
      <c r="Q71" s="27"/>
      <c r="R71" s="65"/>
      <c r="S71" s="27"/>
      <c r="T71" s="27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65"/>
      <c r="AH71" s="65"/>
      <c r="AI71" s="65"/>
      <c r="AJ71" s="65"/>
      <c r="AK71" s="65"/>
      <c r="AL71" s="65"/>
      <c r="AM71" s="65"/>
      <c r="AN71" s="65"/>
      <c r="AO71" s="65"/>
      <c r="AP71" s="65"/>
      <c r="AQ71" s="65"/>
      <c r="AR71" s="65"/>
      <c r="AS71" s="27"/>
      <c r="AT71" s="27"/>
      <c r="AU71" s="65"/>
      <c r="AV71" s="27"/>
      <c r="AW71" s="27"/>
    </row>
    <row r="72" spans="7:49" ht="18.75">
      <c r="G72" s="27"/>
      <c r="H72" s="27"/>
      <c r="I72" s="65"/>
      <c r="J72" s="27"/>
      <c r="K72" s="27"/>
      <c r="L72" s="65"/>
      <c r="M72" s="65"/>
      <c r="N72" s="65"/>
      <c r="O72" s="65"/>
      <c r="P72" s="27"/>
      <c r="Q72" s="27"/>
      <c r="R72" s="65"/>
      <c r="S72" s="27"/>
      <c r="T72" s="27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  <c r="AG72" s="65"/>
      <c r="AH72" s="65"/>
      <c r="AI72" s="65"/>
      <c r="AJ72" s="65"/>
      <c r="AK72" s="65"/>
      <c r="AL72" s="65"/>
      <c r="AM72" s="65"/>
      <c r="AN72" s="65"/>
      <c r="AO72" s="65"/>
      <c r="AP72" s="65"/>
      <c r="AQ72" s="65"/>
      <c r="AR72" s="65"/>
      <c r="AS72" s="27"/>
      <c r="AT72" s="27"/>
      <c r="AU72" s="65"/>
      <c r="AV72" s="27"/>
      <c r="AW72" s="27"/>
    </row>
    <row r="73" spans="7:49" ht="18.75">
      <c r="G73" s="27"/>
      <c r="H73" s="27"/>
      <c r="I73" s="65"/>
      <c r="J73" s="27"/>
      <c r="K73" s="27"/>
      <c r="L73" s="65"/>
      <c r="M73" s="65"/>
      <c r="N73" s="65"/>
      <c r="O73" s="65"/>
      <c r="P73" s="27"/>
      <c r="Q73" s="27"/>
      <c r="R73" s="65"/>
      <c r="S73" s="27"/>
      <c r="T73" s="27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5"/>
      <c r="AG73" s="65"/>
      <c r="AH73" s="65"/>
      <c r="AI73" s="65"/>
      <c r="AJ73" s="65"/>
      <c r="AK73" s="65"/>
      <c r="AL73" s="65"/>
      <c r="AM73" s="65"/>
      <c r="AN73" s="65"/>
      <c r="AO73" s="65"/>
      <c r="AP73" s="65"/>
      <c r="AQ73" s="65"/>
      <c r="AR73" s="65"/>
      <c r="AS73" s="27"/>
      <c r="AT73" s="27"/>
      <c r="AU73" s="65"/>
      <c r="AV73" s="27"/>
      <c r="AW73" s="27"/>
    </row>
    <row r="74" spans="7:49" ht="18.75">
      <c r="G74" s="27"/>
      <c r="H74" s="27"/>
      <c r="I74" s="65"/>
      <c r="J74" s="27"/>
      <c r="K74" s="27"/>
      <c r="L74" s="65"/>
      <c r="M74" s="65"/>
      <c r="N74" s="65"/>
      <c r="O74" s="65"/>
      <c r="P74" s="27"/>
      <c r="Q74" s="27"/>
      <c r="R74" s="65"/>
      <c r="S74" s="27"/>
      <c r="T74" s="27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5"/>
      <c r="AH74" s="65"/>
      <c r="AI74" s="65"/>
      <c r="AJ74" s="65"/>
      <c r="AK74" s="65"/>
      <c r="AL74" s="65"/>
      <c r="AM74" s="65"/>
      <c r="AN74" s="65"/>
      <c r="AO74" s="65"/>
      <c r="AP74" s="65"/>
      <c r="AQ74" s="65"/>
      <c r="AR74" s="65"/>
      <c r="AS74" s="27"/>
      <c r="AT74" s="27"/>
      <c r="AU74" s="65"/>
      <c r="AV74" s="27"/>
      <c r="AW74" s="27"/>
    </row>
    <row r="75" spans="7:49" ht="18.75">
      <c r="G75" s="27"/>
      <c r="H75" s="27"/>
      <c r="I75" s="65"/>
      <c r="J75" s="27"/>
      <c r="K75" s="27"/>
      <c r="L75" s="65"/>
      <c r="M75" s="65"/>
      <c r="N75" s="65"/>
      <c r="O75" s="65"/>
      <c r="P75" s="27"/>
      <c r="Q75" s="27"/>
      <c r="R75" s="65"/>
      <c r="S75" s="27"/>
      <c r="T75" s="27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  <c r="AM75" s="65"/>
      <c r="AN75" s="65"/>
      <c r="AO75" s="65"/>
      <c r="AP75" s="65"/>
      <c r="AQ75" s="65"/>
      <c r="AR75" s="65"/>
      <c r="AS75" s="27"/>
      <c r="AT75" s="27"/>
      <c r="AU75" s="65"/>
      <c r="AV75" s="27"/>
      <c r="AW75" s="27"/>
    </row>
    <row r="76" spans="7:49" ht="18.75">
      <c r="G76" s="27"/>
      <c r="H76" s="27"/>
      <c r="I76" s="65"/>
      <c r="J76" s="27"/>
      <c r="K76" s="27"/>
      <c r="L76" s="65"/>
      <c r="M76" s="65"/>
      <c r="N76" s="65"/>
      <c r="O76" s="65"/>
      <c r="P76" s="27"/>
      <c r="Q76" s="27"/>
      <c r="R76" s="65"/>
      <c r="S76" s="27"/>
      <c r="T76" s="27"/>
      <c r="U76" s="65"/>
      <c r="V76" s="65"/>
      <c r="W76" s="65"/>
      <c r="X76" s="65"/>
      <c r="Y76" s="65"/>
      <c r="Z76" s="65"/>
      <c r="AA76" s="65"/>
      <c r="AB76" s="65"/>
      <c r="AC76" s="65"/>
      <c r="AD76" s="65"/>
      <c r="AE76" s="65"/>
      <c r="AF76" s="65"/>
      <c r="AG76" s="65"/>
      <c r="AH76" s="65"/>
      <c r="AI76" s="65"/>
      <c r="AJ76" s="65"/>
      <c r="AK76" s="65"/>
      <c r="AL76" s="65"/>
      <c r="AM76" s="65"/>
      <c r="AN76" s="65"/>
      <c r="AO76" s="65"/>
      <c r="AP76" s="65"/>
      <c r="AQ76" s="65"/>
      <c r="AR76" s="65"/>
      <c r="AS76" s="27"/>
      <c r="AT76" s="27"/>
      <c r="AU76" s="65"/>
      <c r="AV76" s="27"/>
      <c r="AW76" s="27"/>
    </row>
    <row r="77" spans="7:49" ht="18.75">
      <c r="G77" s="27"/>
      <c r="H77" s="27"/>
      <c r="I77" s="65"/>
      <c r="J77" s="27"/>
      <c r="K77" s="27"/>
      <c r="L77" s="65"/>
      <c r="M77" s="65"/>
      <c r="N77" s="65"/>
      <c r="O77" s="65"/>
      <c r="P77" s="27"/>
      <c r="Q77" s="27"/>
      <c r="R77" s="65"/>
      <c r="S77" s="27"/>
      <c r="T77" s="27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5"/>
      <c r="AR77" s="65"/>
      <c r="AS77" s="27"/>
      <c r="AT77" s="27"/>
      <c r="AU77" s="65"/>
      <c r="AV77" s="27"/>
      <c r="AW77" s="27"/>
    </row>
    <row r="78" spans="7:49" ht="18.75">
      <c r="G78" s="27"/>
      <c r="H78" s="27"/>
      <c r="I78" s="65"/>
      <c r="J78" s="27"/>
      <c r="K78" s="27"/>
      <c r="L78" s="65"/>
      <c r="M78" s="65"/>
      <c r="N78" s="65"/>
      <c r="O78" s="65"/>
      <c r="P78" s="27"/>
      <c r="Q78" s="27"/>
      <c r="R78" s="65"/>
      <c r="S78" s="27"/>
      <c r="T78" s="27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5"/>
      <c r="AG78" s="65"/>
      <c r="AH78" s="65"/>
      <c r="AI78" s="65"/>
      <c r="AJ78" s="65"/>
      <c r="AK78" s="65"/>
      <c r="AL78" s="65"/>
      <c r="AM78" s="65"/>
      <c r="AN78" s="65"/>
      <c r="AO78" s="65"/>
      <c r="AP78" s="65"/>
      <c r="AQ78" s="65"/>
      <c r="AR78" s="65"/>
      <c r="AS78" s="27"/>
      <c r="AT78" s="27"/>
      <c r="AU78" s="65"/>
      <c r="AV78" s="27"/>
      <c r="AW78" s="27"/>
    </row>
    <row r="79" spans="7:49" ht="18.75">
      <c r="G79" s="27"/>
      <c r="H79" s="27"/>
      <c r="I79" s="65"/>
      <c r="J79" s="27"/>
      <c r="K79" s="27"/>
      <c r="L79" s="65"/>
      <c r="M79" s="65"/>
      <c r="N79" s="65"/>
      <c r="O79" s="65"/>
      <c r="P79" s="27"/>
      <c r="Q79" s="27"/>
      <c r="R79" s="65"/>
      <c r="S79" s="27"/>
      <c r="T79" s="27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65"/>
      <c r="AG79" s="65"/>
      <c r="AH79" s="65"/>
      <c r="AI79" s="65"/>
      <c r="AJ79" s="65"/>
      <c r="AK79" s="65"/>
      <c r="AL79" s="65"/>
      <c r="AM79" s="65"/>
      <c r="AN79" s="65"/>
      <c r="AO79" s="65"/>
      <c r="AP79" s="65"/>
      <c r="AQ79" s="65"/>
      <c r="AR79" s="65"/>
      <c r="AS79" s="27"/>
      <c r="AT79" s="27"/>
      <c r="AU79" s="65"/>
      <c r="AV79" s="27"/>
      <c r="AW79" s="27"/>
    </row>
    <row r="80" spans="7:49" ht="18.75">
      <c r="G80" s="27"/>
      <c r="H80" s="27"/>
      <c r="I80" s="65"/>
      <c r="J80" s="27"/>
      <c r="K80" s="27"/>
      <c r="L80" s="65"/>
      <c r="M80" s="65"/>
      <c r="N80" s="65"/>
      <c r="O80" s="65"/>
      <c r="P80" s="27"/>
      <c r="Q80" s="27"/>
      <c r="R80" s="65"/>
      <c r="S80" s="27"/>
      <c r="T80" s="27"/>
      <c r="U80" s="65"/>
      <c r="V80" s="65"/>
      <c r="W80" s="65"/>
      <c r="X80" s="65"/>
      <c r="Y80" s="65"/>
      <c r="Z80" s="65"/>
      <c r="AA80" s="65"/>
      <c r="AB80" s="65"/>
      <c r="AC80" s="65"/>
      <c r="AD80" s="65"/>
      <c r="AE80" s="65"/>
      <c r="AF80" s="65"/>
      <c r="AG80" s="65"/>
      <c r="AH80" s="65"/>
      <c r="AI80" s="65"/>
      <c r="AJ80" s="65"/>
      <c r="AK80" s="65"/>
      <c r="AL80" s="65"/>
      <c r="AM80" s="65"/>
      <c r="AN80" s="65"/>
      <c r="AO80" s="65"/>
      <c r="AP80" s="65"/>
      <c r="AQ80" s="65"/>
      <c r="AR80" s="65"/>
      <c r="AS80" s="27"/>
      <c r="AT80" s="27"/>
      <c r="AU80" s="65"/>
      <c r="AV80" s="27"/>
      <c r="AW80" s="27"/>
    </row>
    <row r="81" spans="7:49" ht="18.75">
      <c r="G81" s="27"/>
      <c r="H81" s="27"/>
      <c r="I81" s="65"/>
      <c r="J81" s="27"/>
      <c r="K81" s="27"/>
      <c r="L81" s="65"/>
      <c r="M81" s="65"/>
      <c r="N81" s="65"/>
      <c r="O81" s="65"/>
      <c r="P81" s="27"/>
      <c r="Q81" s="27"/>
      <c r="R81" s="65"/>
      <c r="S81" s="27"/>
      <c r="T81" s="27"/>
      <c r="U81" s="65"/>
      <c r="V81" s="65"/>
      <c r="W81" s="65"/>
      <c r="X81" s="65"/>
      <c r="Y81" s="65"/>
      <c r="Z81" s="65"/>
      <c r="AA81" s="65"/>
      <c r="AB81" s="65"/>
      <c r="AC81" s="65"/>
      <c r="AD81" s="65"/>
      <c r="AE81" s="65"/>
      <c r="AF81" s="65"/>
      <c r="AG81" s="65"/>
      <c r="AH81" s="65"/>
      <c r="AI81" s="65"/>
      <c r="AJ81" s="65"/>
      <c r="AK81" s="65"/>
      <c r="AL81" s="65"/>
      <c r="AM81" s="65"/>
      <c r="AN81" s="65"/>
      <c r="AO81" s="65"/>
      <c r="AP81" s="65"/>
      <c r="AQ81" s="65"/>
      <c r="AR81" s="65"/>
      <c r="AS81" s="27"/>
      <c r="AT81" s="27"/>
      <c r="AU81" s="65"/>
      <c r="AV81" s="27"/>
      <c r="AW81" s="27"/>
    </row>
    <row r="82" spans="7:49" ht="18.75">
      <c r="G82" s="27"/>
      <c r="H82" s="27"/>
      <c r="I82" s="65"/>
      <c r="J82" s="27"/>
      <c r="K82" s="27"/>
      <c r="L82" s="65"/>
      <c r="M82" s="65"/>
      <c r="N82" s="65"/>
      <c r="O82" s="65"/>
      <c r="P82" s="27"/>
      <c r="Q82" s="27"/>
      <c r="R82" s="65"/>
      <c r="S82" s="27"/>
      <c r="T82" s="27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5"/>
      <c r="AI82" s="65"/>
      <c r="AJ82" s="65"/>
      <c r="AK82" s="65"/>
      <c r="AL82" s="65"/>
      <c r="AM82" s="65"/>
      <c r="AN82" s="65"/>
      <c r="AO82" s="65"/>
      <c r="AP82" s="65"/>
      <c r="AQ82" s="65"/>
      <c r="AR82" s="65"/>
      <c r="AS82" s="27"/>
      <c r="AT82" s="27"/>
      <c r="AU82" s="65"/>
      <c r="AV82" s="27"/>
      <c r="AW82" s="27"/>
    </row>
    <row r="83" spans="7:49" ht="18.75">
      <c r="G83" s="27"/>
      <c r="H83" s="27"/>
      <c r="I83" s="65"/>
      <c r="J83" s="27"/>
      <c r="K83" s="27"/>
      <c r="L83" s="65"/>
      <c r="M83" s="65"/>
      <c r="N83" s="65"/>
      <c r="O83" s="65"/>
      <c r="P83" s="27"/>
      <c r="Q83" s="27"/>
      <c r="R83" s="65"/>
      <c r="S83" s="27"/>
      <c r="T83" s="27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5"/>
      <c r="AL83" s="65"/>
      <c r="AM83" s="65"/>
      <c r="AN83" s="65"/>
      <c r="AO83" s="65"/>
      <c r="AP83" s="65"/>
      <c r="AQ83" s="65"/>
      <c r="AR83" s="65"/>
      <c r="AS83" s="27"/>
      <c r="AT83" s="27"/>
      <c r="AU83" s="65"/>
      <c r="AV83" s="27"/>
      <c r="AW83" s="27"/>
    </row>
    <row r="84" spans="7:49" ht="18.75">
      <c r="G84" s="27"/>
      <c r="H84" s="27"/>
      <c r="I84" s="65"/>
      <c r="J84" s="27"/>
      <c r="K84" s="27"/>
      <c r="L84" s="65"/>
      <c r="M84" s="65"/>
      <c r="N84" s="65"/>
      <c r="O84" s="65"/>
      <c r="P84" s="27"/>
      <c r="Q84" s="27"/>
      <c r="R84" s="65"/>
      <c r="S84" s="27"/>
      <c r="T84" s="27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  <c r="AM84" s="65"/>
      <c r="AN84" s="65"/>
      <c r="AO84" s="65"/>
      <c r="AP84" s="65"/>
      <c r="AQ84" s="65"/>
      <c r="AR84" s="65"/>
      <c r="AS84" s="27"/>
      <c r="AT84" s="27"/>
      <c r="AU84" s="65"/>
      <c r="AV84" s="27"/>
      <c r="AW84" s="27"/>
    </row>
    <row r="85" spans="7:49" ht="18.75">
      <c r="G85" s="27"/>
      <c r="H85" s="27"/>
      <c r="I85" s="65"/>
      <c r="J85" s="27"/>
      <c r="K85" s="27"/>
      <c r="L85" s="65"/>
      <c r="M85" s="65"/>
      <c r="N85" s="65"/>
      <c r="O85" s="65"/>
      <c r="P85" s="27"/>
      <c r="Q85" s="27"/>
      <c r="R85" s="65"/>
      <c r="S85" s="27"/>
      <c r="T85" s="27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5"/>
      <c r="AL85" s="65"/>
      <c r="AM85" s="65"/>
      <c r="AN85" s="65"/>
      <c r="AO85" s="65"/>
      <c r="AP85" s="65"/>
      <c r="AQ85" s="65"/>
      <c r="AR85" s="65"/>
      <c r="AS85" s="27"/>
      <c r="AT85" s="27"/>
      <c r="AU85" s="65"/>
      <c r="AV85" s="27"/>
      <c r="AW85" s="27"/>
    </row>
    <row r="86" spans="7:49" ht="18.75">
      <c r="G86" s="27"/>
      <c r="H86" s="27"/>
      <c r="I86" s="65"/>
      <c r="J86" s="27"/>
      <c r="K86" s="27"/>
      <c r="L86" s="65"/>
      <c r="M86" s="65"/>
      <c r="N86" s="65"/>
      <c r="O86" s="65"/>
      <c r="P86" s="27"/>
      <c r="Q86" s="27"/>
      <c r="R86" s="65"/>
      <c r="S86" s="27"/>
      <c r="T86" s="27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5"/>
      <c r="AL86" s="65"/>
      <c r="AM86" s="65"/>
      <c r="AN86" s="65"/>
      <c r="AO86" s="65"/>
      <c r="AP86" s="65"/>
      <c r="AQ86" s="65"/>
      <c r="AR86" s="65"/>
      <c r="AS86" s="27"/>
      <c r="AT86" s="27"/>
      <c r="AU86" s="65"/>
      <c r="AV86" s="27"/>
      <c r="AW86" s="27"/>
    </row>
    <row r="87" spans="7:49" ht="18.75">
      <c r="G87" s="27"/>
      <c r="H87" s="27"/>
      <c r="I87" s="65"/>
      <c r="J87" s="27"/>
      <c r="K87" s="27"/>
      <c r="L87" s="65"/>
      <c r="M87" s="65"/>
      <c r="N87" s="65"/>
      <c r="O87" s="65"/>
      <c r="P87" s="27"/>
      <c r="Q87" s="27"/>
      <c r="R87" s="65"/>
      <c r="S87" s="27"/>
      <c r="T87" s="27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  <c r="AG87" s="65"/>
      <c r="AH87" s="65"/>
      <c r="AI87" s="65"/>
      <c r="AJ87" s="65"/>
      <c r="AK87" s="65"/>
      <c r="AL87" s="65"/>
      <c r="AM87" s="65"/>
      <c r="AN87" s="65"/>
      <c r="AO87" s="65"/>
      <c r="AP87" s="65"/>
      <c r="AQ87" s="65"/>
      <c r="AR87" s="65"/>
      <c r="AS87" s="27"/>
      <c r="AT87" s="27"/>
      <c r="AU87" s="65"/>
      <c r="AV87" s="27"/>
      <c r="AW87" s="27"/>
    </row>
    <row r="88" spans="7:49" ht="18.75">
      <c r="G88" s="27"/>
      <c r="H88" s="27"/>
      <c r="I88" s="65"/>
      <c r="J88" s="27"/>
      <c r="K88" s="27"/>
      <c r="L88" s="65"/>
      <c r="M88" s="65"/>
      <c r="N88" s="65"/>
      <c r="O88" s="65"/>
      <c r="P88" s="27"/>
      <c r="Q88" s="27"/>
      <c r="R88" s="65"/>
      <c r="S88" s="27"/>
      <c r="T88" s="27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65"/>
      <c r="AF88" s="65"/>
      <c r="AG88" s="65"/>
      <c r="AH88" s="65"/>
      <c r="AI88" s="65"/>
      <c r="AJ88" s="65"/>
      <c r="AK88" s="65"/>
      <c r="AL88" s="65"/>
      <c r="AM88" s="65"/>
      <c r="AN88" s="65"/>
      <c r="AO88" s="65"/>
      <c r="AP88" s="65"/>
      <c r="AQ88" s="65"/>
      <c r="AR88" s="65"/>
      <c r="AS88" s="27"/>
      <c r="AT88" s="27"/>
      <c r="AU88" s="65"/>
      <c r="AV88" s="27"/>
      <c r="AW88" s="27"/>
    </row>
    <row r="89" spans="7:49" ht="18.75">
      <c r="G89" s="27"/>
      <c r="H89" s="27"/>
      <c r="I89" s="65"/>
      <c r="J89" s="27"/>
      <c r="K89" s="27"/>
      <c r="L89" s="65"/>
      <c r="M89" s="65"/>
      <c r="N89" s="65"/>
      <c r="O89" s="65"/>
      <c r="P89" s="27"/>
      <c r="Q89" s="27"/>
      <c r="R89" s="65"/>
      <c r="S89" s="27"/>
      <c r="T89" s="27"/>
      <c r="U89" s="65"/>
      <c r="V89" s="65"/>
      <c r="W89" s="65"/>
      <c r="X89" s="65"/>
      <c r="Y89" s="65"/>
      <c r="Z89" s="65"/>
      <c r="AA89" s="65"/>
      <c r="AB89" s="65"/>
      <c r="AC89" s="65"/>
      <c r="AD89" s="65"/>
      <c r="AE89" s="65"/>
      <c r="AF89" s="65"/>
      <c r="AG89" s="65"/>
      <c r="AH89" s="65"/>
      <c r="AI89" s="65"/>
      <c r="AJ89" s="65"/>
      <c r="AK89" s="65"/>
      <c r="AL89" s="65"/>
      <c r="AM89" s="65"/>
      <c r="AN89" s="65"/>
      <c r="AO89" s="65"/>
      <c r="AP89" s="65"/>
      <c r="AQ89" s="65"/>
      <c r="AR89" s="65"/>
      <c r="AS89" s="27"/>
      <c r="AT89" s="27"/>
      <c r="AU89" s="65"/>
      <c r="AV89" s="27"/>
      <c r="AW89" s="27"/>
    </row>
    <row r="90" spans="7:49" ht="18.75">
      <c r="G90" s="27"/>
      <c r="H90" s="27"/>
      <c r="I90" s="65"/>
      <c r="J90" s="27"/>
      <c r="K90" s="27"/>
      <c r="L90" s="65"/>
      <c r="M90" s="65"/>
      <c r="N90" s="65"/>
      <c r="O90" s="65"/>
      <c r="P90" s="27"/>
      <c r="Q90" s="27"/>
      <c r="R90" s="65"/>
      <c r="S90" s="27"/>
      <c r="T90" s="27"/>
      <c r="U90" s="65"/>
      <c r="V90" s="65"/>
      <c r="W90" s="65"/>
      <c r="X90" s="65"/>
      <c r="Y90" s="65"/>
      <c r="Z90" s="65"/>
      <c r="AA90" s="65"/>
      <c r="AB90" s="65"/>
      <c r="AC90" s="65"/>
      <c r="AD90" s="65"/>
      <c r="AE90" s="65"/>
      <c r="AF90" s="65"/>
      <c r="AG90" s="65"/>
      <c r="AH90" s="65"/>
      <c r="AI90" s="65"/>
      <c r="AJ90" s="65"/>
      <c r="AK90" s="65"/>
      <c r="AL90" s="65"/>
      <c r="AM90" s="65"/>
      <c r="AN90" s="65"/>
      <c r="AO90" s="65"/>
      <c r="AP90" s="65"/>
      <c r="AQ90" s="65"/>
      <c r="AR90" s="65"/>
      <c r="AS90" s="27"/>
      <c r="AT90" s="27"/>
      <c r="AU90" s="65"/>
      <c r="AV90" s="27"/>
      <c r="AW90" s="27"/>
    </row>
    <row r="91" spans="7:49" ht="18.75">
      <c r="G91" s="27"/>
      <c r="H91" s="27"/>
      <c r="I91" s="65"/>
      <c r="J91" s="27"/>
      <c r="K91" s="27"/>
      <c r="L91" s="65"/>
      <c r="M91" s="65"/>
      <c r="N91" s="65"/>
      <c r="O91" s="65"/>
      <c r="P91" s="27"/>
      <c r="Q91" s="27"/>
      <c r="R91" s="65"/>
      <c r="S91" s="27"/>
      <c r="T91" s="27"/>
      <c r="U91" s="65"/>
      <c r="V91" s="65"/>
      <c r="W91" s="65"/>
      <c r="X91" s="65"/>
      <c r="Y91" s="65"/>
      <c r="Z91" s="65"/>
      <c r="AA91" s="65"/>
      <c r="AB91" s="65"/>
      <c r="AC91" s="65"/>
      <c r="AD91" s="65"/>
      <c r="AE91" s="65"/>
      <c r="AF91" s="65"/>
      <c r="AG91" s="65"/>
      <c r="AH91" s="65"/>
      <c r="AI91" s="65"/>
      <c r="AJ91" s="65"/>
      <c r="AK91" s="65"/>
      <c r="AL91" s="65"/>
      <c r="AM91" s="65"/>
      <c r="AN91" s="65"/>
      <c r="AO91" s="65"/>
      <c r="AP91" s="65"/>
      <c r="AQ91" s="65"/>
      <c r="AR91" s="65"/>
      <c r="AS91" s="27"/>
      <c r="AT91" s="27"/>
      <c r="AU91" s="65"/>
      <c r="AV91" s="27"/>
      <c r="AW91" s="27"/>
    </row>
    <row r="92" spans="7:49" ht="18.75">
      <c r="G92" s="27"/>
      <c r="H92" s="27"/>
      <c r="I92" s="65"/>
      <c r="J92" s="27"/>
      <c r="K92" s="27"/>
      <c r="L92" s="65"/>
      <c r="M92" s="65"/>
      <c r="N92" s="65"/>
      <c r="O92" s="65"/>
      <c r="P92" s="27"/>
      <c r="Q92" s="27"/>
      <c r="R92" s="65"/>
      <c r="S92" s="27"/>
      <c r="T92" s="27"/>
      <c r="U92" s="65"/>
      <c r="V92" s="65"/>
      <c r="W92" s="65"/>
      <c r="X92" s="65"/>
      <c r="Y92" s="65"/>
      <c r="Z92" s="65"/>
      <c r="AA92" s="65"/>
      <c r="AB92" s="65"/>
      <c r="AC92" s="65"/>
      <c r="AD92" s="65"/>
      <c r="AE92" s="65"/>
      <c r="AF92" s="65"/>
      <c r="AG92" s="65"/>
      <c r="AH92" s="65"/>
      <c r="AI92" s="65"/>
      <c r="AJ92" s="65"/>
      <c r="AK92" s="65"/>
      <c r="AL92" s="65"/>
      <c r="AM92" s="65"/>
      <c r="AN92" s="65"/>
      <c r="AO92" s="65"/>
      <c r="AP92" s="65"/>
      <c r="AQ92" s="65"/>
      <c r="AR92" s="65"/>
      <c r="AS92" s="27"/>
      <c r="AT92" s="27"/>
      <c r="AU92" s="65"/>
      <c r="AV92" s="27"/>
      <c r="AW92" s="27"/>
    </row>
    <row r="93" spans="7:49" ht="18.75">
      <c r="G93" s="27"/>
      <c r="H93" s="27"/>
      <c r="I93" s="65"/>
      <c r="J93" s="27"/>
      <c r="K93" s="27"/>
      <c r="L93" s="65"/>
      <c r="M93" s="65"/>
      <c r="N93" s="65"/>
      <c r="O93" s="65"/>
      <c r="P93" s="27"/>
      <c r="Q93" s="27"/>
      <c r="R93" s="65"/>
      <c r="S93" s="27"/>
      <c r="T93" s="27"/>
      <c r="U93" s="65"/>
      <c r="V93" s="65"/>
      <c r="W93" s="65"/>
      <c r="X93" s="65"/>
      <c r="Y93" s="65"/>
      <c r="Z93" s="65"/>
      <c r="AA93" s="65"/>
      <c r="AB93" s="65"/>
      <c r="AC93" s="65"/>
      <c r="AD93" s="65"/>
      <c r="AE93" s="65"/>
      <c r="AF93" s="65"/>
      <c r="AG93" s="65"/>
      <c r="AH93" s="65"/>
      <c r="AI93" s="65"/>
      <c r="AJ93" s="65"/>
      <c r="AK93" s="65"/>
      <c r="AL93" s="65"/>
      <c r="AM93" s="65"/>
      <c r="AN93" s="65"/>
      <c r="AO93" s="65"/>
      <c r="AP93" s="65"/>
      <c r="AQ93" s="65"/>
      <c r="AR93" s="65"/>
      <c r="AS93" s="27"/>
      <c r="AT93" s="27"/>
      <c r="AU93" s="65"/>
      <c r="AV93" s="27"/>
      <c r="AW93" s="27"/>
    </row>
    <row r="94" spans="7:49" ht="18.75">
      <c r="G94" s="27"/>
      <c r="H94" s="27"/>
      <c r="I94" s="65"/>
      <c r="J94" s="27"/>
      <c r="K94" s="27"/>
      <c r="L94" s="65"/>
      <c r="M94" s="65"/>
      <c r="N94" s="65"/>
      <c r="O94" s="65"/>
      <c r="P94" s="27"/>
      <c r="Q94" s="27"/>
      <c r="R94" s="65"/>
      <c r="S94" s="27"/>
      <c r="T94" s="27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/>
      <c r="AF94" s="65"/>
      <c r="AG94" s="65"/>
      <c r="AH94" s="65"/>
      <c r="AI94" s="65"/>
      <c r="AJ94" s="65"/>
      <c r="AK94" s="65"/>
      <c r="AL94" s="65"/>
      <c r="AM94" s="65"/>
      <c r="AN94" s="65"/>
      <c r="AO94" s="65"/>
      <c r="AP94" s="65"/>
      <c r="AQ94" s="65"/>
      <c r="AR94" s="65"/>
      <c r="AS94" s="27"/>
      <c r="AT94" s="27"/>
      <c r="AU94" s="65"/>
      <c r="AV94" s="27"/>
      <c r="AW94" s="27"/>
    </row>
    <row r="95" spans="7:49" ht="18.75">
      <c r="G95" s="27"/>
      <c r="H95" s="27"/>
      <c r="I95" s="65"/>
      <c r="J95" s="27"/>
      <c r="K95" s="27"/>
      <c r="L95" s="65"/>
      <c r="M95" s="65"/>
      <c r="N95" s="65"/>
      <c r="O95" s="65"/>
      <c r="P95" s="27"/>
      <c r="Q95" s="27"/>
      <c r="R95" s="65"/>
      <c r="S95" s="27"/>
      <c r="T95" s="27"/>
      <c r="U95" s="65"/>
      <c r="V95" s="65"/>
      <c r="W95" s="65"/>
      <c r="X95" s="65"/>
      <c r="Y95" s="65"/>
      <c r="Z95" s="65"/>
      <c r="AA95" s="65"/>
      <c r="AB95" s="65"/>
      <c r="AC95" s="65"/>
      <c r="AD95" s="65"/>
      <c r="AE95" s="65"/>
      <c r="AF95" s="65"/>
      <c r="AG95" s="65"/>
      <c r="AH95" s="65"/>
      <c r="AI95" s="65"/>
      <c r="AJ95" s="65"/>
      <c r="AK95" s="65"/>
      <c r="AL95" s="65"/>
      <c r="AM95" s="65"/>
      <c r="AN95" s="65"/>
      <c r="AO95" s="65"/>
      <c r="AP95" s="65"/>
      <c r="AQ95" s="65"/>
      <c r="AR95" s="65"/>
      <c r="AS95" s="27"/>
      <c r="AT95" s="27"/>
      <c r="AU95" s="65"/>
      <c r="AV95" s="27"/>
      <c r="AW95" s="27"/>
    </row>
    <row r="96" spans="7:49" ht="18.75">
      <c r="G96" s="27"/>
      <c r="H96" s="27"/>
      <c r="I96" s="65"/>
      <c r="J96" s="27"/>
      <c r="K96" s="27"/>
      <c r="L96" s="65"/>
      <c r="M96" s="65"/>
      <c r="N96" s="65"/>
      <c r="O96" s="65"/>
      <c r="P96" s="27"/>
      <c r="Q96" s="27"/>
      <c r="R96" s="65"/>
      <c r="S96" s="27"/>
      <c r="T96" s="27"/>
      <c r="U96" s="65"/>
      <c r="V96" s="65"/>
      <c r="W96" s="65"/>
      <c r="X96" s="65"/>
      <c r="Y96" s="65"/>
      <c r="Z96" s="65"/>
      <c r="AA96" s="65"/>
      <c r="AB96" s="65"/>
      <c r="AC96" s="65"/>
      <c r="AD96" s="65"/>
      <c r="AE96" s="65"/>
      <c r="AF96" s="65"/>
      <c r="AG96" s="65"/>
      <c r="AH96" s="65"/>
      <c r="AI96" s="65"/>
      <c r="AJ96" s="65"/>
      <c r="AK96" s="65"/>
      <c r="AL96" s="65"/>
      <c r="AM96" s="65"/>
      <c r="AN96" s="65"/>
      <c r="AO96" s="65"/>
      <c r="AP96" s="65"/>
      <c r="AQ96" s="65"/>
      <c r="AR96" s="65"/>
      <c r="AS96" s="27"/>
      <c r="AT96" s="27"/>
      <c r="AU96" s="65"/>
      <c r="AV96" s="27"/>
      <c r="AW96" s="27"/>
    </row>
    <row r="97" spans="7:49" ht="18.75">
      <c r="G97" s="27"/>
      <c r="H97" s="27"/>
      <c r="I97" s="65"/>
      <c r="J97" s="27"/>
      <c r="K97" s="27"/>
      <c r="L97" s="65"/>
      <c r="M97" s="65"/>
      <c r="N97" s="65"/>
      <c r="O97" s="65"/>
      <c r="P97" s="27"/>
      <c r="Q97" s="27"/>
      <c r="R97" s="65"/>
      <c r="S97" s="27"/>
      <c r="T97" s="27"/>
      <c r="U97" s="65"/>
      <c r="V97" s="65"/>
      <c r="W97" s="65"/>
      <c r="X97" s="65"/>
      <c r="Y97" s="65"/>
      <c r="Z97" s="65"/>
      <c r="AA97" s="65"/>
      <c r="AB97" s="65"/>
      <c r="AC97" s="65"/>
      <c r="AD97" s="65"/>
      <c r="AE97" s="65"/>
      <c r="AF97" s="65"/>
      <c r="AG97" s="65"/>
      <c r="AH97" s="65"/>
      <c r="AI97" s="65"/>
      <c r="AJ97" s="65"/>
      <c r="AK97" s="65"/>
      <c r="AL97" s="65"/>
      <c r="AM97" s="65"/>
      <c r="AN97" s="65"/>
      <c r="AO97" s="65"/>
      <c r="AP97" s="65"/>
      <c r="AQ97" s="65"/>
      <c r="AR97" s="65"/>
      <c r="AS97" s="27"/>
      <c r="AT97" s="27"/>
      <c r="AU97" s="65"/>
      <c r="AV97" s="27"/>
      <c r="AW97" s="27"/>
    </row>
    <row r="98" spans="7:49" ht="18.75">
      <c r="G98" s="27"/>
      <c r="H98" s="27"/>
      <c r="I98" s="65"/>
      <c r="J98" s="27"/>
      <c r="K98" s="27"/>
      <c r="L98" s="65"/>
      <c r="M98" s="65"/>
      <c r="N98" s="65"/>
      <c r="O98" s="65"/>
      <c r="P98" s="27"/>
      <c r="Q98" s="27"/>
      <c r="R98" s="65"/>
      <c r="S98" s="27"/>
      <c r="T98" s="27"/>
      <c r="U98" s="65"/>
      <c r="V98" s="65"/>
      <c r="W98" s="65"/>
      <c r="X98" s="65"/>
      <c r="Y98" s="65"/>
      <c r="Z98" s="65"/>
      <c r="AA98" s="65"/>
      <c r="AB98" s="65"/>
      <c r="AC98" s="65"/>
      <c r="AD98" s="65"/>
      <c r="AE98" s="65"/>
      <c r="AF98" s="65"/>
      <c r="AG98" s="65"/>
      <c r="AH98" s="65"/>
      <c r="AI98" s="65"/>
      <c r="AJ98" s="65"/>
      <c r="AK98" s="65"/>
      <c r="AL98" s="65"/>
      <c r="AM98" s="65"/>
      <c r="AN98" s="65"/>
      <c r="AO98" s="65"/>
      <c r="AP98" s="65"/>
      <c r="AQ98" s="65"/>
      <c r="AR98" s="65"/>
      <c r="AS98" s="27"/>
      <c r="AT98" s="27"/>
      <c r="AU98" s="65"/>
      <c r="AV98" s="27"/>
      <c r="AW98" s="27"/>
    </row>
    <row r="99" spans="7:49" ht="18.75">
      <c r="G99" s="27"/>
      <c r="H99" s="27"/>
      <c r="I99" s="65"/>
      <c r="J99" s="27"/>
      <c r="K99" s="27"/>
      <c r="L99" s="65"/>
      <c r="M99" s="65"/>
      <c r="N99" s="65"/>
      <c r="O99" s="65"/>
      <c r="P99" s="27"/>
      <c r="Q99" s="27"/>
      <c r="R99" s="65"/>
      <c r="S99" s="27"/>
      <c r="T99" s="27"/>
      <c r="U99" s="65"/>
      <c r="V99" s="65"/>
      <c r="W99" s="65"/>
      <c r="X99" s="65"/>
      <c r="Y99" s="65"/>
      <c r="Z99" s="65"/>
      <c r="AA99" s="65"/>
      <c r="AB99" s="65"/>
      <c r="AC99" s="65"/>
      <c r="AD99" s="65"/>
      <c r="AE99" s="65"/>
      <c r="AF99" s="65"/>
      <c r="AG99" s="65"/>
      <c r="AH99" s="65"/>
      <c r="AI99" s="65"/>
      <c r="AJ99" s="65"/>
      <c r="AK99" s="65"/>
      <c r="AL99" s="65"/>
      <c r="AM99" s="65"/>
      <c r="AN99" s="65"/>
      <c r="AO99" s="65"/>
      <c r="AP99" s="65"/>
      <c r="AQ99" s="65"/>
      <c r="AR99" s="65"/>
      <c r="AS99" s="27"/>
      <c r="AT99" s="27"/>
      <c r="AU99" s="65"/>
      <c r="AV99" s="27"/>
      <c r="AW99" s="27"/>
    </row>
    <row r="100" spans="7:49" ht="18.75">
      <c r="G100" s="27"/>
      <c r="H100" s="27"/>
      <c r="I100" s="65"/>
      <c r="J100" s="27"/>
      <c r="K100" s="27"/>
      <c r="L100" s="65"/>
      <c r="M100" s="65"/>
      <c r="N100" s="65"/>
      <c r="O100" s="65"/>
      <c r="P100" s="27"/>
      <c r="Q100" s="27"/>
      <c r="R100" s="65"/>
      <c r="S100" s="27"/>
      <c r="T100" s="27"/>
      <c r="U100" s="65"/>
      <c r="V100" s="65"/>
      <c r="W100" s="65"/>
      <c r="X100" s="65"/>
      <c r="Y100" s="65"/>
      <c r="Z100" s="65"/>
      <c r="AA100" s="65"/>
      <c r="AB100" s="65"/>
      <c r="AC100" s="65"/>
      <c r="AD100" s="65"/>
      <c r="AE100" s="65"/>
      <c r="AF100" s="65"/>
      <c r="AG100" s="65"/>
      <c r="AH100" s="65"/>
      <c r="AI100" s="65"/>
      <c r="AJ100" s="65"/>
      <c r="AK100" s="65"/>
      <c r="AL100" s="65"/>
      <c r="AM100" s="65"/>
      <c r="AN100" s="65"/>
      <c r="AO100" s="65"/>
      <c r="AP100" s="65"/>
      <c r="AQ100" s="65"/>
      <c r="AR100" s="65"/>
      <c r="AS100" s="27"/>
      <c r="AT100" s="27"/>
      <c r="AU100" s="65"/>
      <c r="AV100" s="27"/>
      <c r="AW100" s="27"/>
    </row>
    <row r="101" spans="7:49" ht="18.75">
      <c r="G101" s="27"/>
      <c r="H101" s="27"/>
      <c r="I101" s="65"/>
      <c r="J101" s="27"/>
      <c r="K101" s="27"/>
      <c r="L101" s="65"/>
      <c r="M101" s="65"/>
      <c r="N101" s="65"/>
      <c r="O101" s="65"/>
      <c r="P101" s="27"/>
      <c r="Q101" s="27"/>
      <c r="R101" s="65"/>
      <c r="S101" s="27"/>
      <c r="T101" s="27"/>
      <c r="U101" s="65"/>
      <c r="V101" s="65"/>
      <c r="W101" s="65"/>
      <c r="X101" s="65"/>
      <c r="Y101" s="65"/>
      <c r="Z101" s="65"/>
      <c r="AA101" s="65"/>
      <c r="AB101" s="65"/>
      <c r="AC101" s="65"/>
      <c r="AD101" s="65"/>
      <c r="AE101" s="65"/>
      <c r="AF101" s="65"/>
      <c r="AG101" s="65"/>
      <c r="AH101" s="65"/>
      <c r="AI101" s="65"/>
      <c r="AJ101" s="65"/>
      <c r="AK101" s="65"/>
      <c r="AL101" s="65"/>
      <c r="AM101" s="65"/>
      <c r="AN101" s="65"/>
      <c r="AO101" s="65"/>
      <c r="AP101" s="65"/>
      <c r="AQ101" s="65"/>
      <c r="AR101" s="65"/>
      <c r="AS101" s="27"/>
      <c r="AT101" s="27"/>
      <c r="AU101" s="65"/>
      <c r="AV101" s="27"/>
      <c r="AW101" s="27"/>
    </row>
    <row r="102" spans="7:49" ht="18.75">
      <c r="G102" s="27"/>
      <c r="H102" s="27"/>
      <c r="I102" s="65"/>
      <c r="J102" s="27"/>
      <c r="K102" s="27"/>
      <c r="L102" s="65"/>
      <c r="M102" s="65"/>
      <c r="N102" s="65"/>
      <c r="O102" s="65"/>
      <c r="P102" s="27"/>
      <c r="Q102" s="27"/>
      <c r="R102" s="65"/>
      <c r="S102" s="27"/>
      <c r="T102" s="27"/>
      <c r="U102" s="65"/>
      <c r="V102" s="65"/>
      <c r="W102" s="65"/>
      <c r="X102" s="65"/>
      <c r="Y102" s="65"/>
      <c r="Z102" s="65"/>
      <c r="AA102" s="65"/>
      <c r="AB102" s="65"/>
      <c r="AC102" s="65"/>
      <c r="AD102" s="65"/>
      <c r="AE102" s="65"/>
      <c r="AF102" s="65"/>
      <c r="AG102" s="65"/>
      <c r="AH102" s="65"/>
      <c r="AI102" s="65"/>
      <c r="AJ102" s="65"/>
      <c r="AK102" s="65"/>
      <c r="AL102" s="65"/>
      <c r="AM102" s="65"/>
      <c r="AN102" s="65"/>
      <c r="AO102" s="65"/>
      <c r="AP102" s="65"/>
      <c r="AQ102" s="65"/>
      <c r="AR102" s="65"/>
      <c r="AS102" s="27"/>
      <c r="AT102" s="27"/>
      <c r="AU102" s="65"/>
      <c r="AV102" s="27"/>
      <c r="AW102" s="27"/>
    </row>
    <row r="103" spans="7:49" ht="18.75">
      <c r="G103" s="27"/>
      <c r="H103" s="27"/>
      <c r="I103" s="65"/>
      <c r="J103" s="27"/>
      <c r="K103" s="27"/>
      <c r="L103" s="65"/>
      <c r="M103" s="65"/>
      <c r="N103" s="65"/>
      <c r="O103" s="65"/>
      <c r="P103" s="27"/>
      <c r="Q103" s="27"/>
      <c r="R103" s="65"/>
      <c r="S103" s="27"/>
      <c r="T103" s="27"/>
      <c r="U103" s="65"/>
      <c r="V103" s="65"/>
      <c r="W103" s="65"/>
      <c r="X103" s="65"/>
      <c r="Y103" s="65"/>
      <c r="Z103" s="65"/>
      <c r="AA103" s="65"/>
      <c r="AB103" s="65"/>
      <c r="AC103" s="65"/>
      <c r="AD103" s="65"/>
      <c r="AE103" s="65"/>
      <c r="AF103" s="65"/>
      <c r="AG103" s="65"/>
      <c r="AH103" s="65"/>
      <c r="AI103" s="65"/>
      <c r="AJ103" s="65"/>
      <c r="AK103" s="65"/>
      <c r="AL103" s="65"/>
      <c r="AM103" s="65"/>
      <c r="AN103" s="65"/>
      <c r="AO103" s="65"/>
      <c r="AP103" s="65"/>
      <c r="AQ103" s="65"/>
      <c r="AR103" s="65"/>
      <c r="AS103" s="27"/>
      <c r="AT103" s="27"/>
      <c r="AU103" s="65"/>
      <c r="AV103" s="27"/>
      <c r="AW103" s="27"/>
    </row>
    <row r="104" spans="7:49" ht="18.75">
      <c r="G104" s="27"/>
      <c r="H104" s="27"/>
      <c r="I104" s="65"/>
      <c r="J104" s="27"/>
      <c r="K104" s="27"/>
      <c r="L104" s="65"/>
      <c r="M104" s="65"/>
      <c r="N104" s="65"/>
      <c r="O104" s="65"/>
      <c r="P104" s="27"/>
      <c r="Q104" s="27"/>
      <c r="R104" s="65"/>
      <c r="S104" s="27"/>
      <c r="T104" s="27"/>
      <c r="U104" s="65"/>
      <c r="V104" s="65"/>
      <c r="W104" s="65"/>
      <c r="X104" s="65"/>
      <c r="Y104" s="65"/>
      <c r="Z104" s="65"/>
      <c r="AA104" s="65"/>
      <c r="AB104" s="65"/>
      <c r="AC104" s="65"/>
      <c r="AD104" s="65"/>
      <c r="AE104" s="65"/>
      <c r="AF104" s="65"/>
      <c r="AG104" s="65"/>
      <c r="AH104" s="65"/>
      <c r="AI104" s="65"/>
      <c r="AJ104" s="65"/>
      <c r="AK104" s="65"/>
      <c r="AL104" s="65"/>
      <c r="AM104" s="65"/>
      <c r="AN104" s="65"/>
      <c r="AO104" s="65"/>
      <c r="AP104" s="65"/>
      <c r="AQ104" s="65"/>
      <c r="AR104" s="65"/>
      <c r="AS104" s="27"/>
      <c r="AT104" s="27"/>
      <c r="AU104" s="65"/>
      <c r="AV104" s="27"/>
      <c r="AW104" s="27"/>
    </row>
  </sheetData>
  <sheetProtection/>
  <mergeCells count="27">
    <mergeCell ref="AQ5:AR5"/>
    <mergeCell ref="J5:L5"/>
    <mergeCell ref="G5:I5"/>
    <mergeCell ref="AM5:AN5"/>
    <mergeCell ref="AJ5:AL5"/>
    <mergeCell ref="M5:O5"/>
    <mergeCell ref="Y5:AA5"/>
    <mergeCell ref="D1:AW1"/>
    <mergeCell ref="B2:AW2"/>
    <mergeCell ref="B4:C4"/>
    <mergeCell ref="AS5:AU5"/>
    <mergeCell ref="AV5:AV6"/>
    <mergeCell ref="D5:F5"/>
    <mergeCell ref="AO5:AP5"/>
    <mergeCell ref="AH5:AI5"/>
    <mergeCell ref="P5:R5"/>
    <mergeCell ref="V5:X5"/>
    <mergeCell ref="B54:C54"/>
    <mergeCell ref="S5:U5"/>
    <mergeCell ref="AE5:AG5"/>
    <mergeCell ref="AB5:AD5"/>
    <mergeCell ref="A57:C57"/>
    <mergeCell ref="B3:AW3"/>
    <mergeCell ref="A49:AW50"/>
    <mergeCell ref="B56:C56"/>
    <mergeCell ref="B55:D55"/>
    <mergeCell ref="AW5:AW6"/>
  </mergeCells>
  <printOptions horizontalCentered="1"/>
  <pageMargins left="0" right="0" top="0" bottom="0" header="0" footer="0"/>
  <pageSetup fitToHeight="1" fitToWidth="1" horizontalDpi="600" verticalDpi="600" orientation="landscape" paperSize="9" scale="44" r:id="rId1"/>
  <colBreaks count="1" manualBreakCount="1">
    <brk id="2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Z104"/>
  <sheetViews>
    <sheetView view="pageBreakPreview" zoomScale="70" zoomScaleNormal="75" zoomScaleSheetLayoutView="70" zoomScalePageLayoutView="0" workbookViewId="0" topLeftCell="A1">
      <pane xSplit="6" ySplit="8" topLeftCell="O12" activePane="bottomRight" state="frozen"/>
      <selection pane="topLeft" activeCell="A1" sqref="A1"/>
      <selection pane="topRight" activeCell="G1" sqref="G1"/>
      <selection pane="bottomLeft" activeCell="A9" sqref="A9"/>
      <selection pane="bottomRight" activeCell="A16" sqref="A16:IV16"/>
    </sheetView>
  </sheetViews>
  <sheetFormatPr defaultColWidth="7.875" defaultRowHeight="12.75"/>
  <cols>
    <col min="1" max="1" width="6.625" style="7" customWidth="1"/>
    <col min="2" max="2" width="58.125" style="5" customWidth="1"/>
    <col min="3" max="3" width="16.875" style="39" customWidth="1"/>
    <col min="4" max="4" width="19.875" style="5" hidden="1" customWidth="1"/>
    <col min="5" max="5" width="19.75390625" style="5" hidden="1" customWidth="1"/>
    <col min="6" max="6" width="13.75390625" style="8" hidden="1" customWidth="1"/>
    <col min="7" max="8" width="14.75390625" style="5" hidden="1" customWidth="1"/>
    <col min="9" max="9" width="11.875" style="8" hidden="1" customWidth="1"/>
    <col min="10" max="11" width="14.75390625" style="5" hidden="1" customWidth="1"/>
    <col min="12" max="12" width="11.75390625" style="8" hidden="1" customWidth="1"/>
    <col min="13" max="13" width="12.75390625" style="8" customWidth="1"/>
    <col min="14" max="14" width="13.25390625" style="8" customWidth="1"/>
    <col min="15" max="15" width="11.875" style="8" customWidth="1"/>
    <col min="16" max="17" width="14.75390625" style="5" hidden="1" customWidth="1"/>
    <col min="18" max="18" width="11.875" style="8" hidden="1" customWidth="1"/>
    <col min="19" max="20" width="14.75390625" style="5" hidden="1" customWidth="1"/>
    <col min="21" max="21" width="11.875" style="8" hidden="1" customWidth="1"/>
    <col min="22" max="22" width="15.125" style="8" hidden="1" customWidth="1"/>
    <col min="23" max="23" width="14.25390625" style="8" hidden="1" customWidth="1"/>
    <col min="24" max="24" width="11.875" style="8" hidden="1" customWidth="1"/>
    <col min="25" max="25" width="12.75390625" style="8" customWidth="1"/>
    <col min="26" max="26" width="13.25390625" style="8" customWidth="1"/>
    <col min="27" max="27" width="11.875" style="8" hidden="1" customWidth="1"/>
    <col min="28" max="28" width="15.125" style="8" customWidth="1"/>
    <col min="29" max="29" width="14.25390625" style="8" customWidth="1"/>
    <col min="30" max="30" width="11.875" style="8" hidden="1" customWidth="1"/>
    <col min="31" max="31" width="14.625" style="8" hidden="1" customWidth="1"/>
    <col min="32" max="32" width="14.25390625" style="8" hidden="1" customWidth="1"/>
    <col min="33" max="33" width="11.875" style="8" hidden="1" customWidth="1"/>
    <col min="34" max="34" width="15.625" style="8" hidden="1" customWidth="1"/>
    <col min="35" max="35" width="13.25390625" style="8" hidden="1" customWidth="1"/>
    <col min="36" max="36" width="12.75390625" style="8" hidden="1" customWidth="1"/>
    <col min="37" max="37" width="13.25390625" style="8" hidden="1" customWidth="1"/>
    <col min="38" max="38" width="11.875" style="8" hidden="1" customWidth="1"/>
    <col min="39" max="39" width="15.625" style="8" hidden="1" customWidth="1"/>
    <col min="40" max="40" width="13.25390625" style="8" hidden="1" customWidth="1"/>
    <col min="41" max="41" width="15.625" style="8" hidden="1" customWidth="1"/>
    <col min="42" max="42" width="13.25390625" style="8" hidden="1" customWidth="1"/>
    <col min="43" max="43" width="15.625" style="8" hidden="1" customWidth="1"/>
    <col min="44" max="44" width="13.25390625" style="8" hidden="1" customWidth="1"/>
    <col min="45" max="45" width="15.00390625" style="5" customWidth="1"/>
    <col min="46" max="46" width="15.125" style="5" customWidth="1"/>
    <col min="47" max="47" width="13.75390625" style="8" customWidth="1"/>
    <col min="48" max="48" width="19.75390625" style="5" customWidth="1"/>
    <col min="49" max="49" width="22.625" style="5" customWidth="1"/>
    <col min="50" max="50" width="13.625" style="5" customWidth="1"/>
    <col min="51" max="51" width="16.875" style="5" customWidth="1"/>
    <col min="52" max="16384" width="7.875" style="5" customWidth="1"/>
  </cols>
  <sheetData>
    <row r="1" spans="4:49" ht="18.75"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147"/>
      <c r="AM1" s="147"/>
      <c r="AN1" s="147"/>
      <c r="AO1" s="147"/>
      <c r="AP1" s="147"/>
      <c r="AQ1" s="147"/>
      <c r="AR1" s="147"/>
      <c r="AS1" s="147"/>
      <c r="AT1" s="147"/>
      <c r="AU1" s="147"/>
      <c r="AV1" s="147"/>
      <c r="AW1" s="147"/>
    </row>
    <row r="2" spans="1:49" s="30" customFormat="1" ht="42" customHeight="1">
      <c r="A2" s="29"/>
      <c r="B2" s="146" t="s">
        <v>48</v>
      </c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146"/>
      <c r="AP2" s="146"/>
      <c r="AQ2" s="146"/>
      <c r="AR2" s="146"/>
      <c r="AS2" s="146"/>
      <c r="AT2" s="146"/>
      <c r="AU2" s="146"/>
      <c r="AV2" s="146"/>
      <c r="AW2" s="146"/>
    </row>
    <row r="3" spans="1:49" s="30" customFormat="1" ht="42" customHeight="1">
      <c r="A3" s="29"/>
      <c r="B3" s="146" t="s">
        <v>126</v>
      </c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146"/>
      <c r="AK3" s="146"/>
      <c r="AL3" s="146"/>
      <c r="AM3" s="146"/>
      <c r="AN3" s="146"/>
      <c r="AO3" s="146"/>
      <c r="AP3" s="146"/>
      <c r="AQ3" s="146"/>
      <c r="AR3" s="146"/>
      <c r="AS3" s="146"/>
      <c r="AT3" s="146"/>
      <c r="AU3" s="146"/>
      <c r="AV3" s="146"/>
      <c r="AW3" s="146"/>
    </row>
    <row r="4" spans="2:49" ht="18.75">
      <c r="B4" s="67"/>
      <c r="C4" s="67"/>
      <c r="AW4" s="11" t="s">
        <v>20</v>
      </c>
    </row>
    <row r="5" spans="1:49" ht="36.75" customHeight="1">
      <c r="A5" s="22" t="s">
        <v>8</v>
      </c>
      <c r="B5" s="23"/>
      <c r="C5" s="24" t="s">
        <v>1</v>
      </c>
      <c r="D5" s="143" t="s">
        <v>64</v>
      </c>
      <c r="E5" s="144"/>
      <c r="F5" s="145"/>
      <c r="G5" s="140" t="s">
        <v>66</v>
      </c>
      <c r="H5" s="141"/>
      <c r="I5" s="142"/>
      <c r="J5" s="140" t="s">
        <v>68</v>
      </c>
      <c r="K5" s="141"/>
      <c r="L5" s="142"/>
      <c r="M5" s="140" t="s">
        <v>81</v>
      </c>
      <c r="N5" s="141"/>
      <c r="O5" s="142"/>
      <c r="P5" s="140" t="s">
        <v>69</v>
      </c>
      <c r="Q5" s="141"/>
      <c r="R5" s="142"/>
      <c r="S5" s="140" t="s">
        <v>70</v>
      </c>
      <c r="T5" s="141"/>
      <c r="U5" s="142"/>
      <c r="V5" s="140" t="s">
        <v>71</v>
      </c>
      <c r="W5" s="141"/>
      <c r="X5" s="142"/>
      <c r="Y5" s="140" t="s">
        <v>72</v>
      </c>
      <c r="Z5" s="141"/>
      <c r="AA5" s="142"/>
      <c r="AB5" s="140" t="s">
        <v>73</v>
      </c>
      <c r="AC5" s="141"/>
      <c r="AD5" s="142"/>
      <c r="AE5" s="140" t="s">
        <v>74</v>
      </c>
      <c r="AF5" s="141"/>
      <c r="AG5" s="142"/>
      <c r="AH5" s="140" t="s">
        <v>75</v>
      </c>
      <c r="AI5" s="142"/>
      <c r="AJ5" s="140" t="s">
        <v>77</v>
      </c>
      <c r="AK5" s="141"/>
      <c r="AL5" s="142"/>
      <c r="AM5" s="140" t="s">
        <v>76</v>
      </c>
      <c r="AN5" s="142"/>
      <c r="AO5" s="140" t="s">
        <v>78</v>
      </c>
      <c r="AP5" s="142"/>
      <c r="AQ5" s="140" t="s">
        <v>79</v>
      </c>
      <c r="AR5" s="142"/>
      <c r="AS5" s="143" t="s">
        <v>82</v>
      </c>
      <c r="AT5" s="144"/>
      <c r="AU5" s="145"/>
      <c r="AV5" s="148" t="s">
        <v>127</v>
      </c>
      <c r="AW5" s="148" t="s">
        <v>128</v>
      </c>
    </row>
    <row r="6" spans="1:49" ht="63.75" customHeight="1">
      <c r="A6" s="25" t="s">
        <v>5</v>
      </c>
      <c r="B6" s="40" t="s">
        <v>18</v>
      </c>
      <c r="C6" s="118" t="s">
        <v>80</v>
      </c>
      <c r="D6" s="26" t="s">
        <v>65</v>
      </c>
      <c r="E6" s="26" t="s">
        <v>19</v>
      </c>
      <c r="F6" s="12" t="s">
        <v>0</v>
      </c>
      <c r="G6" s="26" t="s">
        <v>65</v>
      </c>
      <c r="H6" s="26" t="s">
        <v>19</v>
      </c>
      <c r="I6" s="12" t="s">
        <v>0</v>
      </c>
      <c r="J6" s="26" t="s">
        <v>65</v>
      </c>
      <c r="K6" s="26" t="s">
        <v>19</v>
      </c>
      <c r="L6" s="12" t="s">
        <v>0</v>
      </c>
      <c r="M6" s="26" t="s">
        <v>65</v>
      </c>
      <c r="N6" s="26" t="s">
        <v>19</v>
      </c>
      <c r="O6" s="12" t="s">
        <v>0</v>
      </c>
      <c r="P6" s="26" t="s">
        <v>65</v>
      </c>
      <c r="Q6" s="26" t="s">
        <v>19</v>
      </c>
      <c r="R6" s="12" t="s">
        <v>0</v>
      </c>
      <c r="S6" s="26" t="s">
        <v>65</v>
      </c>
      <c r="T6" s="26" t="s">
        <v>19</v>
      </c>
      <c r="U6" s="12" t="s">
        <v>0</v>
      </c>
      <c r="V6" s="26" t="s">
        <v>65</v>
      </c>
      <c r="W6" s="26" t="s">
        <v>19</v>
      </c>
      <c r="X6" s="12" t="s">
        <v>0</v>
      </c>
      <c r="Y6" s="26" t="s">
        <v>65</v>
      </c>
      <c r="Z6" s="26" t="s">
        <v>19</v>
      </c>
      <c r="AA6" s="12" t="s">
        <v>0</v>
      </c>
      <c r="AB6" s="26" t="s">
        <v>65</v>
      </c>
      <c r="AC6" s="26" t="s">
        <v>19</v>
      </c>
      <c r="AD6" s="12" t="s">
        <v>0</v>
      </c>
      <c r="AE6" s="26" t="s">
        <v>65</v>
      </c>
      <c r="AF6" s="26" t="s">
        <v>19</v>
      </c>
      <c r="AG6" s="12" t="s">
        <v>0</v>
      </c>
      <c r="AH6" s="26" t="s">
        <v>65</v>
      </c>
      <c r="AI6" s="26" t="s">
        <v>19</v>
      </c>
      <c r="AJ6" s="26" t="s">
        <v>65</v>
      </c>
      <c r="AK6" s="26" t="s">
        <v>19</v>
      </c>
      <c r="AL6" s="12" t="s">
        <v>0</v>
      </c>
      <c r="AM6" s="26" t="s">
        <v>65</v>
      </c>
      <c r="AN6" s="26" t="s">
        <v>19</v>
      </c>
      <c r="AO6" s="26" t="s">
        <v>65</v>
      </c>
      <c r="AP6" s="26" t="s">
        <v>19</v>
      </c>
      <c r="AQ6" s="26" t="s">
        <v>65</v>
      </c>
      <c r="AR6" s="26" t="s">
        <v>19</v>
      </c>
      <c r="AS6" s="26" t="s">
        <v>65</v>
      </c>
      <c r="AT6" s="26" t="s">
        <v>19</v>
      </c>
      <c r="AU6" s="12" t="s">
        <v>0</v>
      </c>
      <c r="AV6" s="149"/>
      <c r="AW6" s="149"/>
    </row>
    <row r="7" spans="1:51" s="8" customFormat="1" ht="36" customHeight="1">
      <c r="A7" s="12"/>
      <c r="B7" s="13" t="s">
        <v>21</v>
      </c>
      <c r="C7" s="68">
        <f>SUM(C8:C44)</f>
        <v>-15644.999999999996</v>
      </c>
      <c r="D7" s="14">
        <f>SUM(D8:D44)</f>
        <v>67973.6</v>
      </c>
      <c r="E7" s="14">
        <f>SUM(E8:E44)</f>
        <v>23578.6</v>
      </c>
      <c r="F7" s="14">
        <f aca="true" t="shared" si="0" ref="F7:F28">E7/D7*100</f>
        <v>34.68787882354326</v>
      </c>
      <c r="G7" s="14">
        <f>SUM(G8:G44)</f>
        <v>65804</v>
      </c>
      <c r="H7" s="14">
        <f>SUM(H8:H44)</f>
        <v>51531.80000000001</v>
      </c>
      <c r="I7" s="14">
        <f>H7/G7*100</f>
        <v>78.3110449212814</v>
      </c>
      <c r="J7" s="14">
        <f>SUM(J8:J44)</f>
        <v>65241.6</v>
      </c>
      <c r="K7" s="14">
        <f>SUM(K8:K44)</f>
        <v>41619.399999999994</v>
      </c>
      <c r="L7" s="14">
        <f>K7/J7*100</f>
        <v>63.79273347066901</v>
      </c>
      <c r="M7" s="14">
        <f>SUM(M8:M44)</f>
        <v>199019.19999999998</v>
      </c>
      <c r="N7" s="14">
        <f>SUM(N8:N44)</f>
        <v>116729.8</v>
      </c>
      <c r="O7" s="14">
        <f>N7/M7*100</f>
        <v>58.652532017011424</v>
      </c>
      <c r="P7" s="14">
        <f>SUM(P8:P44)</f>
        <v>8564.9</v>
      </c>
      <c r="Q7" s="14">
        <f>SUM(Q8:Q44)</f>
        <v>32665.8</v>
      </c>
      <c r="R7" s="14">
        <f>Q7/P7*100</f>
        <v>381.391493187311</v>
      </c>
      <c r="S7" s="14">
        <f>SUM(S8:S44)</f>
        <v>635.4000000000001</v>
      </c>
      <c r="T7" s="14">
        <f>SUM(T8:T44)</f>
        <v>15846.4</v>
      </c>
      <c r="U7" s="14">
        <f>T7/S7*100</f>
        <v>2493.925086559647</v>
      </c>
      <c r="V7" s="14">
        <f>SUM(V8:V44)</f>
        <v>666.1</v>
      </c>
      <c r="W7" s="14">
        <f>SUM(W8:W44)</f>
        <v>16085.300000000003</v>
      </c>
      <c r="X7" s="14">
        <f>W7/V7*100</f>
        <v>2414.8476204774065</v>
      </c>
      <c r="Y7" s="14">
        <f>SUM(Y8:Y44)</f>
        <v>9866.4</v>
      </c>
      <c r="Z7" s="14">
        <f>SUM(Z8:Z44)</f>
        <v>64597.50000000001</v>
      </c>
      <c r="AA7" s="14">
        <f>Z7/Y7*100</f>
        <v>654.7220870834348</v>
      </c>
      <c r="AB7" s="14">
        <f>SUM(AB8:AB44)</f>
        <v>710.3</v>
      </c>
      <c r="AC7" s="14">
        <f>SUM(AC8:AC44)</f>
        <v>6743.099999999999</v>
      </c>
      <c r="AD7" s="28">
        <f>AC7/AB7*100</f>
        <v>949.3312684781077</v>
      </c>
      <c r="AE7" s="14">
        <f>SUM(AE8:AE44)</f>
        <v>0</v>
      </c>
      <c r="AF7" s="14">
        <f>SUM(AF8:AF44)</f>
        <v>0</v>
      </c>
      <c r="AG7" s="28" t="e">
        <f>AF7/AE7*100</f>
        <v>#DIV/0!</v>
      </c>
      <c r="AH7" s="14">
        <f>SUM(AH8:AH44)</f>
        <v>0</v>
      </c>
      <c r="AI7" s="14">
        <f>SUM(AI8:AI44)</f>
        <v>0</v>
      </c>
      <c r="AJ7" s="14">
        <f>SUM(AJ8:AJ44)</f>
        <v>710.3</v>
      </c>
      <c r="AK7" s="14">
        <f>SUM(AK8:AK44)</f>
        <v>6743.099999999999</v>
      </c>
      <c r="AL7" s="14">
        <f>AK7/AJ7*100</f>
        <v>949.3312684781077</v>
      </c>
      <c r="AM7" s="14">
        <f aca="true" t="shared" si="1" ref="AM7:AT7">SUM(AM8:AM44)</f>
        <v>0</v>
      </c>
      <c r="AN7" s="14">
        <f t="shared" si="1"/>
        <v>0</v>
      </c>
      <c r="AO7" s="14">
        <f t="shared" si="1"/>
        <v>0</v>
      </c>
      <c r="AP7" s="14">
        <f t="shared" si="1"/>
        <v>0</v>
      </c>
      <c r="AQ7" s="14">
        <f>SUM(AQ8:AQ44)</f>
        <v>0</v>
      </c>
      <c r="AR7" s="14">
        <f>SUM(AR8:AR44)</f>
        <v>0</v>
      </c>
      <c r="AS7" s="14">
        <f t="shared" si="1"/>
        <v>209595.90000000002</v>
      </c>
      <c r="AT7" s="14">
        <f t="shared" si="1"/>
        <v>188070.4</v>
      </c>
      <c r="AU7" s="14">
        <f>AT7/AS7*100</f>
        <v>89.72999948949382</v>
      </c>
      <c r="AV7" s="42">
        <f>SUM(AV8:AV44)</f>
        <v>21525.499999999996</v>
      </c>
      <c r="AW7" s="42">
        <f>SUM(AW8:AW44)</f>
        <v>5880.499999999995</v>
      </c>
      <c r="AX7" s="20">
        <f>AS7-AT7</f>
        <v>21525.50000000003</v>
      </c>
      <c r="AY7" s="20">
        <f>C7+AS7-AT7</f>
        <v>5880.500000000029</v>
      </c>
    </row>
    <row r="8" spans="1:49" ht="29.25" customHeight="1">
      <c r="A8" s="6">
        <v>1</v>
      </c>
      <c r="B8" s="1" t="s">
        <v>98</v>
      </c>
      <c r="C8" s="2">
        <f>-191.3+(-1407.2)</f>
        <v>-1598.5</v>
      </c>
      <c r="D8" s="3">
        <f>894.2+4161.5</f>
        <v>5055.7</v>
      </c>
      <c r="E8" s="3">
        <f>384.1+1643.9</f>
        <v>2028</v>
      </c>
      <c r="F8" s="14">
        <f t="shared" si="0"/>
        <v>40.11313962458215</v>
      </c>
      <c r="G8" s="3">
        <f>1069.6+3907.2</f>
        <v>4976.799999999999</v>
      </c>
      <c r="H8" s="3">
        <f>997.5+3733.8</f>
        <v>4731.3</v>
      </c>
      <c r="I8" s="14">
        <f>H8/G8*100</f>
        <v>95.06711139688154</v>
      </c>
      <c r="J8" s="3">
        <f>1163.5+4034.2</f>
        <v>5197.7</v>
      </c>
      <c r="K8" s="3">
        <f>1195.6+2078.7</f>
        <v>3274.2999999999997</v>
      </c>
      <c r="L8" s="14">
        <f>K8/J8*100</f>
        <v>62.99517094099313</v>
      </c>
      <c r="M8" s="3">
        <f>D8+G8+J8</f>
        <v>15230.2</v>
      </c>
      <c r="N8" s="3">
        <f>E8+H8+K8</f>
        <v>10033.6</v>
      </c>
      <c r="O8" s="14">
        <f aca="true" t="shared" si="2" ref="O8:O48">N8/M8*100</f>
        <v>65.87963388530682</v>
      </c>
      <c r="P8" s="3">
        <f>114.3+178.6</f>
        <v>292.9</v>
      </c>
      <c r="Q8" s="3">
        <f>473.1+984.9</f>
        <v>1458</v>
      </c>
      <c r="R8" s="14">
        <f>Q8/P8*100</f>
        <v>497.78081256401504</v>
      </c>
      <c r="S8" s="3">
        <v>0</v>
      </c>
      <c r="T8" s="3">
        <v>1095.8</v>
      </c>
      <c r="U8" s="14"/>
      <c r="V8" s="3">
        <f>0</f>
        <v>0</v>
      </c>
      <c r="W8" s="3">
        <v>1367.3</v>
      </c>
      <c r="X8" s="14"/>
      <c r="Y8" s="3">
        <f aca="true" t="shared" si="3" ref="Y8:Y19">P8+S8+V8</f>
        <v>292.9</v>
      </c>
      <c r="Z8" s="3">
        <f aca="true" t="shared" si="4" ref="Z8:Z19">Q8+T8+W8</f>
        <v>3921.1000000000004</v>
      </c>
      <c r="AA8" s="14">
        <f aca="true" t="shared" si="5" ref="AA8:AA48">Z8/Y8*100</f>
        <v>1338.7162854216458</v>
      </c>
      <c r="AB8" s="3">
        <v>0</v>
      </c>
      <c r="AC8" s="3">
        <v>0</v>
      </c>
      <c r="AD8" s="14">
        <v>0</v>
      </c>
      <c r="AE8" s="3"/>
      <c r="AF8" s="3"/>
      <c r="AG8" s="28" t="e">
        <f>AF8/AE8*100</f>
        <v>#DIV/0!</v>
      </c>
      <c r="AH8" s="3"/>
      <c r="AI8" s="3"/>
      <c r="AJ8" s="3">
        <f>AB8+AE8+AH8</f>
        <v>0</v>
      </c>
      <c r="AK8" s="3">
        <f>AC8+AF8+AI8</f>
        <v>0</v>
      </c>
      <c r="AL8" s="14" t="e">
        <f>AK8/AJ8*100</f>
        <v>#DIV/0!</v>
      </c>
      <c r="AM8" s="3"/>
      <c r="AN8" s="3"/>
      <c r="AO8" s="3"/>
      <c r="AP8" s="3"/>
      <c r="AQ8" s="3"/>
      <c r="AR8" s="3"/>
      <c r="AS8" s="3">
        <f>M8+Y8+AJ8+AM8+AO8+AQ8</f>
        <v>15523.1</v>
      </c>
      <c r="AT8" s="3">
        <f>N8+Z8+AK8+AN8+AP8+AR8</f>
        <v>13954.7</v>
      </c>
      <c r="AU8" s="14">
        <f>AT8/AS8*100</f>
        <v>89.89634802326854</v>
      </c>
      <c r="AV8" s="14">
        <f>AS8-AT8</f>
        <v>1568.3999999999996</v>
      </c>
      <c r="AW8" s="4">
        <f>C8+AS8-AT8</f>
        <v>-30.100000000000364</v>
      </c>
    </row>
    <row r="9" spans="1:49" ht="24.75" customHeight="1">
      <c r="A9" s="6">
        <v>2</v>
      </c>
      <c r="B9" s="32" t="s">
        <v>99</v>
      </c>
      <c r="C9" s="2">
        <f>-57.1+(-1168)</f>
        <v>-1225.1</v>
      </c>
      <c r="D9" s="3">
        <v>2254</v>
      </c>
      <c r="E9" s="3">
        <v>253.5</v>
      </c>
      <c r="F9" s="14">
        <f t="shared" si="0"/>
        <v>11.24667258207631</v>
      </c>
      <c r="G9" s="3">
        <v>1902.8</v>
      </c>
      <c r="H9" s="3">
        <v>1621.9</v>
      </c>
      <c r="I9" s="14">
        <f aca="true" t="shared" si="6" ref="I9:I22">H9/G9*100</f>
        <v>85.23754467101115</v>
      </c>
      <c r="J9" s="3">
        <v>1777.8</v>
      </c>
      <c r="K9" s="3">
        <v>1871.3</v>
      </c>
      <c r="L9" s="14">
        <f aca="true" t="shared" si="7" ref="L9:L19">K9/J9*100</f>
        <v>105.25930925863427</v>
      </c>
      <c r="M9" s="3">
        <f aca="true" t="shared" si="8" ref="M9:M43">D9+G9+J9</f>
        <v>5934.6</v>
      </c>
      <c r="N9" s="3">
        <f aca="true" t="shared" si="9" ref="N9:N43">E9+H9+K9</f>
        <v>3746.7</v>
      </c>
      <c r="O9" s="14">
        <f t="shared" si="2"/>
        <v>63.133151349711845</v>
      </c>
      <c r="P9" s="3">
        <v>79.9</v>
      </c>
      <c r="Q9" s="3">
        <v>448</v>
      </c>
      <c r="R9" s="14">
        <f aca="true" t="shared" si="10" ref="R9:R20">Q9/P9*100</f>
        <v>560.7008760951189</v>
      </c>
      <c r="S9" s="3">
        <v>0</v>
      </c>
      <c r="T9" s="3">
        <v>310.8</v>
      </c>
      <c r="U9" s="14"/>
      <c r="V9" s="3">
        <v>0</v>
      </c>
      <c r="W9" s="3">
        <v>315.6</v>
      </c>
      <c r="X9" s="14"/>
      <c r="Y9" s="3">
        <f t="shared" si="3"/>
        <v>79.9</v>
      </c>
      <c r="Z9" s="3">
        <f t="shared" si="4"/>
        <v>1074.4</v>
      </c>
      <c r="AA9" s="14">
        <f t="shared" si="5"/>
        <v>1344.6808510638298</v>
      </c>
      <c r="AB9" s="3">
        <v>0</v>
      </c>
      <c r="AC9" s="3">
        <v>25.5</v>
      </c>
      <c r="AD9" s="14">
        <v>0</v>
      </c>
      <c r="AE9" s="3"/>
      <c r="AF9" s="3"/>
      <c r="AG9" s="28" t="e">
        <f aca="true" t="shared" si="11" ref="AG9:AG16">AF9/AE9*100</f>
        <v>#DIV/0!</v>
      </c>
      <c r="AH9" s="3"/>
      <c r="AI9" s="3"/>
      <c r="AJ9" s="3">
        <f aca="true" t="shared" si="12" ref="AJ9:AJ44">AB9+AE9+AH9</f>
        <v>0</v>
      </c>
      <c r="AK9" s="3">
        <f aca="true" t="shared" si="13" ref="AK9:AK44">AC9+AF9+AI9</f>
        <v>25.5</v>
      </c>
      <c r="AL9" s="14" t="e">
        <f>AK9/AJ9*100</f>
        <v>#DIV/0!</v>
      </c>
      <c r="AM9" s="3"/>
      <c r="AN9" s="3"/>
      <c r="AO9" s="3"/>
      <c r="AP9" s="3"/>
      <c r="AQ9" s="3"/>
      <c r="AR9" s="3"/>
      <c r="AS9" s="3">
        <f aca="true" t="shared" si="14" ref="AS9:AS44">M9+Y9+AJ9+AM9+AO9+AQ9</f>
        <v>6014.5</v>
      </c>
      <c r="AT9" s="3">
        <f aca="true" t="shared" si="15" ref="AT9:AT44">N9+Z9+AK9+AN9+AP9+AR9</f>
        <v>4846.6</v>
      </c>
      <c r="AU9" s="14">
        <f>AT9/AS9*100</f>
        <v>80.5819270097265</v>
      </c>
      <c r="AV9" s="14">
        <f aca="true" t="shared" si="16" ref="AV9:AV33">AS9-AT9</f>
        <v>1167.8999999999996</v>
      </c>
      <c r="AW9" s="4">
        <f aca="true" t="shared" si="17" ref="AW9:AW33">C9+AS9-AT9</f>
        <v>-57.20000000000073</v>
      </c>
    </row>
    <row r="10" spans="1:49" ht="21.75" customHeight="1">
      <c r="A10" s="6">
        <v>3</v>
      </c>
      <c r="B10" s="15" t="s">
        <v>83</v>
      </c>
      <c r="C10" s="2"/>
      <c r="D10" s="3"/>
      <c r="E10" s="3"/>
      <c r="F10" s="14"/>
      <c r="G10" s="44"/>
      <c r="H10" s="44"/>
      <c r="I10" s="14"/>
      <c r="J10" s="44"/>
      <c r="K10" s="44"/>
      <c r="L10" s="28"/>
      <c r="M10" s="3"/>
      <c r="N10" s="3"/>
      <c r="O10" s="14"/>
      <c r="P10" s="44"/>
      <c r="Q10" s="44"/>
      <c r="R10" s="28"/>
      <c r="S10" s="44"/>
      <c r="T10" s="44"/>
      <c r="U10" s="28"/>
      <c r="V10" s="44"/>
      <c r="W10" s="44"/>
      <c r="X10" s="28"/>
      <c r="Y10" s="3"/>
      <c r="Z10" s="3"/>
      <c r="AA10" s="14"/>
      <c r="AB10" s="44"/>
      <c r="AC10" s="44"/>
      <c r="AD10" s="33"/>
      <c r="AE10" s="21"/>
      <c r="AF10" s="21"/>
      <c r="AG10" s="28"/>
      <c r="AH10" s="21"/>
      <c r="AI10" s="21"/>
      <c r="AJ10" s="3"/>
      <c r="AK10" s="3"/>
      <c r="AL10" s="14"/>
      <c r="AM10" s="44"/>
      <c r="AN10" s="44"/>
      <c r="AO10" s="44"/>
      <c r="AP10" s="44"/>
      <c r="AQ10" s="44"/>
      <c r="AR10" s="44"/>
      <c r="AS10" s="3"/>
      <c r="AT10" s="3"/>
      <c r="AU10" s="14"/>
      <c r="AV10" s="14">
        <f t="shared" si="16"/>
        <v>0</v>
      </c>
      <c r="AW10" s="4">
        <f t="shared" si="17"/>
        <v>0</v>
      </c>
    </row>
    <row r="11" spans="1:49" ht="24" customHeight="1">
      <c r="A11" s="6">
        <v>4</v>
      </c>
      <c r="B11" s="1" t="s">
        <v>63</v>
      </c>
      <c r="C11" s="2">
        <f>-53.5</f>
        <v>-53.5</v>
      </c>
      <c r="D11" s="3">
        <f>94.6+83.4</f>
        <v>178</v>
      </c>
      <c r="E11" s="3">
        <f>0</f>
        <v>0</v>
      </c>
      <c r="F11" s="14">
        <f t="shared" si="0"/>
        <v>0</v>
      </c>
      <c r="G11" s="3">
        <f>109.5+77.7</f>
        <v>187.2</v>
      </c>
      <c r="H11" s="3">
        <f>204.2+122.8</f>
        <v>327</v>
      </c>
      <c r="I11" s="14">
        <f t="shared" si="6"/>
        <v>174.67948717948718</v>
      </c>
      <c r="J11" s="3">
        <f>84.2+82.8</f>
        <v>167</v>
      </c>
      <c r="K11" s="3">
        <f>116.3+16.4</f>
        <v>132.7</v>
      </c>
      <c r="L11" s="14">
        <f t="shared" si="7"/>
        <v>79.46107784431136</v>
      </c>
      <c r="M11" s="3">
        <f t="shared" si="8"/>
        <v>532.2</v>
      </c>
      <c r="N11" s="3">
        <f t="shared" si="9"/>
        <v>459.7</v>
      </c>
      <c r="O11" s="14">
        <f t="shared" si="2"/>
        <v>86.37730176625328</v>
      </c>
      <c r="P11" s="3">
        <f>19.4+27.3</f>
        <v>46.7</v>
      </c>
      <c r="Q11" s="3">
        <f>-24+73.7</f>
        <v>49.7</v>
      </c>
      <c r="R11" s="14">
        <f t="shared" si="10"/>
        <v>106.42398286937902</v>
      </c>
      <c r="S11" s="3"/>
      <c r="T11" s="3">
        <v>73.7</v>
      </c>
      <c r="U11" s="14" t="e">
        <f>T11/S11*100</f>
        <v>#DIV/0!</v>
      </c>
      <c r="V11" s="3"/>
      <c r="W11" s="3"/>
      <c r="X11" s="28" t="e">
        <f>W11/V11*100</f>
        <v>#DIV/0!</v>
      </c>
      <c r="Y11" s="3">
        <f t="shared" si="3"/>
        <v>46.7</v>
      </c>
      <c r="Z11" s="3">
        <f t="shared" si="4"/>
        <v>123.4</v>
      </c>
      <c r="AA11" s="14">
        <f t="shared" si="5"/>
        <v>264.2398286937902</v>
      </c>
      <c r="AB11" s="3">
        <v>0</v>
      </c>
      <c r="AC11" s="3">
        <v>0</v>
      </c>
      <c r="AD11" s="28" t="e">
        <f>AC11/AB11*100</f>
        <v>#DIV/0!</v>
      </c>
      <c r="AE11" s="3"/>
      <c r="AF11" s="3"/>
      <c r="AG11" s="28" t="e">
        <f t="shared" si="11"/>
        <v>#DIV/0!</v>
      </c>
      <c r="AH11" s="3"/>
      <c r="AI11" s="3"/>
      <c r="AJ11" s="3">
        <f t="shared" si="12"/>
        <v>0</v>
      </c>
      <c r="AK11" s="3">
        <f t="shared" si="13"/>
        <v>0</v>
      </c>
      <c r="AL11" s="14" t="e">
        <f aca="true" t="shared" si="18" ref="AL11:AL17">AK11/AJ11*100</f>
        <v>#DIV/0!</v>
      </c>
      <c r="AM11" s="3"/>
      <c r="AN11" s="3"/>
      <c r="AO11" s="3"/>
      <c r="AP11" s="3"/>
      <c r="AQ11" s="3"/>
      <c r="AR11" s="3"/>
      <c r="AS11" s="3">
        <f t="shared" si="14"/>
        <v>578.9000000000001</v>
      </c>
      <c r="AT11" s="3">
        <f t="shared" si="15"/>
        <v>583.1</v>
      </c>
      <c r="AU11" s="14">
        <f aca="true" t="shared" si="19" ref="AU11:AU22">AT11/AS11*100</f>
        <v>100.72551390568319</v>
      </c>
      <c r="AV11" s="14">
        <f t="shared" si="16"/>
        <v>-4.199999999999932</v>
      </c>
      <c r="AW11" s="4">
        <f t="shared" si="17"/>
        <v>-57.69999999999993</v>
      </c>
    </row>
    <row r="12" spans="1:49" s="43" customFormat="1" ht="24" customHeight="1">
      <c r="A12" s="6">
        <v>5</v>
      </c>
      <c r="B12" s="1" t="s">
        <v>100</v>
      </c>
      <c r="C12" s="2">
        <f>-55.3-298.7</f>
        <v>-354</v>
      </c>
      <c r="D12" s="3">
        <f>270.1+1655.5</f>
        <v>1925.6</v>
      </c>
      <c r="E12" s="3">
        <v>0</v>
      </c>
      <c r="F12" s="14">
        <f t="shared" si="0"/>
        <v>0</v>
      </c>
      <c r="G12" s="3">
        <f>284.2+1761.2</f>
        <v>2045.4</v>
      </c>
      <c r="H12" s="3">
        <f>214.8+1151.5</f>
        <v>1366.3</v>
      </c>
      <c r="I12" s="14">
        <f t="shared" si="6"/>
        <v>66.79867018676053</v>
      </c>
      <c r="J12" s="3">
        <f>279.6+1786.4</f>
        <v>2066</v>
      </c>
      <c r="K12" s="3">
        <f>264.6+1372.1</f>
        <v>1636.6999999999998</v>
      </c>
      <c r="L12" s="14">
        <f t="shared" si="7"/>
        <v>79.22071636011616</v>
      </c>
      <c r="M12" s="3">
        <f t="shared" si="8"/>
        <v>6037</v>
      </c>
      <c r="N12" s="3">
        <f t="shared" si="9"/>
        <v>3003</v>
      </c>
      <c r="O12" s="14">
        <f t="shared" si="2"/>
        <v>49.743249958588706</v>
      </c>
      <c r="P12" s="3">
        <f>18.3+118.4</f>
        <v>136.70000000000002</v>
      </c>
      <c r="Q12" s="3">
        <f>175.5+700.2</f>
        <v>875.7</v>
      </c>
      <c r="R12" s="14">
        <f t="shared" si="10"/>
        <v>640.5998536942209</v>
      </c>
      <c r="S12" s="3">
        <v>0</v>
      </c>
      <c r="T12" s="3">
        <f>131.7+730</f>
        <v>861.7</v>
      </c>
      <c r="U12" s="14"/>
      <c r="V12" s="3">
        <v>0</v>
      </c>
      <c r="W12" s="3">
        <f>10.3+325.7</f>
        <v>336</v>
      </c>
      <c r="X12" s="14"/>
      <c r="Y12" s="3">
        <f t="shared" si="3"/>
        <v>136.70000000000002</v>
      </c>
      <c r="Z12" s="3">
        <f t="shared" si="4"/>
        <v>2073.4</v>
      </c>
      <c r="AA12" s="14">
        <f t="shared" si="5"/>
        <v>1516.7520117044623</v>
      </c>
      <c r="AB12" s="3">
        <v>0</v>
      </c>
      <c r="AC12" s="3">
        <v>436.7</v>
      </c>
      <c r="AD12" s="14">
        <v>0</v>
      </c>
      <c r="AE12" s="3"/>
      <c r="AF12" s="3"/>
      <c r="AG12" s="28" t="e">
        <f t="shared" si="11"/>
        <v>#DIV/0!</v>
      </c>
      <c r="AH12" s="3"/>
      <c r="AI12" s="3"/>
      <c r="AJ12" s="3">
        <f t="shared" si="12"/>
        <v>0</v>
      </c>
      <c r="AK12" s="3">
        <f t="shared" si="13"/>
        <v>436.7</v>
      </c>
      <c r="AL12" s="14" t="e">
        <f t="shared" si="18"/>
        <v>#DIV/0!</v>
      </c>
      <c r="AM12" s="3"/>
      <c r="AN12" s="3"/>
      <c r="AO12" s="3"/>
      <c r="AP12" s="3"/>
      <c r="AQ12" s="3"/>
      <c r="AR12" s="3"/>
      <c r="AS12" s="3">
        <f t="shared" si="14"/>
        <v>6173.7</v>
      </c>
      <c r="AT12" s="3">
        <f t="shared" si="15"/>
        <v>5513.099999999999</v>
      </c>
      <c r="AU12" s="14">
        <f t="shared" si="19"/>
        <v>89.29977161183731</v>
      </c>
      <c r="AV12" s="14">
        <f t="shared" si="16"/>
        <v>660.6000000000004</v>
      </c>
      <c r="AW12" s="4">
        <f t="shared" si="17"/>
        <v>306.60000000000036</v>
      </c>
    </row>
    <row r="13" spans="1:49" s="43" customFormat="1" ht="24" customHeight="1">
      <c r="A13" s="6">
        <v>6</v>
      </c>
      <c r="B13" s="1" t="s">
        <v>101</v>
      </c>
      <c r="C13" s="2">
        <v>-378.3</v>
      </c>
      <c r="D13" s="3">
        <v>1210.6</v>
      </c>
      <c r="E13" s="3">
        <v>0</v>
      </c>
      <c r="F13" s="14">
        <f t="shared" si="0"/>
        <v>0</v>
      </c>
      <c r="G13" s="3">
        <v>1164.9</v>
      </c>
      <c r="H13" s="3">
        <v>0</v>
      </c>
      <c r="I13" s="14">
        <f t="shared" si="6"/>
        <v>0</v>
      </c>
      <c r="J13" s="3">
        <v>997.5</v>
      </c>
      <c r="K13" s="3">
        <v>317</v>
      </c>
      <c r="L13" s="14">
        <f t="shared" si="7"/>
        <v>31.779448621553886</v>
      </c>
      <c r="M13" s="3">
        <f t="shared" si="8"/>
        <v>3373</v>
      </c>
      <c r="N13" s="3">
        <f t="shared" si="9"/>
        <v>317</v>
      </c>
      <c r="O13" s="14">
        <f t="shared" si="2"/>
        <v>9.398161873702936</v>
      </c>
      <c r="P13" s="3">
        <v>167.8</v>
      </c>
      <c r="Q13" s="3">
        <v>810.2</v>
      </c>
      <c r="R13" s="14">
        <f t="shared" si="10"/>
        <v>482.8367103694875</v>
      </c>
      <c r="S13" s="3">
        <v>0</v>
      </c>
      <c r="T13" s="3">
        <v>0</v>
      </c>
      <c r="U13" s="14"/>
      <c r="V13" s="3">
        <v>0</v>
      </c>
      <c r="W13" s="3">
        <v>225.1</v>
      </c>
      <c r="X13" s="14"/>
      <c r="Y13" s="3">
        <f t="shared" si="3"/>
        <v>167.8</v>
      </c>
      <c r="Z13" s="3">
        <f t="shared" si="4"/>
        <v>1035.3</v>
      </c>
      <c r="AA13" s="14">
        <f t="shared" si="5"/>
        <v>616.984505363528</v>
      </c>
      <c r="AB13" s="3">
        <v>0</v>
      </c>
      <c r="AC13" s="3">
        <v>681.3</v>
      </c>
      <c r="AD13" s="14"/>
      <c r="AE13" s="3"/>
      <c r="AF13" s="3"/>
      <c r="AG13" s="28" t="e">
        <f t="shared" si="11"/>
        <v>#DIV/0!</v>
      </c>
      <c r="AH13" s="3"/>
      <c r="AI13" s="3"/>
      <c r="AJ13" s="3">
        <f t="shared" si="12"/>
        <v>0</v>
      </c>
      <c r="AK13" s="3">
        <f t="shared" si="13"/>
        <v>681.3</v>
      </c>
      <c r="AL13" s="14" t="e">
        <f t="shared" si="18"/>
        <v>#DIV/0!</v>
      </c>
      <c r="AM13" s="3"/>
      <c r="AN13" s="3"/>
      <c r="AO13" s="3"/>
      <c r="AP13" s="3"/>
      <c r="AQ13" s="3"/>
      <c r="AR13" s="3"/>
      <c r="AS13" s="3">
        <f t="shared" si="14"/>
        <v>3540.8</v>
      </c>
      <c r="AT13" s="3">
        <f t="shared" si="15"/>
        <v>2033.6</v>
      </c>
      <c r="AU13" s="14">
        <f t="shared" si="19"/>
        <v>57.43334839584274</v>
      </c>
      <c r="AV13" s="14">
        <f t="shared" si="16"/>
        <v>1507.2000000000003</v>
      </c>
      <c r="AW13" s="4">
        <f t="shared" si="17"/>
        <v>1128.9</v>
      </c>
    </row>
    <row r="14" spans="1:49" ht="24" customHeight="1">
      <c r="A14" s="6">
        <v>7</v>
      </c>
      <c r="B14" s="1" t="s">
        <v>102</v>
      </c>
      <c r="C14" s="2">
        <v>0</v>
      </c>
      <c r="D14" s="3">
        <v>641.3</v>
      </c>
      <c r="E14" s="3">
        <v>465.3</v>
      </c>
      <c r="F14" s="14">
        <f t="shared" si="0"/>
        <v>72.5557461406518</v>
      </c>
      <c r="G14" s="44">
        <v>1089.5</v>
      </c>
      <c r="H14" s="44">
        <v>915.9</v>
      </c>
      <c r="I14" s="14">
        <f t="shared" si="6"/>
        <v>84.06608536025699</v>
      </c>
      <c r="J14" s="44">
        <v>977.2</v>
      </c>
      <c r="K14" s="44">
        <v>870.1</v>
      </c>
      <c r="L14" s="14">
        <f t="shared" si="7"/>
        <v>89.0401146131805</v>
      </c>
      <c r="M14" s="3">
        <f t="shared" si="8"/>
        <v>2708</v>
      </c>
      <c r="N14" s="3">
        <f t="shared" si="9"/>
        <v>2251.3</v>
      </c>
      <c r="O14" s="14">
        <f t="shared" si="2"/>
        <v>83.13515509601183</v>
      </c>
      <c r="P14" s="44">
        <v>371.2</v>
      </c>
      <c r="Q14" s="44">
        <v>69.7</v>
      </c>
      <c r="R14" s="14">
        <f t="shared" si="10"/>
        <v>18.776939655172413</v>
      </c>
      <c r="S14" s="44">
        <v>0</v>
      </c>
      <c r="T14" s="44">
        <v>706</v>
      </c>
      <c r="U14" s="14"/>
      <c r="V14" s="44">
        <v>0</v>
      </c>
      <c r="W14" s="44">
        <v>52.1</v>
      </c>
      <c r="X14" s="14"/>
      <c r="Y14" s="3">
        <f t="shared" si="3"/>
        <v>371.2</v>
      </c>
      <c r="Z14" s="3">
        <f t="shared" si="4"/>
        <v>827.8000000000001</v>
      </c>
      <c r="AA14" s="14">
        <f t="shared" si="5"/>
        <v>223.00646551724142</v>
      </c>
      <c r="AB14" s="44"/>
      <c r="AC14" s="44"/>
      <c r="AD14" s="14">
        <v>0</v>
      </c>
      <c r="AE14" s="21"/>
      <c r="AF14" s="21"/>
      <c r="AG14" s="28" t="e">
        <f t="shared" si="11"/>
        <v>#DIV/0!</v>
      </c>
      <c r="AH14" s="21"/>
      <c r="AI14" s="21"/>
      <c r="AJ14" s="3">
        <f t="shared" si="12"/>
        <v>0</v>
      </c>
      <c r="AK14" s="3">
        <f t="shared" si="13"/>
        <v>0</v>
      </c>
      <c r="AL14" s="14" t="e">
        <f t="shared" si="18"/>
        <v>#DIV/0!</v>
      </c>
      <c r="AM14" s="44"/>
      <c r="AN14" s="44"/>
      <c r="AO14" s="44"/>
      <c r="AP14" s="44"/>
      <c r="AQ14" s="44"/>
      <c r="AR14" s="44"/>
      <c r="AS14" s="3">
        <f t="shared" si="14"/>
        <v>3079.2</v>
      </c>
      <c r="AT14" s="3">
        <f t="shared" si="15"/>
        <v>3079.1000000000004</v>
      </c>
      <c r="AU14" s="14">
        <f t="shared" si="19"/>
        <v>99.99675240322163</v>
      </c>
      <c r="AV14" s="14">
        <f t="shared" si="16"/>
        <v>0.0999999999994543</v>
      </c>
      <c r="AW14" s="4">
        <f t="shared" si="17"/>
        <v>0.0999999999994543</v>
      </c>
    </row>
    <row r="15" spans="1:49" s="43" customFormat="1" ht="24" customHeight="1">
      <c r="A15" s="6">
        <v>8</v>
      </c>
      <c r="B15" s="1" t="s">
        <v>103</v>
      </c>
      <c r="C15" s="2">
        <f>-48.8+12</f>
        <v>-36.8</v>
      </c>
      <c r="D15" s="3">
        <f>237.6+3331</f>
        <v>3568.6</v>
      </c>
      <c r="E15" s="3">
        <v>612.9</v>
      </c>
      <c r="F15" s="14">
        <f t="shared" si="0"/>
        <v>17.17480244353528</v>
      </c>
      <c r="G15" s="3">
        <f>225.7+3283.2</f>
        <v>3508.8999999999996</v>
      </c>
      <c r="H15" s="3">
        <f>2081.8</f>
        <v>2081.8</v>
      </c>
      <c r="I15" s="14">
        <f t="shared" si="6"/>
        <v>59.32913448659125</v>
      </c>
      <c r="J15" s="3">
        <f>329.8+3090</f>
        <v>3419.8</v>
      </c>
      <c r="K15" s="3">
        <f>97+1400.8</f>
        <v>1497.8</v>
      </c>
      <c r="L15" s="14">
        <f t="shared" si="7"/>
        <v>43.797882917129655</v>
      </c>
      <c r="M15" s="3">
        <f t="shared" si="8"/>
        <v>10497.3</v>
      </c>
      <c r="N15" s="3">
        <f t="shared" si="9"/>
        <v>4192.5</v>
      </c>
      <c r="O15" s="14">
        <f t="shared" si="2"/>
        <v>39.93884141636421</v>
      </c>
      <c r="P15" s="3">
        <f>30.2+408.5</f>
        <v>438.7</v>
      </c>
      <c r="Q15" s="3">
        <f>694.1+1983</f>
        <v>2677.1</v>
      </c>
      <c r="R15" s="14">
        <f t="shared" si="10"/>
        <v>610.2347845908365</v>
      </c>
      <c r="S15" s="3">
        <v>0</v>
      </c>
      <c r="T15" s="3">
        <v>1016.6</v>
      </c>
      <c r="U15" s="14"/>
      <c r="V15" s="3">
        <v>0</v>
      </c>
      <c r="W15" s="3">
        <v>478.5</v>
      </c>
      <c r="X15" s="14"/>
      <c r="Y15" s="3">
        <f t="shared" si="3"/>
        <v>438.7</v>
      </c>
      <c r="Z15" s="3">
        <f t="shared" si="4"/>
        <v>4172.2</v>
      </c>
      <c r="AA15" s="14">
        <f t="shared" si="5"/>
        <v>951.0371552313653</v>
      </c>
      <c r="AB15" s="3">
        <v>0</v>
      </c>
      <c r="AC15" s="3">
        <v>571.3</v>
      </c>
      <c r="AD15" s="14"/>
      <c r="AE15" s="3"/>
      <c r="AF15" s="3"/>
      <c r="AG15" s="28" t="e">
        <f t="shared" si="11"/>
        <v>#DIV/0!</v>
      </c>
      <c r="AH15" s="3"/>
      <c r="AI15" s="3"/>
      <c r="AJ15" s="3">
        <f t="shared" si="12"/>
        <v>0</v>
      </c>
      <c r="AK15" s="3">
        <f t="shared" si="13"/>
        <v>571.3</v>
      </c>
      <c r="AL15" s="14" t="e">
        <f t="shared" si="18"/>
        <v>#DIV/0!</v>
      </c>
      <c r="AM15" s="3"/>
      <c r="AN15" s="3"/>
      <c r="AO15" s="3"/>
      <c r="AP15" s="3"/>
      <c r="AQ15" s="3"/>
      <c r="AR15" s="3"/>
      <c r="AS15" s="3">
        <f t="shared" si="14"/>
        <v>10936</v>
      </c>
      <c r="AT15" s="3">
        <f t="shared" si="15"/>
        <v>8936</v>
      </c>
      <c r="AU15" s="14">
        <f t="shared" si="19"/>
        <v>81.7117776152158</v>
      </c>
      <c r="AV15" s="14">
        <f t="shared" si="16"/>
        <v>2000</v>
      </c>
      <c r="AW15" s="4">
        <f t="shared" si="17"/>
        <v>1963.2000000000007</v>
      </c>
    </row>
    <row r="16" spans="1:49" s="43" customFormat="1" ht="24" customHeight="1">
      <c r="A16" s="6">
        <v>9</v>
      </c>
      <c r="B16" s="1" t="s">
        <v>104</v>
      </c>
      <c r="C16" s="2">
        <v>-489</v>
      </c>
      <c r="D16" s="3">
        <v>1573.1</v>
      </c>
      <c r="E16" s="3">
        <v>0</v>
      </c>
      <c r="F16" s="14">
        <f t="shared" si="0"/>
        <v>0</v>
      </c>
      <c r="G16" s="44">
        <v>1875.3</v>
      </c>
      <c r="H16" s="44">
        <v>1114.5</v>
      </c>
      <c r="I16" s="14">
        <f t="shared" si="6"/>
        <v>59.43049112142057</v>
      </c>
      <c r="J16" s="44">
        <v>1781.8</v>
      </c>
      <c r="K16" s="44">
        <v>409.9</v>
      </c>
      <c r="L16" s="14">
        <f t="shared" si="7"/>
        <v>23.004826579863057</v>
      </c>
      <c r="M16" s="3">
        <f t="shared" si="8"/>
        <v>5230.2</v>
      </c>
      <c r="N16" s="3">
        <f t="shared" si="9"/>
        <v>1524.4</v>
      </c>
      <c r="O16" s="14">
        <f t="shared" si="2"/>
        <v>29.146112959351463</v>
      </c>
      <c r="P16" s="44">
        <v>93.5</v>
      </c>
      <c r="Q16" s="44">
        <v>468.5</v>
      </c>
      <c r="R16" s="14">
        <f t="shared" si="10"/>
        <v>501.06951871657753</v>
      </c>
      <c r="S16" s="44">
        <v>0</v>
      </c>
      <c r="T16" s="44">
        <v>523.8</v>
      </c>
      <c r="U16" s="14"/>
      <c r="V16" s="44">
        <v>0</v>
      </c>
      <c r="W16" s="44">
        <v>250.1</v>
      </c>
      <c r="X16" s="14"/>
      <c r="Y16" s="3">
        <f t="shared" si="3"/>
        <v>93.5</v>
      </c>
      <c r="Z16" s="3">
        <f t="shared" si="4"/>
        <v>1242.3999999999999</v>
      </c>
      <c r="AA16" s="14">
        <f t="shared" si="5"/>
        <v>1328.7700534759356</v>
      </c>
      <c r="AB16" s="44">
        <v>0</v>
      </c>
      <c r="AC16" s="44">
        <v>300.5</v>
      </c>
      <c r="AD16" s="14"/>
      <c r="AE16" s="44"/>
      <c r="AF16" s="44"/>
      <c r="AG16" s="33" t="e">
        <f t="shared" si="11"/>
        <v>#DIV/0!</v>
      </c>
      <c r="AH16" s="44"/>
      <c r="AI16" s="44"/>
      <c r="AJ16" s="3">
        <f t="shared" si="12"/>
        <v>0</v>
      </c>
      <c r="AK16" s="3">
        <f t="shared" si="13"/>
        <v>300.5</v>
      </c>
      <c r="AL16" s="14" t="e">
        <f t="shared" si="18"/>
        <v>#DIV/0!</v>
      </c>
      <c r="AM16" s="44"/>
      <c r="AN16" s="44"/>
      <c r="AO16" s="44"/>
      <c r="AP16" s="44"/>
      <c r="AQ16" s="44"/>
      <c r="AR16" s="44"/>
      <c r="AS16" s="3">
        <f t="shared" si="14"/>
        <v>5323.7</v>
      </c>
      <c r="AT16" s="3">
        <f t="shared" si="15"/>
        <v>3067.3</v>
      </c>
      <c r="AU16" s="14">
        <f t="shared" si="19"/>
        <v>57.61594379848602</v>
      </c>
      <c r="AV16" s="14">
        <f t="shared" si="16"/>
        <v>2256.3999999999996</v>
      </c>
      <c r="AW16" s="4">
        <f t="shared" si="17"/>
        <v>1767.3999999999996</v>
      </c>
    </row>
    <row r="17" spans="1:49" ht="24" customHeight="1">
      <c r="A17" s="6">
        <v>10</v>
      </c>
      <c r="B17" s="15" t="s">
        <v>105</v>
      </c>
      <c r="C17" s="2">
        <f>-39.4+(-265.4)</f>
        <v>-304.79999999999995</v>
      </c>
      <c r="D17" s="3">
        <v>784.5</v>
      </c>
      <c r="E17" s="3">
        <v>0</v>
      </c>
      <c r="F17" s="14">
        <f t="shared" si="0"/>
        <v>0</v>
      </c>
      <c r="G17" s="3">
        <v>1159.3</v>
      </c>
      <c r="H17" s="3">
        <v>534.7</v>
      </c>
      <c r="I17" s="14">
        <f t="shared" si="6"/>
        <v>46.12266022599845</v>
      </c>
      <c r="J17" s="3">
        <v>1125.2</v>
      </c>
      <c r="K17" s="3">
        <v>1195.6</v>
      </c>
      <c r="L17" s="14">
        <f t="shared" si="7"/>
        <v>106.25666548169212</v>
      </c>
      <c r="M17" s="3">
        <f t="shared" si="8"/>
        <v>3069</v>
      </c>
      <c r="N17" s="3">
        <f t="shared" si="9"/>
        <v>1730.3</v>
      </c>
      <c r="O17" s="14">
        <f t="shared" si="2"/>
        <v>56.37992831541219</v>
      </c>
      <c r="P17" s="3">
        <v>164.9</v>
      </c>
      <c r="Q17" s="3">
        <v>1064.2</v>
      </c>
      <c r="R17" s="14">
        <f t="shared" si="10"/>
        <v>645.360824742268</v>
      </c>
      <c r="S17" s="3">
        <v>0</v>
      </c>
      <c r="T17" s="3">
        <v>162.4</v>
      </c>
      <c r="U17" s="14"/>
      <c r="V17" s="3">
        <v>0</v>
      </c>
      <c r="W17" s="3">
        <v>0</v>
      </c>
      <c r="X17" s="14"/>
      <c r="Y17" s="3">
        <f t="shared" si="3"/>
        <v>164.9</v>
      </c>
      <c r="Z17" s="3">
        <f t="shared" si="4"/>
        <v>1226.6000000000001</v>
      </c>
      <c r="AA17" s="14">
        <f t="shared" si="5"/>
        <v>743.844754396604</v>
      </c>
      <c r="AB17" s="3">
        <v>0</v>
      </c>
      <c r="AC17" s="3">
        <v>11.5</v>
      </c>
      <c r="AD17" s="33">
        <v>0</v>
      </c>
      <c r="AE17" s="3"/>
      <c r="AF17" s="3"/>
      <c r="AG17" s="28" t="e">
        <f>AF17/AE17*100</f>
        <v>#DIV/0!</v>
      </c>
      <c r="AH17" s="3"/>
      <c r="AI17" s="3"/>
      <c r="AJ17" s="3">
        <f t="shared" si="12"/>
        <v>0</v>
      </c>
      <c r="AK17" s="3">
        <f t="shared" si="13"/>
        <v>11.5</v>
      </c>
      <c r="AL17" s="14" t="e">
        <f t="shared" si="18"/>
        <v>#DIV/0!</v>
      </c>
      <c r="AM17" s="3"/>
      <c r="AN17" s="3"/>
      <c r="AO17" s="3"/>
      <c r="AP17" s="3"/>
      <c r="AQ17" s="3"/>
      <c r="AR17" s="3"/>
      <c r="AS17" s="3">
        <f t="shared" si="14"/>
        <v>3233.9</v>
      </c>
      <c r="AT17" s="3">
        <f t="shared" si="15"/>
        <v>2968.4</v>
      </c>
      <c r="AU17" s="14">
        <f t="shared" si="19"/>
        <v>91.79009864250595</v>
      </c>
      <c r="AV17" s="14">
        <f t="shared" si="16"/>
        <v>265.5</v>
      </c>
      <c r="AW17" s="4">
        <f t="shared" si="17"/>
        <v>-39.29999999999973</v>
      </c>
    </row>
    <row r="18" spans="1:49" ht="24" customHeight="1">
      <c r="A18" s="6">
        <v>11</v>
      </c>
      <c r="B18" s="15" t="s">
        <v>106</v>
      </c>
      <c r="C18" s="2">
        <v>0</v>
      </c>
      <c r="D18" s="3">
        <v>435.8</v>
      </c>
      <c r="E18" s="3">
        <v>423.1</v>
      </c>
      <c r="F18" s="33">
        <f t="shared" si="0"/>
        <v>97.08581918311152</v>
      </c>
      <c r="G18" s="3">
        <v>497.5</v>
      </c>
      <c r="H18" s="3">
        <v>487.8</v>
      </c>
      <c r="I18" s="14">
        <f t="shared" si="6"/>
        <v>98.05025125628141</v>
      </c>
      <c r="J18" s="3">
        <v>314.8</v>
      </c>
      <c r="K18" s="3">
        <v>223.4</v>
      </c>
      <c r="L18" s="14">
        <f t="shared" si="7"/>
        <v>70.96569250317661</v>
      </c>
      <c r="M18" s="3">
        <f t="shared" si="8"/>
        <v>1248.1</v>
      </c>
      <c r="N18" s="3">
        <f t="shared" si="9"/>
        <v>1134.3000000000002</v>
      </c>
      <c r="O18" s="14">
        <f t="shared" si="2"/>
        <v>90.88214085409825</v>
      </c>
      <c r="P18" s="3">
        <v>232.1</v>
      </c>
      <c r="Q18" s="3">
        <v>168.8</v>
      </c>
      <c r="R18" s="14">
        <f t="shared" si="10"/>
        <v>72.72727272727273</v>
      </c>
      <c r="S18" s="3">
        <v>0</v>
      </c>
      <c r="T18" s="3">
        <v>177</v>
      </c>
      <c r="U18" s="28" t="e">
        <f>T18/S18*100</f>
        <v>#DIV/0!</v>
      </c>
      <c r="V18" s="3">
        <v>0</v>
      </c>
      <c r="W18" s="3">
        <v>0</v>
      </c>
      <c r="X18" s="28" t="e">
        <f>W18/V18*100</f>
        <v>#DIV/0!</v>
      </c>
      <c r="Y18" s="3">
        <f t="shared" si="3"/>
        <v>232.1</v>
      </c>
      <c r="Z18" s="3">
        <f t="shared" si="4"/>
        <v>345.8</v>
      </c>
      <c r="AA18" s="33">
        <v>0</v>
      </c>
      <c r="AB18" s="3">
        <v>0</v>
      </c>
      <c r="AC18" s="3">
        <v>0</v>
      </c>
      <c r="AD18" s="33">
        <v>0</v>
      </c>
      <c r="AE18" s="3"/>
      <c r="AF18" s="3"/>
      <c r="AG18" s="28" t="e">
        <f>AF18/AE18*100</f>
        <v>#DIV/0!</v>
      </c>
      <c r="AH18" s="3"/>
      <c r="AI18" s="3"/>
      <c r="AJ18" s="3">
        <f t="shared" si="12"/>
        <v>0</v>
      </c>
      <c r="AK18" s="3">
        <f t="shared" si="13"/>
        <v>0</v>
      </c>
      <c r="AL18" s="33">
        <v>0</v>
      </c>
      <c r="AM18" s="3"/>
      <c r="AN18" s="3"/>
      <c r="AO18" s="3"/>
      <c r="AP18" s="3"/>
      <c r="AQ18" s="3"/>
      <c r="AR18" s="3"/>
      <c r="AS18" s="3">
        <f t="shared" si="14"/>
        <v>1480.1999999999998</v>
      </c>
      <c r="AT18" s="3">
        <f t="shared" si="15"/>
        <v>1480.1000000000001</v>
      </c>
      <c r="AU18" s="33">
        <f t="shared" si="19"/>
        <v>99.99324415619513</v>
      </c>
      <c r="AV18" s="14">
        <f t="shared" si="16"/>
        <v>0.09999999999968168</v>
      </c>
      <c r="AW18" s="4">
        <f t="shared" si="17"/>
        <v>0.09999999999968168</v>
      </c>
    </row>
    <row r="19" spans="1:49" ht="24" customHeight="1">
      <c r="A19" s="6">
        <v>12</v>
      </c>
      <c r="B19" s="1" t="s">
        <v>107</v>
      </c>
      <c r="C19" s="2">
        <f>-111.3+6.4</f>
        <v>-104.89999999999999</v>
      </c>
      <c r="D19" s="3">
        <f>2.3+54.5+1327.6</f>
        <v>1384.3999999999999</v>
      </c>
      <c r="E19" s="3">
        <f>22+1101.9</f>
        <v>1123.9</v>
      </c>
      <c r="F19" s="14">
        <f t="shared" si="0"/>
        <v>81.18318405085236</v>
      </c>
      <c r="G19" s="3">
        <f>12.2+49.8+1602.3</f>
        <v>1664.3</v>
      </c>
      <c r="H19" s="3">
        <f>9.3+54.5+963.2</f>
        <v>1027</v>
      </c>
      <c r="I19" s="14">
        <f t="shared" si="6"/>
        <v>61.707624827254705</v>
      </c>
      <c r="J19" s="3">
        <f>55.6+1534.9+12.6</f>
        <v>1603.1</v>
      </c>
      <c r="K19" s="3">
        <f>65.6+1238.7+5.2</f>
        <v>1309.5</v>
      </c>
      <c r="L19" s="14">
        <f t="shared" si="7"/>
        <v>81.68548437402534</v>
      </c>
      <c r="M19" s="3">
        <f t="shared" si="8"/>
        <v>4651.799999999999</v>
      </c>
      <c r="N19" s="3">
        <f t="shared" si="9"/>
        <v>3460.4</v>
      </c>
      <c r="O19" s="14">
        <f t="shared" si="2"/>
        <v>74.38840878799607</v>
      </c>
      <c r="P19" s="3">
        <f>1.7+490.7</f>
        <v>492.4</v>
      </c>
      <c r="Q19" s="3">
        <f>14.3+1620.5</f>
        <v>1634.8</v>
      </c>
      <c r="R19" s="14">
        <f t="shared" si="10"/>
        <v>332.0064987814785</v>
      </c>
      <c r="S19" s="3">
        <v>0</v>
      </c>
      <c r="T19" s="3">
        <v>43.4</v>
      </c>
      <c r="U19" s="28" t="e">
        <f>T19/S19*100</f>
        <v>#DIV/0!</v>
      </c>
      <c r="V19" s="3">
        <v>0</v>
      </c>
      <c r="W19" s="3">
        <v>0</v>
      </c>
      <c r="X19" s="28" t="e">
        <f>W19/V19*100</f>
        <v>#DIV/0!</v>
      </c>
      <c r="Y19" s="3">
        <f t="shared" si="3"/>
        <v>492.4</v>
      </c>
      <c r="Z19" s="3">
        <f t="shared" si="4"/>
        <v>1678.2</v>
      </c>
      <c r="AA19" s="28">
        <f t="shared" si="5"/>
        <v>340.8204711616572</v>
      </c>
      <c r="AB19" s="3"/>
      <c r="AC19" s="3"/>
      <c r="AD19" s="33">
        <v>0</v>
      </c>
      <c r="AE19" s="3"/>
      <c r="AF19" s="3"/>
      <c r="AG19" s="28" t="e">
        <f>AF19/AE19*100</f>
        <v>#DIV/0!</v>
      </c>
      <c r="AH19" s="3"/>
      <c r="AI19" s="3"/>
      <c r="AJ19" s="3">
        <f t="shared" si="12"/>
        <v>0</v>
      </c>
      <c r="AK19" s="3">
        <f t="shared" si="13"/>
        <v>0</v>
      </c>
      <c r="AL19" s="28" t="e">
        <f aca="true" t="shared" si="20" ref="AL19:AL48">AK19/AJ19*100</f>
        <v>#DIV/0!</v>
      </c>
      <c r="AM19" s="3"/>
      <c r="AN19" s="3"/>
      <c r="AO19" s="3"/>
      <c r="AP19" s="3"/>
      <c r="AQ19" s="3"/>
      <c r="AR19" s="3"/>
      <c r="AS19" s="3">
        <f t="shared" si="14"/>
        <v>5144.199999999999</v>
      </c>
      <c r="AT19" s="3">
        <f t="shared" si="15"/>
        <v>5138.6</v>
      </c>
      <c r="AU19" s="33">
        <f t="shared" si="19"/>
        <v>99.89113953578791</v>
      </c>
      <c r="AV19" s="14">
        <f t="shared" si="16"/>
        <v>5.599999999998545</v>
      </c>
      <c r="AW19" s="4">
        <f t="shared" si="17"/>
        <v>-99.30000000000109</v>
      </c>
    </row>
    <row r="20" spans="1:49" ht="24" customHeight="1">
      <c r="A20" s="6">
        <v>13</v>
      </c>
      <c r="B20" s="15" t="s">
        <v>108</v>
      </c>
      <c r="C20" s="2"/>
      <c r="D20" s="3"/>
      <c r="E20" s="3"/>
      <c r="F20" s="28"/>
      <c r="G20" s="21"/>
      <c r="H20" s="21"/>
      <c r="I20" s="14"/>
      <c r="J20" s="21"/>
      <c r="K20" s="21"/>
      <c r="L20" s="14"/>
      <c r="M20" s="3"/>
      <c r="N20" s="3"/>
      <c r="O20" s="28" t="e">
        <f t="shared" si="2"/>
        <v>#DIV/0!</v>
      </c>
      <c r="P20" s="44"/>
      <c r="Q20" s="44"/>
      <c r="R20" s="28" t="e">
        <f t="shared" si="10"/>
        <v>#DIV/0!</v>
      </c>
      <c r="S20" s="44"/>
      <c r="T20" s="44"/>
      <c r="U20" s="28" t="e">
        <f>T20/S20*100</f>
        <v>#DIV/0!</v>
      </c>
      <c r="V20" s="44"/>
      <c r="W20" s="44"/>
      <c r="X20" s="28" t="e">
        <f>W20/V20*100</f>
        <v>#DIV/0!</v>
      </c>
      <c r="Y20" s="3"/>
      <c r="Z20" s="3"/>
      <c r="AA20" s="28" t="e">
        <f t="shared" si="5"/>
        <v>#DIV/0!</v>
      </c>
      <c r="AB20" s="44"/>
      <c r="AC20" s="44"/>
      <c r="AD20" s="28" t="e">
        <f>AC20/AB20*100</f>
        <v>#DIV/0!</v>
      </c>
      <c r="AE20" s="21"/>
      <c r="AF20" s="21"/>
      <c r="AG20" s="28"/>
      <c r="AH20" s="21"/>
      <c r="AI20" s="21"/>
      <c r="AJ20" s="3">
        <f t="shared" si="12"/>
        <v>0</v>
      </c>
      <c r="AK20" s="3">
        <f t="shared" si="13"/>
        <v>0</v>
      </c>
      <c r="AL20" s="28" t="e">
        <f t="shared" si="20"/>
        <v>#DIV/0!</v>
      </c>
      <c r="AM20" s="21"/>
      <c r="AN20" s="21"/>
      <c r="AO20" s="21"/>
      <c r="AP20" s="21"/>
      <c r="AQ20" s="21"/>
      <c r="AR20" s="21"/>
      <c r="AS20" s="3"/>
      <c r="AT20" s="3"/>
      <c r="AU20" s="14"/>
      <c r="AV20" s="14">
        <f t="shared" si="16"/>
        <v>0</v>
      </c>
      <c r="AW20" s="4">
        <f t="shared" si="17"/>
        <v>0</v>
      </c>
    </row>
    <row r="21" spans="1:49" ht="24" customHeight="1">
      <c r="A21" s="6">
        <v>14</v>
      </c>
      <c r="B21" s="15" t="s">
        <v>109</v>
      </c>
      <c r="C21" s="2">
        <v>-18.7</v>
      </c>
      <c r="D21" s="3">
        <v>114.5</v>
      </c>
      <c r="E21" s="3">
        <v>89.3</v>
      </c>
      <c r="F21" s="14">
        <f t="shared" si="0"/>
        <v>77.99126637554585</v>
      </c>
      <c r="G21" s="44">
        <v>104.7</v>
      </c>
      <c r="H21" s="44">
        <v>49.8</v>
      </c>
      <c r="I21" s="14">
        <f t="shared" si="6"/>
        <v>47.56446991404011</v>
      </c>
      <c r="J21" s="44">
        <v>110.3</v>
      </c>
      <c r="K21" s="44">
        <v>104.7</v>
      </c>
      <c r="L21" s="14">
        <f>K21/J21*100</f>
        <v>94.92293744333637</v>
      </c>
      <c r="M21" s="3">
        <f t="shared" si="8"/>
        <v>329.5</v>
      </c>
      <c r="N21" s="3">
        <f t="shared" si="9"/>
        <v>243.8</v>
      </c>
      <c r="O21" s="14">
        <f t="shared" si="2"/>
        <v>73.99089529590289</v>
      </c>
      <c r="P21" s="44">
        <v>27.1</v>
      </c>
      <c r="Q21" s="44">
        <v>70.8</v>
      </c>
      <c r="R21" s="14">
        <f>Q21/P21*100</f>
        <v>261.25461254612543</v>
      </c>
      <c r="S21" s="44">
        <v>12.3</v>
      </c>
      <c r="T21" s="44">
        <v>27.1</v>
      </c>
      <c r="U21" s="28">
        <f>T21/S21*100</f>
        <v>220.3252032520325</v>
      </c>
      <c r="V21" s="44">
        <v>12.8</v>
      </c>
      <c r="W21" s="44">
        <v>16.3</v>
      </c>
      <c r="X21" s="28">
        <f>W21/V21*100</f>
        <v>127.34375</v>
      </c>
      <c r="Y21" s="3">
        <f>P21+S21+V21</f>
        <v>52.2</v>
      </c>
      <c r="Z21" s="3">
        <f>Q21+T21+W21</f>
        <v>114.2</v>
      </c>
      <c r="AA21" s="14">
        <f t="shared" si="5"/>
        <v>218.77394636015325</v>
      </c>
      <c r="AB21" s="44">
        <v>13.9</v>
      </c>
      <c r="AC21" s="44">
        <v>10.8</v>
      </c>
      <c r="AD21" s="28">
        <f>AC21/AB21*100</f>
        <v>77.6978417266187</v>
      </c>
      <c r="AE21" s="44"/>
      <c r="AF21" s="44"/>
      <c r="AG21" s="28"/>
      <c r="AH21" s="44"/>
      <c r="AI21" s="44"/>
      <c r="AJ21" s="3">
        <f t="shared" si="12"/>
        <v>13.9</v>
      </c>
      <c r="AK21" s="3">
        <f t="shared" si="13"/>
        <v>10.8</v>
      </c>
      <c r="AL21" s="28">
        <f t="shared" si="20"/>
        <v>77.6978417266187</v>
      </c>
      <c r="AM21" s="44"/>
      <c r="AN21" s="44"/>
      <c r="AO21" s="44"/>
      <c r="AP21" s="44"/>
      <c r="AQ21" s="44"/>
      <c r="AR21" s="44"/>
      <c r="AS21" s="3">
        <f t="shared" si="14"/>
        <v>395.59999999999997</v>
      </c>
      <c r="AT21" s="3">
        <f t="shared" si="15"/>
        <v>368.8</v>
      </c>
      <c r="AU21" s="14">
        <f t="shared" si="19"/>
        <v>93.22548028311427</v>
      </c>
      <c r="AV21" s="14">
        <f t="shared" si="16"/>
        <v>26.799999999999955</v>
      </c>
      <c r="AW21" s="4">
        <f t="shared" si="17"/>
        <v>8.099999999999966</v>
      </c>
    </row>
    <row r="22" spans="1:49" ht="26.25" customHeight="1">
      <c r="A22" s="6">
        <v>15</v>
      </c>
      <c r="B22" s="15" t="s">
        <v>110</v>
      </c>
      <c r="C22" s="2">
        <v>-26.8</v>
      </c>
      <c r="D22" s="3">
        <v>3235.4</v>
      </c>
      <c r="E22" s="3">
        <v>3216.8</v>
      </c>
      <c r="F22" s="14">
        <f t="shared" si="0"/>
        <v>99.42510972368177</v>
      </c>
      <c r="G22" s="44">
        <v>2094</v>
      </c>
      <c r="H22" s="44">
        <v>1952.7</v>
      </c>
      <c r="I22" s="14">
        <f t="shared" si="6"/>
        <v>93.25214899713468</v>
      </c>
      <c r="J22" s="44">
        <v>2120.5</v>
      </c>
      <c r="K22" s="44">
        <v>1959</v>
      </c>
      <c r="L22" s="14">
        <f>K22/J22*100</f>
        <v>92.38387172836595</v>
      </c>
      <c r="M22" s="3">
        <f t="shared" si="8"/>
        <v>7449.9</v>
      </c>
      <c r="N22" s="3">
        <f t="shared" si="9"/>
        <v>7128.5</v>
      </c>
      <c r="O22" s="14">
        <f t="shared" si="2"/>
        <v>95.6858481321897</v>
      </c>
      <c r="P22" s="44">
        <v>424.1</v>
      </c>
      <c r="Q22" s="44">
        <v>481.1</v>
      </c>
      <c r="R22" s="14">
        <f>Q22/P22*100</f>
        <v>113.44022636170715</v>
      </c>
      <c r="S22" s="44">
        <v>0</v>
      </c>
      <c r="T22" s="44">
        <v>236.6</v>
      </c>
      <c r="U22" s="14" t="e">
        <f>T22/S22*100</f>
        <v>#DIV/0!</v>
      </c>
      <c r="V22" s="44">
        <v>0</v>
      </c>
      <c r="W22" s="44">
        <v>0</v>
      </c>
      <c r="X22" s="14"/>
      <c r="Y22" s="3">
        <f>P22+S22+V22</f>
        <v>424.1</v>
      </c>
      <c r="Z22" s="3">
        <f>Q22+T22+W22</f>
        <v>717.7</v>
      </c>
      <c r="AA22" s="14">
        <f t="shared" si="5"/>
        <v>169.2289554350389</v>
      </c>
      <c r="AB22" s="44">
        <v>0</v>
      </c>
      <c r="AC22" s="44">
        <v>0.5</v>
      </c>
      <c r="AD22" s="14"/>
      <c r="AE22" s="3"/>
      <c r="AF22" s="3"/>
      <c r="AG22" s="28"/>
      <c r="AH22" s="3"/>
      <c r="AI22" s="3"/>
      <c r="AJ22" s="3">
        <f t="shared" si="12"/>
        <v>0</v>
      </c>
      <c r="AK22" s="3">
        <f t="shared" si="13"/>
        <v>0.5</v>
      </c>
      <c r="AL22" s="14" t="e">
        <f t="shared" si="20"/>
        <v>#DIV/0!</v>
      </c>
      <c r="AM22" s="3"/>
      <c r="AN22" s="3"/>
      <c r="AO22" s="3"/>
      <c r="AP22" s="3"/>
      <c r="AQ22" s="3"/>
      <c r="AR22" s="3"/>
      <c r="AS22" s="3">
        <f t="shared" si="14"/>
        <v>7874</v>
      </c>
      <c r="AT22" s="3">
        <f t="shared" si="15"/>
        <v>7846.7</v>
      </c>
      <c r="AU22" s="14">
        <f t="shared" si="19"/>
        <v>99.65328930657861</v>
      </c>
      <c r="AV22" s="14">
        <f t="shared" si="16"/>
        <v>27.300000000000182</v>
      </c>
      <c r="AW22" s="4">
        <f t="shared" si="17"/>
        <v>0.5</v>
      </c>
    </row>
    <row r="23" spans="1:49" ht="24" customHeight="1">
      <c r="A23" s="6">
        <v>16</v>
      </c>
      <c r="B23" s="15" t="s">
        <v>29</v>
      </c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3"/>
      <c r="N23" s="3"/>
      <c r="O23" s="28" t="e">
        <f t="shared" si="2"/>
        <v>#DIV/0!</v>
      </c>
      <c r="P23" s="45"/>
      <c r="Q23" s="45"/>
      <c r="R23" s="45"/>
      <c r="S23" s="45"/>
      <c r="T23" s="45"/>
      <c r="U23" s="45"/>
      <c r="V23" s="45"/>
      <c r="W23" s="45"/>
      <c r="X23" s="45"/>
      <c r="Y23" s="3"/>
      <c r="Z23" s="3"/>
      <c r="AA23" s="28" t="e">
        <f t="shared" si="5"/>
        <v>#DIV/0!</v>
      </c>
      <c r="AB23" s="45"/>
      <c r="AC23" s="45"/>
      <c r="AD23" s="45"/>
      <c r="AE23" s="90"/>
      <c r="AF23" s="90"/>
      <c r="AG23" s="110"/>
      <c r="AH23" s="90"/>
      <c r="AI23" s="90"/>
      <c r="AJ23" s="3"/>
      <c r="AK23" s="3"/>
      <c r="AL23" s="28" t="e">
        <f t="shared" si="20"/>
        <v>#DIV/0!</v>
      </c>
      <c r="AM23" s="90"/>
      <c r="AN23" s="90"/>
      <c r="AO23" s="90"/>
      <c r="AP23" s="90"/>
      <c r="AQ23" s="90"/>
      <c r="AR23" s="90"/>
      <c r="AS23" s="3"/>
      <c r="AT23" s="3"/>
      <c r="AU23" s="45"/>
      <c r="AV23" s="14">
        <f t="shared" si="16"/>
        <v>0</v>
      </c>
      <c r="AW23" s="4">
        <f t="shared" si="17"/>
        <v>0</v>
      </c>
    </row>
    <row r="24" spans="1:49" ht="28.5" customHeight="1">
      <c r="A24" s="6">
        <v>17</v>
      </c>
      <c r="B24" s="15" t="s">
        <v>111</v>
      </c>
      <c r="C24" s="2">
        <v>-3</v>
      </c>
      <c r="D24" s="3">
        <v>3265.1</v>
      </c>
      <c r="E24" s="3">
        <v>1477.2</v>
      </c>
      <c r="F24" s="14">
        <f t="shared" si="0"/>
        <v>45.24210590793544</v>
      </c>
      <c r="G24" s="3">
        <v>3168.7</v>
      </c>
      <c r="H24" s="3">
        <v>4365.9</v>
      </c>
      <c r="I24" s="14">
        <f>H24/G24*100</f>
        <v>137.78205573263483</v>
      </c>
      <c r="J24" s="3">
        <v>3072.1</v>
      </c>
      <c r="K24" s="3">
        <v>2405.3</v>
      </c>
      <c r="L24" s="14">
        <f>K24/J24*100</f>
        <v>78.29497737703852</v>
      </c>
      <c r="M24" s="3">
        <f t="shared" si="8"/>
        <v>9505.9</v>
      </c>
      <c r="N24" s="3">
        <f t="shared" si="9"/>
        <v>8248.4</v>
      </c>
      <c r="O24" s="14">
        <f t="shared" si="2"/>
        <v>86.77137356799462</v>
      </c>
      <c r="P24" s="3">
        <v>198.8</v>
      </c>
      <c r="Q24" s="3">
        <v>1350.8</v>
      </c>
      <c r="R24" s="14">
        <f>Q24/P24*100</f>
        <v>679.476861167002</v>
      </c>
      <c r="S24" s="3">
        <v>0</v>
      </c>
      <c r="T24" s="3">
        <v>103.7</v>
      </c>
      <c r="U24" s="28" t="e">
        <f>T24/S24*100</f>
        <v>#DIV/0!</v>
      </c>
      <c r="V24" s="3">
        <v>0</v>
      </c>
      <c r="W24" s="3">
        <v>0</v>
      </c>
      <c r="X24" s="28" t="e">
        <f>W24/V24*100</f>
        <v>#DIV/0!</v>
      </c>
      <c r="Y24" s="3">
        <f aca="true" t="shared" si="21" ref="Y24:Z28">P24+S24+V24</f>
        <v>198.8</v>
      </c>
      <c r="Z24" s="3">
        <f t="shared" si="21"/>
        <v>1454.5</v>
      </c>
      <c r="AA24" s="28">
        <f t="shared" si="5"/>
        <v>731.6398390342051</v>
      </c>
      <c r="AB24" s="3">
        <v>0</v>
      </c>
      <c r="AC24" s="3">
        <v>0</v>
      </c>
      <c r="AD24" s="33">
        <v>0</v>
      </c>
      <c r="AE24" s="3"/>
      <c r="AF24" s="3"/>
      <c r="AG24" s="28" t="e">
        <f>AF24/AE24*100</f>
        <v>#DIV/0!</v>
      </c>
      <c r="AH24" s="3"/>
      <c r="AI24" s="3"/>
      <c r="AJ24" s="3">
        <f t="shared" si="12"/>
        <v>0</v>
      </c>
      <c r="AK24" s="3">
        <f t="shared" si="13"/>
        <v>0</v>
      </c>
      <c r="AL24" s="28" t="e">
        <f t="shared" si="20"/>
        <v>#DIV/0!</v>
      </c>
      <c r="AM24" s="3"/>
      <c r="AN24" s="3"/>
      <c r="AO24" s="3"/>
      <c r="AP24" s="3"/>
      <c r="AQ24" s="3"/>
      <c r="AR24" s="3"/>
      <c r="AS24" s="3">
        <f t="shared" si="14"/>
        <v>9704.699999999999</v>
      </c>
      <c r="AT24" s="3">
        <f t="shared" si="15"/>
        <v>9702.9</v>
      </c>
      <c r="AU24" s="14">
        <f>AT24/AS24*100</f>
        <v>99.98145228600576</v>
      </c>
      <c r="AV24" s="14">
        <f t="shared" si="16"/>
        <v>1.7999999999992724</v>
      </c>
      <c r="AW24" s="4">
        <f t="shared" si="17"/>
        <v>-1.2000000000007276</v>
      </c>
    </row>
    <row r="25" spans="1:49" ht="24" customHeight="1">
      <c r="A25" s="6">
        <v>18</v>
      </c>
      <c r="B25" s="1" t="s">
        <v>112</v>
      </c>
      <c r="C25" s="2">
        <v>-452.9</v>
      </c>
      <c r="D25" s="3">
        <v>630.7</v>
      </c>
      <c r="E25" s="3">
        <v>0</v>
      </c>
      <c r="F25" s="14">
        <f t="shared" si="0"/>
        <v>0</v>
      </c>
      <c r="G25" s="44">
        <v>649.1</v>
      </c>
      <c r="H25" s="44">
        <v>630.5</v>
      </c>
      <c r="I25" s="14">
        <f>H25/G25*100</f>
        <v>97.13449391465106</v>
      </c>
      <c r="J25" s="44">
        <v>625.8</v>
      </c>
      <c r="K25" s="44">
        <v>143.5</v>
      </c>
      <c r="L25" s="14">
        <f>K25/J25*100</f>
        <v>22.930648769574947</v>
      </c>
      <c r="M25" s="3">
        <f t="shared" si="8"/>
        <v>1905.6000000000001</v>
      </c>
      <c r="N25" s="3">
        <f t="shared" si="9"/>
        <v>774</v>
      </c>
      <c r="O25" s="14">
        <f t="shared" si="2"/>
        <v>40.617128463476064</v>
      </c>
      <c r="P25" s="44">
        <v>40.1</v>
      </c>
      <c r="Q25" s="44">
        <v>149.9</v>
      </c>
      <c r="R25" s="14">
        <f>Q25/P25*100</f>
        <v>373.8154613466334</v>
      </c>
      <c r="S25" s="44">
        <v>0</v>
      </c>
      <c r="T25" s="44">
        <v>250.8</v>
      </c>
      <c r="U25" s="14"/>
      <c r="V25" s="44">
        <v>0</v>
      </c>
      <c r="W25" s="44">
        <v>771</v>
      </c>
      <c r="X25" s="14"/>
      <c r="Y25" s="3">
        <f t="shared" si="21"/>
        <v>40.1</v>
      </c>
      <c r="Z25" s="3">
        <f t="shared" si="21"/>
        <v>1171.7</v>
      </c>
      <c r="AA25" s="14">
        <f t="shared" si="5"/>
        <v>2921.945137157107</v>
      </c>
      <c r="AB25" s="44">
        <v>0</v>
      </c>
      <c r="AC25" s="44">
        <v>0</v>
      </c>
      <c r="AD25" s="14">
        <v>0</v>
      </c>
      <c r="AE25" s="44"/>
      <c r="AF25" s="44"/>
      <c r="AG25" s="28"/>
      <c r="AH25" s="44"/>
      <c r="AI25" s="44"/>
      <c r="AJ25" s="3">
        <f t="shared" si="12"/>
        <v>0</v>
      </c>
      <c r="AK25" s="3">
        <f t="shared" si="13"/>
        <v>0</v>
      </c>
      <c r="AL25" s="14" t="e">
        <f t="shared" si="20"/>
        <v>#DIV/0!</v>
      </c>
      <c r="AM25" s="44"/>
      <c r="AN25" s="44"/>
      <c r="AO25" s="44"/>
      <c r="AP25" s="44"/>
      <c r="AQ25" s="44"/>
      <c r="AR25" s="44"/>
      <c r="AS25" s="3">
        <f t="shared" si="14"/>
        <v>1945.7</v>
      </c>
      <c r="AT25" s="3">
        <f t="shared" si="15"/>
        <v>1945.7</v>
      </c>
      <c r="AU25" s="14">
        <f>AT25/AS25*100</f>
        <v>100</v>
      </c>
      <c r="AV25" s="14">
        <f t="shared" si="16"/>
        <v>0</v>
      </c>
      <c r="AW25" s="4">
        <f t="shared" si="17"/>
        <v>-452.89999999999986</v>
      </c>
    </row>
    <row r="26" spans="1:49" s="43" customFormat="1" ht="24" customHeight="1">
      <c r="A26" s="6">
        <v>19</v>
      </c>
      <c r="B26" s="15" t="s">
        <v>113</v>
      </c>
      <c r="C26" s="2">
        <f>-65.9+(-347.2)</f>
        <v>-413.1</v>
      </c>
      <c r="D26" s="3">
        <v>1882.5</v>
      </c>
      <c r="E26" s="3">
        <v>0</v>
      </c>
      <c r="F26" s="14">
        <f t="shared" si="0"/>
        <v>0</v>
      </c>
      <c r="G26" s="3">
        <v>1620.9</v>
      </c>
      <c r="H26" s="3">
        <v>977.2</v>
      </c>
      <c r="I26" s="14">
        <f>H26/G26*100</f>
        <v>60.28749460176444</v>
      </c>
      <c r="J26" s="3">
        <v>1620</v>
      </c>
      <c r="K26" s="3">
        <v>839.8</v>
      </c>
      <c r="L26" s="14">
        <f>K26/J26*100</f>
        <v>51.8395061728395</v>
      </c>
      <c r="M26" s="3">
        <f t="shared" si="8"/>
        <v>5123.4</v>
      </c>
      <c r="N26" s="3">
        <f t="shared" si="9"/>
        <v>1817</v>
      </c>
      <c r="O26" s="14">
        <f t="shared" si="2"/>
        <v>35.46473045243393</v>
      </c>
      <c r="P26" s="3">
        <v>205.6</v>
      </c>
      <c r="Q26" s="3">
        <v>1492.1</v>
      </c>
      <c r="R26" s="14">
        <f>Q26/P26*100</f>
        <v>725.7295719844358</v>
      </c>
      <c r="S26" s="3">
        <v>0</v>
      </c>
      <c r="T26" s="3">
        <v>412.6</v>
      </c>
      <c r="U26" s="14"/>
      <c r="V26" s="3">
        <v>0</v>
      </c>
      <c r="W26" s="3">
        <v>1076</v>
      </c>
      <c r="X26" s="14"/>
      <c r="Y26" s="3">
        <f t="shared" si="21"/>
        <v>205.6</v>
      </c>
      <c r="Z26" s="3">
        <f t="shared" si="21"/>
        <v>2980.7</v>
      </c>
      <c r="AA26" s="14">
        <f t="shared" si="5"/>
        <v>1449.7568093385214</v>
      </c>
      <c r="AB26" s="3">
        <v>0</v>
      </c>
      <c r="AC26" s="3">
        <v>184.1</v>
      </c>
      <c r="AD26" s="14">
        <v>0</v>
      </c>
      <c r="AE26" s="3"/>
      <c r="AF26" s="3"/>
      <c r="AG26" s="28" t="e">
        <f>AF26/AE26*100</f>
        <v>#DIV/0!</v>
      </c>
      <c r="AH26" s="3"/>
      <c r="AI26" s="3"/>
      <c r="AJ26" s="3">
        <f t="shared" si="12"/>
        <v>0</v>
      </c>
      <c r="AK26" s="3">
        <f t="shared" si="13"/>
        <v>184.1</v>
      </c>
      <c r="AL26" s="14" t="e">
        <f t="shared" si="20"/>
        <v>#DIV/0!</v>
      </c>
      <c r="AM26" s="3"/>
      <c r="AN26" s="3"/>
      <c r="AO26" s="3"/>
      <c r="AP26" s="3"/>
      <c r="AQ26" s="3"/>
      <c r="AR26" s="3"/>
      <c r="AS26" s="3">
        <f t="shared" si="14"/>
        <v>5329</v>
      </c>
      <c r="AT26" s="3">
        <f t="shared" si="15"/>
        <v>4981.8</v>
      </c>
      <c r="AU26" s="14">
        <f>AT26/AS26*100</f>
        <v>93.48470632388816</v>
      </c>
      <c r="AV26" s="14">
        <f t="shared" si="16"/>
        <v>347.1999999999998</v>
      </c>
      <c r="AW26" s="4">
        <f t="shared" si="17"/>
        <v>-65.90000000000055</v>
      </c>
    </row>
    <row r="27" spans="1:49" ht="27" customHeight="1">
      <c r="A27" s="6">
        <v>20</v>
      </c>
      <c r="B27" s="15" t="s">
        <v>114</v>
      </c>
      <c r="C27" s="2">
        <v>-4.9</v>
      </c>
      <c r="D27" s="3">
        <v>777.9</v>
      </c>
      <c r="E27" s="3">
        <v>294.7</v>
      </c>
      <c r="F27" s="14">
        <f t="shared" si="0"/>
        <v>37.88404679264687</v>
      </c>
      <c r="G27" s="3">
        <v>1307.2</v>
      </c>
      <c r="H27" s="3">
        <v>500</v>
      </c>
      <c r="I27" s="14">
        <f>H27/G27*100</f>
        <v>38.24969400244798</v>
      </c>
      <c r="J27" s="3">
        <v>1418.5</v>
      </c>
      <c r="K27" s="3">
        <v>384.3</v>
      </c>
      <c r="L27" s="14">
        <f>K27/J27*100</f>
        <v>27.091998590059923</v>
      </c>
      <c r="M27" s="3">
        <f t="shared" si="8"/>
        <v>3503.6</v>
      </c>
      <c r="N27" s="3">
        <f t="shared" si="9"/>
        <v>1179</v>
      </c>
      <c r="O27" s="14">
        <f t="shared" si="2"/>
        <v>33.65110172394109</v>
      </c>
      <c r="P27" s="3">
        <v>86.3</v>
      </c>
      <c r="Q27" s="3">
        <v>740.5</v>
      </c>
      <c r="R27" s="14">
        <f>Q27/P27*100</f>
        <v>858.053302433372</v>
      </c>
      <c r="S27" s="3">
        <v>0</v>
      </c>
      <c r="T27" s="3">
        <v>633.5</v>
      </c>
      <c r="U27" s="14"/>
      <c r="V27" s="3">
        <v>0</v>
      </c>
      <c r="W27" s="3">
        <v>103.3</v>
      </c>
      <c r="X27" s="14"/>
      <c r="Y27" s="3">
        <f t="shared" si="21"/>
        <v>86.3</v>
      </c>
      <c r="Z27" s="3">
        <f t="shared" si="21"/>
        <v>1477.3</v>
      </c>
      <c r="AA27" s="14">
        <f t="shared" si="5"/>
        <v>1711.819235225956</v>
      </c>
      <c r="AB27" s="3">
        <v>0</v>
      </c>
      <c r="AC27" s="3">
        <v>98.2</v>
      </c>
      <c r="AD27" s="14">
        <v>0</v>
      </c>
      <c r="AE27" s="3"/>
      <c r="AF27" s="3"/>
      <c r="AG27" s="28" t="e">
        <f>AF27/AE27*100</f>
        <v>#DIV/0!</v>
      </c>
      <c r="AH27" s="3"/>
      <c r="AI27" s="3"/>
      <c r="AJ27" s="3">
        <f t="shared" si="12"/>
        <v>0</v>
      </c>
      <c r="AK27" s="3">
        <f t="shared" si="13"/>
        <v>98.2</v>
      </c>
      <c r="AL27" s="14" t="e">
        <f t="shared" si="20"/>
        <v>#DIV/0!</v>
      </c>
      <c r="AM27" s="3"/>
      <c r="AN27" s="3"/>
      <c r="AO27" s="3"/>
      <c r="AP27" s="3"/>
      <c r="AQ27" s="3"/>
      <c r="AR27" s="3"/>
      <c r="AS27" s="3">
        <f t="shared" si="14"/>
        <v>3589.9</v>
      </c>
      <c r="AT27" s="3">
        <f t="shared" si="15"/>
        <v>2754.5</v>
      </c>
      <c r="AU27" s="14">
        <f>AT27/AS27*100</f>
        <v>76.7291568010251</v>
      </c>
      <c r="AV27" s="14">
        <f t="shared" si="16"/>
        <v>835.4000000000001</v>
      </c>
      <c r="AW27" s="4">
        <f t="shared" si="17"/>
        <v>830.5</v>
      </c>
    </row>
    <row r="28" spans="1:49" ht="26.25" customHeight="1">
      <c r="A28" s="6">
        <v>21</v>
      </c>
      <c r="B28" s="1" t="s">
        <v>97</v>
      </c>
      <c r="C28" s="2">
        <f>-6.6+(-398.3)</f>
        <v>-404.90000000000003</v>
      </c>
      <c r="D28" s="3">
        <f>152.2+2038.7</f>
        <v>2190.9</v>
      </c>
      <c r="E28" s="3">
        <v>1375.4</v>
      </c>
      <c r="F28" s="14">
        <f t="shared" si="0"/>
        <v>62.77785385001597</v>
      </c>
      <c r="G28" s="44">
        <f>147.5+1863.6</f>
        <v>2011.1</v>
      </c>
      <c r="H28" s="44">
        <f>189.6+1936.5</f>
        <v>2126.1</v>
      </c>
      <c r="I28" s="14">
        <f>H28/G28*100</f>
        <v>105.71826363681566</v>
      </c>
      <c r="J28" s="44">
        <f>134.4+2075.5</f>
        <v>2209.9</v>
      </c>
      <c r="K28" s="44">
        <f>237.9+2055.3</f>
        <v>2293.2000000000003</v>
      </c>
      <c r="L28" s="14">
        <f>K28/J28*100</f>
        <v>103.76940133037695</v>
      </c>
      <c r="M28" s="3">
        <f t="shared" si="8"/>
        <v>6411.9</v>
      </c>
      <c r="N28" s="3">
        <f t="shared" si="9"/>
        <v>5794.700000000001</v>
      </c>
      <c r="O28" s="14">
        <f t="shared" si="2"/>
        <v>90.37414806843526</v>
      </c>
      <c r="P28" s="44">
        <f>12.6+203.3</f>
        <v>215.9</v>
      </c>
      <c r="Q28" s="44">
        <f>12.6+123.8</f>
        <v>136.4</v>
      </c>
      <c r="R28" s="14">
        <f>Q28/P28*100</f>
        <v>63.17739694302919</v>
      </c>
      <c r="S28" s="44">
        <v>0</v>
      </c>
      <c r="T28" s="44">
        <v>171.3</v>
      </c>
      <c r="U28" s="14"/>
      <c r="V28" s="44">
        <v>0</v>
      </c>
      <c r="W28" s="44">
        <v>82.3</v>
      </c>
      <c r="X28" s="14"/>
      <c r="Y28" s="3">
        <f t="shared" si="21"/>
        <v>215.9</v>
      </c>
      <c r="Z28" s="3">
        <f t="shared" si="21"/>
        <v>390.00000000000006</v>
      </c>
      <c r="AA28" s="14">
        <f t="shared" si="5"/>
        <v>180.63918480778142</v>
      </c>
      <c r="AB28" s="44">
        <v>0</v>
      </c>
      <c r="AC28" s="44">
        <v>10.6</v>
      </c>
      <c r="AD28" s="14">
        <v>0</v>
      </c>
      <c r="AE28" s="44"/>
      <c r="AF28" s="44"/>
      <c r="AG28" s="28"/>
      <c r="AH28" s="44"/>
      <c r="AI28" s="44"/>
      <c r="AJ28" s="3">
        <f t="shared" si="12"/>
        <v>0</v>
      </c>
      <c r="AK28" s="3">
        <f t="shared" si="13"/>
        <v>10.6</v>
      </c>
      <c r="AL28" s="14" t="e">
        <f t="shared" si="20"/>
        <v>#DIV/0!</v>
      </c>
      <c r="AM28" s="44"/>
      <c r="AN28" s="44"/>
      <c r="AO28" s="44"/>
      <c r="AP28" s="44"/>
      <c r="AQ28" s="44"/>
      <c r="AR28" s="44"/>
      <c r="AS28" s="3">
        <f t="shared" si="14"/>
        <v>6627.799999999999</v>
      </c>
      <c r="AT28" s="3">
        <f t="shared" si="15"/>
        <v>6195.300000000001</v>
      </c>
      <c r="AU28" s="14">
        <f>AT28/AS28*100</f>
        <v>93.47445607894025</v>
      </c>
      <c r="AV28" s="14">
        <f t="shared" si="16"/>
        <v>432.4999999999982</v>
      </c>
      <c r="AW28" s="4">
        <f t="shared" si="17"/>
        <v>27.599999999998545</v>
      </c>
    </row>
    <row r="29" spans="1:49" ht="24" customHeight="1">
      <c r="A29" s="6">
        <v>22</v>
      </c>
      <c r="B29" s="1" t="s">
        <v>31</v>
      </c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"/>
      <c r="N29" s="3"/>
      <c r="O29" s="28" t="e">
        <f t="shared" si="2"/>
        <v>#DIV/0!</v>
      </c>
      <c r="P29" s="35"/>
      <c r="Q29" s="35"/>
      <c r="R29" s="35"/>
      <c r="S29" s="35"/>
      <c r="T29" s="35"/>
      <c r="U29" s="35"/>
      <c r="V29" s="35"/>
      <c r="W29" s="35"/>
      <c r="X29" s="35"/>
      <c r="Y29" s="3"/>
      <c r="Z29" s="3"/>
      <c r="AA29" s="28" t="e">
        <f t="shared" si="5"/>
        <v>#DIV/0!</v>
      </c>
      <c r="AB29" s="35"/>
      <c r="AC29" s="35"/>
      <c r="AD29" s="35"/>
      <c r="AE29" s="46"/>
      <c r="AF29" s="46"/>
      <c r="AG29" s="111"/>
      <c r="AH29" s="46"/>
      <c r="AI29" s="46"/>
      <c r="AJ29" s="3"/>
      <c r="AK29" s="3"/>
      <c r="AL29" s="28" t="e">
        <f t="shared" si="20"/>
        <v>#DIV/0!</v>
      </c>
      <c r="AM29" s="46"/>
      <c r="AN29" s="46"/>
      <c r="AO29" s="46"/>
      <c r="AP29" s="46"/>
      <c r="AQ29" s="46"/>
      <c r="AR29" s="46"/>
      <c r="AS29" s="3"/>
      <c r="AT29" s="3"/>
      <c r="AU29" s="35"/>
      <c r="AV29" s="14"/>
      <c r="AW29" s="4"/>
    </row>
    <row r="30" spans="1:49" ht="24" customHeight="1">
      <c r="A30" s="6">
        <v>23</v>
      </c>
      <c r="B30" s="15" t="s">
        <v>32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"/>
      <c r="N30" s="3"/>
      <c r="O30" s="28" t="e">
        <f t="shared" si="2"/>
        <v>#DIV/0!</v>
      </c>
      <c r="P30" s="35"/>
      <c r="Q30" s="35"/>
      <c r="R30" s="35"/>
      <c r="S30" s="35"/>
      <c r="T30" s="35"/>
      <c r="U30" s="35"/>
      <c r="V30" s="35"/>
      <c r="W30" s="35"/>
      <c r="X30" s="35"/>
      <c r="Y30" s="3"/>
      <c r="Z30" s="3"/>
      <c r="AA30" s="28" t="e">
        <f t="shared" si="5"/>
        <v>#DIV/0!</v>
      </c>
      <c r="AB30" s="35"/>
      <c r="AC30" s="35"/>
      <c r="AD30" s="35"/>
      <c r="AE30" s="46"/>
      <c r="AF30" s="46"/>
      <c r="AG30" s="111"/>
      <c r="AH30" s="46"/>
      <c r="AI30" s="46"/>
      <c r="AJ30" s="3"/>
      <c r="AK30" s="3"/>
      <c r="AL30" s="28" t="e">
        <f t="shared" si="20"/>
        <v>#DIV/0!</v>
      </c>
      <c r="AM30" s="46"/>
      <c r="AN30" s="46"/>
      <c r="AO30" s="46"/>
      <c r="AP30" s="46"/>
      <c r="AQ30" s="46"/>
      <c r="AR30" s="46"/>
      <c r="AS30" s="3"/>
      <c r="AT30" s="3"/>
      <c r="AU30" s="35"/>
      <c r="AV30" s="14"/>
      <c r="AW30" s="4"/>
    </row>
    <row r="31" spans="1:49" ht="24" customHeight="1">
      <c r="A31" s="6">
        <v>24</v>
      </c>
      <c r="B31" s="15" t="s">
        <v>33</v>
      </c>
      <c r="C31" s="47"/>
      <c r="D31" s="35"/>
      <c r="E31" s="35"/>
      <c r="F31" s="35"/>
      <c r="G31" s="46"/>
      <c r="H31" s="46"/>
      <c r="I31" s="46"/>
      <c r="J31" s="46"/>
      <c r="K31" s="46"/>
      <c r="L31" s="46"/>
      <c r="M31" s="3"/>
      <c r="N31" s="3"/>
      <c r="O31" s="28" t="e">
        <f t="shared" si="2"/>
        <v>#DIV/0!</v>
      </c>
      <c r="P31" s="46"/>
      <c r="Q31" s="46"/>
      <c r="R31" s="46"/>
      <c r="S31" s="46"/>
      <c r="T31" s="46"/>
      <c r="U31" s="46"/>
      <c r="V31" s="46"/>
      <c r="W31" s="46"/>
      <c r="X31" s="46"/>
      <c r="Y31" s="3"/>
      <c r="Z31" s="3"/>
      <c r="AA31" s="28" t="e">
        <f t="shared" si="5"/>
        <v>#DIV/0!</v>
      </c>
      <c r="AB31" s="46"/>
      <c r="AC31" s="46"/>
      <c r="AD31" s="46"/>
      <c r="AE31" s="46"/>
      <c r="AF31" s="46"/>
      <c r="AG31" s="111"/>
      <c r="AH31" s="46"/>
      <c r="AI31" s="46"/>
      <c r="AJ31" s="3"/>
      <c r="AK31" s="3"/>
      <c r="AL31" s="28" t="e">
        <f t="shared" si="20"/>
        <v>#DIV/0!</v>
      </c>
      <c r="AM31" s="46"/>
      <c r="AN31" s="46"/>
      <c r="AO31" s="46"/>
      <c r="AP31" s="46"/>
      <c r="AQ31" s="46"/>
      <c r="AR31" s="46"/>
      <c r="AS31" s="3"/>
      <c r="AT31" s="3"/>
      <c r="AU31" s="46"/>
      <c r="AV31" s="14"/>
      <c r="AW31" s="4"/>
    </row>
    <row r="32" spans="1:49" ht="24" customHeight="1">
      <c r="A32" s="6">
        <v>25</v>
      </c>
      <c r="B32" s="15" t="s">
        <v>34</v>
      </c>
      <c r="C32" s="2"/>
      <c r="D32" s="69"/>
      <c r="E32" s="69"/>
      <c r="F32" s="36"/>
      <c r="G32" s="21"/>
      <c r="H32" s="21"/>
      <c r="I32" s="36"/>
      <c r="J32" s="21"/>
      <c r="K32" s="21"/>
      <c r="L32" s="36"/>
      <c r="M32" s="3"/>
      <c r="N32" s="3"/>
      <c r="O32" s="28" t="e">
        <f t="shared" si="2"/>
        <v>#DIV/0!</v>
      </c>
      <c r="P32" s="21"/>
      <c r="Q32" s="21"/>
      <c r="R32" s="36"/>
      <c r="S32" s="21"/>
      <c r="T32" s="21"/>
      <c r="U32" s="36"/>
      <c r="V32" s="21"/>
      <c r="W32" s="21"/>
      <c r="X32" s="36"/>
      <c r="Y32" s="3"/>
      <c r="Z32" s="3"/>
      <c r="AA32" s="28" t="e">
        <f t="shared" si="5"/>
        <v>#DIV/0!</v>
      </c>
      <c r="AB32" s="21"/>
      <c r="AC32" s="21"/>
      <c r="AD32" s="36"/>
      <c r="AE32" s="21"/>
      <c r="AF32" s="21"/>
      <c r="AG32" s="28"/>
      <c r="AH32" s="21"/>
      <c r="AI32" s="21"/>
      <c r="AJ32" s="3"/>
      <c r="AK32" s="3"/>
      <c r="AL32" s="28" t="e">
        <f t="shared" si="20"/>
        <v>#DIV/0!</v>
      </c>
      <c r="AM32" s="21"/>
      <c r="AN32" s="21"/>
      <c r="AO32" s="21"/>
      <c r="AP32" s="21"/>
      <c r="AQ32" s="21"/>
      <c r="AR32" s="21"/>
      <c r="AS32" s="3"/>
      <c r="AT32" s="3"/>
      <c r="AU32" s="36"/>
      <c r="AV32" s="14"/>
      <c r="AW32" s="4"/>
    </row>
    <row r="33" spans="1:49" ht="24" customHeight="1">
      <c r="A33" s="6"/>
      <c r="B33" s="15" t="s">
        <v>115</v>
      </c>
      <c r="C33" s="2">
        <f>-1980.6+(-335.9)</f>
        <v>-2316.5</v>
      </c>
      <c r="D33" s="3">
        <f>2184.3+6382.4</f>
        <v>8566.7</v>
      </c>
      <c r="E33" s="3">
        <f>1460.4+4415.1</f>
        <v>5875.5</v>
      </c>
      <c r="F33" s="14">
        <f aca="true" t="shared" si="22" ref="F33:F49">E33/D33*100</f>
        <v>68.58533624382784</v>
      </c>
      <c r="G33" s="3">
        <f>1922.1+5852.5</f>
        <v>7774.6</v>
      </c>
      <c r="H33" s="3">
        <f>2235.9+5890.6</f>
        <v>8126.5</v>
      </c>
      <c r="I33" s="14">
        <f aca="true" t="shared" si="23" ref="I33:I47">H33/G33*100</f>
        <v>104.5262778792478</v>
      </c>
      <c r="J33" s="3">
        <f>2123.4+5954.6</f>
        <v>8078</v>
      </c>
      <c r="K33" s="3">
        <f>1233.4+4460</f>
        <v>5693.4</v>
      </c>
      <c r="L33" s="33">
        <f aca="true" t="shared" si="24" ref="L33:L45">K33/J33*100</f>
        <v>70.48031691012626</v>
      </c>
      <c r="M33" s="3">
        <f t="shared" si="8"/>
        <v>24419.300000000003</v>
      </c>
      <c r="N33" s="3">
        <f t="shared" si="9"/>
        <v>19695.4</v>
      </c>
      <c r="O33" s="14">
        <f t="shared" si="2"/>
        <v>80.65505563222533</v>
      </c>
      <c r="P33" s="3">
        <f>242+678.8</f>
        <v>920.8</v>
      </c>
      <c r="Q33" s="3">
        <f>636.2+2407.7</f>
        <v>3043.8999999999996</v>
      </c>
      <c r="R33" s="14">
        <f aca="true" t="shared" si="25" ref="R33:R44">Q33/P33*100</f>
        <v>330.57124239791483</v>
      </c>
      <c r="S33" s="3">
        <v>0</v>
      </c>
      <c r="T33" s="3">
        <f>88.7+660.9</f>
        <v>749.6</v>
      </c>
      <c r="U33" s="14" t="e">
        <f>T33/S33*100</f>
        <v>#DIV/0!</v>
      </c>
      <c r="V33" s="3">
        <f>0</f>
        <v>0</v>
      </c>
      <c r="W33" s="3">
        <v>6354.8</v>
      </c>
      <c r="X33" s="28" t="e">
        <f>W33/V33*100</f>
        <v>#DIV/0!</v>
      </c>
      <c r="Y33" s="3">
        <f aca="true" t="shared" si="26" ref="Y33:Y43">P33+S33+V33</f>
        <v>920.8</v>
      </c>
      <c r="Z33" s="3">
        <f aca="true" t="shared" si="27" ref="Z33:Z43">Q33+T33+W33</f>
        <v>10148.3</v>
      </c>
      <c r="AA33" s="14">
        <f t="shared" si="5"/>
        <v>1102.1177237185054</v>
      </c>
      <c r="AB33" s="3">
        <v>0</v>
      </c>
      <c r="AC33" s="3">
        <v>0</v>
      </c>
      <c r="AD33" s="33">
        <v>0</v>
      </c>
      <c r="AE33" s="3"/>
      <c r="AF33" s="3"/>
      <c r="AG33" s="28" t="e">
        <f>AF33/AE33*100</f>
        <v>#DIV/0!</v>
      </c>
      <c r="AH33" s="3"/>
      <c r="AI33" s="3"/>
      <c r="AJ33" s="3">
        <f t="shared" si="12"/>
        <v>0</v>
      </c>
      <c r="AK33" s="3">
        <f t="shared" si="13"/>
        <v>0</v>
      </c>
      <c r="AL33" s="14" t="e">
        <f t="shared" si="20"/>
        <v>#DIV/0!</v>
      </c>
      <c r="AM33" s="3"/>
      <c r="AN33" s="3"/>
      <c r="AO33" s="3"/>
      <c r="AP33" s="3"/>
      <c r="AQ33" s="3"/>
      <c r="AR33" s="3"/>
      <c r="AS33" s="3">
        <f t="shared" si="14"/>
        <v>25340.100000000002</v>
      </c>
      <c r="AT33" s="3">
        <f t="shared" si="15"/>
        <v>29843.7</v>
      </c>
      <c r="AU33" s="14">
        <f>AT33/AS33*100</f>
        <v>117.77262126037387</v>
      </c>
      <c r="AV33" s="14">
        <f t="shared" si="16"/>
        <v>-4503.5999999999985</v>
      </c>
      <c r="AW33" s="4">
        <f t="shared" si="17"/>
        <v>-6820.0999999999985</v>
      </c>
    </row>
    <row r="34" spans="1:49" ht="24" customHeight="1">
      <c r="A34" s="6"/>
      <c r="B34" s="15" t="s">
        <v>116</v>
      </c>
      <c r="C34" s="2">
        <v>-1159.2</v>
      </c>
      <c r="D34" s="3">
        <v>1024</v>
      </c>
      <c r="E34" s="3">
        <v>0</v>
      </c>
      <c r="F34" s="14">
        <f>E34/D34*100</f>
        <v>0</v>
      </c>
      <c r="G34" s="3">
        <v>827.4</v>
      </c>
      <c r="H34" s="3">
        <v>919</v>
      </c>
      <c r="I34" s="14">
        <f>H34/G34*100</f>
        <v>111.07082426879383</v>
      </c>
      <c r="J34" s="3">
        <v>733.3</v>
      </c>
      <c r="K34" s="3">
        <v>48.5</v>
      </c>
      <c r="L34" s="14">
        <f>K34/J34*100</f>
        <v>6.613936997136234</v>
      </c>
      <c r="M34" s="3">
        <f>D34+G34+J34</f>
        <v>2584.7</v>
      </c>
      <c r="N34" s="3">
        <f>E34+H34+K34</f>
        <v>967.5</v>
      </c>
      <c r="O34" s="14">
        <f>N34/M34*100</f>
        <v>37.43181026811622</v>
      </c>
      <c r="P34" s="3">
        <v>93.9</v>
      </c>
      <c r="Q34" s="3">
        <v>234.5</v>
      </c>
      <c r="R34" s="14">
        <f>Q34/P34*100</f>
        <v>249.73375931842386</v>
      </c>
      <c r="S34" s="3">
        <v>0</v>
      </c>
      <c r="T34" s="3">
        <v>317.4</v>
      </c>
      <c r="U34" s="14" t="e">
        <f>T34/S34*100</f>
        <v>#DIV/0!</v>
      </c>
      <c r="V34" s="3">
        <v>0</v>
      </c>
      <c r="W34" s="3">
        <v>0</v>
      </c>
      <c r="X34" s="28" t="e">
        <f>W34/V34*100</f>
        <v>#DIV/0!</v>
      </c>
      <c r="Y34" s="3">
        <f>P34+S34+V34</f>
        <v>93.9</v>
      </c>
      <c r="Z34" s="3">
        <f>Q34+T34+W34</f>
        <v>551.9</v>
      </c>
      <c r="AA34" s="14">
        <f>Z34/Y34*100</f>
        <v>587.7529286474972</v>
      </c>
      <c r="AB34" s="3">
        <v>0</v>
      </c>
      <c r="AC34" s="3">
        <v>0</v>
      </c>
      <c r="AD34" s="33">
        <v>0</v>
      </c>
      <c r="AE34" s="3"/>
      <c r="AF34" s="3"/>
      <c r="AG34" s="28" t="e">
        <f>AF34/AE34*100</f>
        <v>#DIV/0!</v>
      </c>
      <c r="AH34" s="3"/>
      <c r="AI34" s="3"/>
      <c r="AJ34" s="3">
        <f>AB34+AE34+AH34</f>
        <v>0</v>
      </c>
      <c r="AK34" s="3">
        <f>AC34+AF34+AI34</f>
        <v>0</v>
      </c>
      <c r="AL34" s="14" t="e">
        <f>AK34/AJ34*100</f>
        <v>#DIV/0!</v>
      </c>
      <c r="AM34" s="3"/>
      <c r="AN34" s="3"/>
      <c r="AO34" s="3"/>
      <c r="AP34" s="3"/>
      <c r="AQ34" s="3"/>
      <c r="AR34" s="3"/>
      <c r="AS34" s="3">
        <f>M34+Y34+AJ34+AM34+AO34+AQ34</f>
        <v>2678.6</v>
      </c>
      <c r="AT34" s="3">
        <f>N34+Z34+AK34+AN34+AP34+AR34</f>
        <v>1519.4</v>
      </c>
      <c r="AU34" s="14">
        <f>AT34/AS34*100</f>
        <v>56.723661614276125</v>
      </c>
      <c r="AV34" s="14">
        <f>AS34-AT34</f>
        <v>1159.1999999999998</v>
      </c>
      <c r="AW34" s="4">
        <f>C34+AS34-AT34</f>
        <v>0</v>
      </c>
    </row>
    <row r="35" spans="1:49" ht="27.75" customHeight="1">
      <c r="A35" s="6"/>
      <c r="B35" s="15" t="s">
        <v>117</v>
      </c>
      <c r="C35" s="2"/>
      <c r="D35" s="3"/>
      <c r="E35" s="3"/>
      <c r="F35" s="14"/>
      <c r="G35" s="3"/>
      <c r="H35" s="3"/>
      <c r="I35" s="14"/>
      <c r="J35" s="3"/>
      <c r="K35" s="3"/>
      <c r="L35" s="14"/>
      <c r="M35" s="3"/>
      <c r="N35" s="3"/>
      <c r="O35" s="14"/>
      <c r="P35" s="3"/>
      <c r="Q35" s="3"/>
      <c r="R35" s="14"/>
      <c r="S35" s="3"/>
      <c r="T35" s="3"/>
      <c r="U35" s="14"/>
      <c r="V35" s="3"/>
      <c r="W35" s="3"/>
      <c r="X35" s="28"/>
      <c r="Y35" s="3"/>
      <c r="Z35" s="3"/>
      <c r="AA35" s="14"/>
      <c r="AB35" s="3"/>
      <c r="AC35" s="3"/>
      <c r="AD35" s="33"/>
      <c r="AE35" s="3"/>
      <c r="AF35" s="3"/>
      <c r="AG35" s="28"/>
      <c r="AH35" s="3"/>
      <c r="AI35" s="3"/>
      <c r="AJ35" s="3"/>
      <c r="AK35" s="3"/>
      <c r="AL35" s="14"/>
      <c r="AM35" s="3"/>
      <c r="AN35" s="3"/>
      <c r="AO35" s="3"/>
      <c r="AP35" s="3"/>
      <c r="AQ35" s="3"/>
      <c r="AR35" s="3"/>
      <c r="AS35" s="3"/>
      <c r="AT35" s="3"/>
      <c r="AU35" s="14"/>
      <c r="AV35" s="14"/>
      <c r="AW35" s="4"/>
    </row>
    <row r="36" spans="1:49" ht="24.75" customHeight="1">
      <c r="A36" s="19"/>
      <c r="B36" s="15" t="s">
        <v>35</v>
      </c>
      <c r="C36" s="2">
        <v>-136.3</v>
      </c>
      <c r="D36" s="3">
        <v>251.9</v>
      </c>
      <c r="E36" s="3">
        <v>0</v>
      </c>
      <c r="F36" s="14">
        <f t="shared" si="22"/>
        <v>0</v>
      </c>
      <c r="G36" s="3">
        <v>267.5</v>
      </c>
      <c r="H36" s="3">
        <v>76.9</v>
      </c>
      <c r="I36" s="14">
        <f t="shared" si="23"/>
        <v>28.74766355140187</v>
      </c>
      <c r="J36" s="3">
        <v>240.2</v>
      </c>
      <c r="K36" s="3">
        <v>267.5</v>
      </c>
      <c r="L36" s="14">
        <f t="shared" si="24"/>
        <v>111.36552872606163</v>
      </c>
      <c r="M36" s="3">
        <f t="shared" si="8"/>
        <v>759.5999999999999</v>
      </c>
      <c r="N36" s="3">
        <f t="shared" si="9"/>
        <v>344.4</v>
      </c>
      <c r="O36" s="14">
        <f t="shared" si="2"/>
        <v>45.33965244865719</v>
      </c>
      <c r="P36" s="3">
        <v>51.5</v>
      </c>
      <c r="Q36" s="3">
        <v>360.9</v>
      </c>
      <c r="R36" s="14">
        <f t="shared" si="25"/>
        <v>700.7766990291261</v>
      </c>
      <c r="S36" s="3">
        <v>0</v>
      </c>
      <c r="T36" s="3">
        <v>15.6</v>
      </c>
      <c r="U36" s="14"/>
      <c r="V36" s="3">
        <v>0</v>
      </c>
      <c r="W36" s="3">
        <v>0</v>
      </c>
      <c r="X36" s="14"/>
      <c r="Y36" s="3">
        <f t="shared" si="26"/>
        <v>51.5</v>
      </c>
      <c r="Z36" s="3">
        <f t="shared" si="27"/>
        <v>376.5</v>
      </c>
      <c r="AA36" s="14">
        <f t="shared" si="5"/>
        <v>731.0679611650485</v>
      </c>
      <c r="AB36" s="3">
        <v>0</v>
      </c>
      <c r="AC36" s="3">
        <v>0</v>
      </c>
      <c r="AD36" s="14">
        <v>0</v>
      </c>
      <c r="AE36" s="3"/>
      <c r="AF36" s="3"/>
      <c r="AG36" s="28"/>
      <c r="AH36" s="3"/>
      <c r="AI36" s="3"/>
      <c r="AJ36" s="3">
        <f t="shared" si="12"/>
        <v>0</v>
      </c>
      <c r="AK36" s="3">
        <f t="shared" si="13"/>
        <v>0</v>
      </c>
      <c r="AL36" s="14" t="e">
        <f t="shared" si="20"/>
        <v>#DIV/0!</v>
      </c>
      <c r="AM36" s="3"/>
      <c r="AN36" s="3"/>
      <c r="AO36" s="3"/>
      <c r="AP36" s="3"/>
      <c r="AQ36" s="3"/>
      <c r="AR36" s="3"/>
      <c r="AS36" s="3">
        <f t="shared" si="14"/>
        <v>811.0999999999999</v>
      </c>
      <c r="AT36" s="3">
        <f t="shared" si="15"/>
        <v>720.9</v>
      </c>
      <c r="AU36" s="14">
        <f aca="true" t="shared" si="28" ref="AU36:AU44">AT36/AS36*100</f>
        <v>88.87929971643447</v>
      </c>
      <c r="AV36" s="14">
        <f aca="true" t="shared" si="29" ref="AV36:AV44">AS36-AT36</f>
        <v>90.19999999999993</v>
      </c>
      <c r="AW36" s="4">
        <f aca="true" t="shared" si="30" ref="AW36:AW44">C36+AS36-AT36</f>
        <v>-46.10000000000002</v>
      </c>
    </row>
    <row r="37" spans="1:49" ht="27" customHeight="1">
      <c r="A37" s="6">
        <v>26</v>
      </c>
      <c r="B37" s="15" t="s">
        <v>118</v>
      </c>
      <c r="C37" s="2">
        <f>-44.9</f>
        <v>-44.9</v>
      </c>
      <c r="D37" s="3">
        <v>861.9</v>
      </c>
      <c r="E37" s="3">
        <v>47.7</v>
      </c>
      <c r="F37" s="14">
        <f t="shared" si="22"/>
        <v>5.534284719805082</v>
      </c>
      <c r="G37" s="3">
        <v>775.4</v>
      </c>
      <c r="H37" s="3">
        <v>959.8</v>
      </c>
      <c r="I37" s="14">
        <f t="shared" si="23"/>
        <v>123.78127418106783</v>
      </c>
      <c r="J37" s="3">
        <f>315.7+370.7</f>
        <v>686.4</v>
      </c>
      <c r="K37" s="3">
        <f>232.6+108.9</f>
        <v>341.5</v>
      </c>
      <c r="L37" s="14">
        <f t="shared" si="24"/>
        <v>49.752331002331005</v>
      </c>
      <c r="M37" s="3">
        <f t="shared" si="8"/>
        <v>2323.7</v>
      </c>
      <c r="N37" s="3">
        <f t="shared" si="9"/>
        <v>1349</v>
      </c>
      <c r="O37" s="14">
        <f t="shared" si="2"/>
        <v>58.0539656582175</v>
      </c>
      <c r="P37" s="3">
        <v>124.3</v>
      </c>
      <c r="Q37" s="3">
        <v>361.4</v>
      </c>
      <c r="R37" s="14">
        <f t="shared" si="25"/>
        <v>290.74818986323413</v>
      </c>
      <c r="S37" s="3">
        <v>0</v>
      </c>
      <c r="T37" s="3">
        <v>115.3</v>
      </c>
      <c r="U37" s="14"/>
      <c r="V37" s="3">
        <v>0</v>
      </c>
      <c r="W37" s="3">
        <v>255.6</v>
      </c>
      <c r="X37" s="14"/>
      <c r="Y37" s="3">
        <f t="shared" si="26"/>
        <v>124.3</v>
      </c>
      <c r="Z37" s="3">
        <f t="shared" si="27"/>
        <v>732.3</v>
      </c>
      <c r="AA37" s="14">
        <f t="shared" si="5"/>
        <v>589.139179404666</v>
      </c>
      <c r="AB37" s="3">
        <v>0</v>
      </c>
      <c r="AC37" s="3">
        <f>295.9+21.9</f>
        <v>317.79999999999995</v>
      </c>
      <c r="AD37" s="14">
        <v>0</v>
      </c>
      <c r="AE37" s="3"/>
      <c r="AF37" s="3"/>
      <c r="AG37" s="28" t="e">
        <f>AF37/AE37*100</f>
        <v>#DIV/0!</v>
      </c>
      <c r="AH37" s="3"/>
      <c r="AI37" s="3"/>
      <c r="AJ37" s="3">
        <f t="shared" si="12"/>
        <v>0</v>
      </c>
      <c r="AK37" s="3">
        <f t="shared" si="13"/>
        <v>317.79999999999995</v>
      </c>
      <c r="AL37" s="14" t="e">
        <f t="shared" si="20"/>
        <v>#DIV/0!</v>
      </c>
      <c r="AM37" s="3"/>
      <c r="AN37" s="3"/>
      <c r="AO37" s="3"/>
      <c r="AP37" s="3"/>
      <c r="AQ37" s="3"/>
      <c r="AR37" s="3"/>
      <c r="AS37" s="3">
        <f t="shared" si="14"/>
        <v>2448</v>
      </c>
      <c r="AT37" s="3">
        <f t="shared" si="15"/>
        <v>2399.1000000000004</v>
      </c>
      <c r="AU37" s="14">
        <f t="shared" si="28"/>
        <v>98.00245098039217</v>
      </c>
      <c r="AV37" s="14">
        <f t="shared" si="29"/>
        <v>48.899999999999636</v>
      </c>
      <c r="AW37" s="4">
        <f t="shared" si="30"/>
        <v>3.9999999999995453</v>
      </c>
    </row>
    <row r="38" spans="1:49" ht="24" customHeight="1">
      <c r="A38" s="6">
        <v>27</v>
      </c>
      <c r="B38" s="1" t="s">
        <v>90</v>
      </c>
      <c r="C38" s="2">
        <v>-375</v>
      </c>
      <c r="D38" s="3">
        <v>2366</v>
      </c>
      <c r="E38" s="3">
        <v>596.1</v>
      </c>
      <c r="F38" s="14">
        <f t="shared" si="22"/>
        <v>25.19442096365173</v>
      </c>
      <c r="G38" s="3">
        <v>2312</v>
      </c>
      <c r="H38" s="3">
        <v>1172.3</v>
      </c>
      <c r="I38" s="14">
        <f t="shared" si="23"/>
        <v>50.705017301038055</v>
      </c>
      <c r="J38" s="3">
        <v>2376.2</v>
      </c>
      <c r="K38" s="3">
        <v>955.6</v>
      </c>
      <c r="L38" s="14">
        <f t="shared" si="24"/>
        <v>40.21547007827625</v>
      </c>
      <c r="M38" s="3">
        <f t="shared" si="8"/>
        <v>7054.2</v>
      </c>
      <c r="N38" s="3">
        <f t="shared" si="9"/>
        <v>2724</v>
      </c>
      <c r="O38" s="14">
        <f t="shared" si="2"/>
        <v>38.61529301692609</v>
      </c>
      <c r="P38" s="3">
        <v>282.3</v>
      </c>
      <c r="Q38" s="3">
        <v>1007</v>
      </c>
      <c r="R38" s="14">
        <f t="shared" si="25"/>
        <v>356.7127169677648</v>
      </c>
      <c r="S38" s="3">
        <v>0</v>
      </c>
      <c r="T38" s="3">
        <v>916.9</v>
      </c>
      <c r="U38" s="14"/>
      <c r="V38" s="3">
        <v>0</v>
      </c>
      <c r="W38" s="3">
        <v>897.5</v>
      </c>
      <c r="X38" s="14"/>
      <c r="Y38" s="3">
        <f t="shared" si="26"/>
        <v>282.3</v>
      </c>
      <c r="Z38" s="3">
        <f t="shared" si="27"/>
        <v>2821.4</v>
      </c>
      <c r="AA38" s="14">
        <f t="shared" si="5"/>
        <v>999.4332270634077</v>
      </c>
      <c r="AB38" s="3">
        <v>0</v>
      </c>
      <c r="AC38" s="3">
        <v>744.2</v>
      </c>
      <c r="AD38" s="14"/>
      <c r="AE38" s="3"/>
      <c r="AF38" s="3"/>
      <c r="AG38" s="28">
        <v>0</v>
      </c>
      <c r="AH38" s="3"/>
      <c r="AI38" s="3"/>
      <c r="AJ38" s="3">
        <f t="shared" si="12"/>
        <v>0</v>
      </c>
      <c r="AK38" s="3">
        <f t="shared" si="13"/>
        <v>744.2</v>
      </c>
      <c r="AL38" s="14" t="e">
        <f t="shared" si="20"/>
        <v>#DIV/0!</v>
      </c>
      <c r="AM38" s="3"/>
      <c r="AN38" s="3"/>
      <c r="AO38" s="3"/>
      <c r="AP38" s="3"/>
      <c r="AQ38" s="3"/>
      <c r="AR38" s="3"/>
      <c r="AS38" s="3">
        <f t="shared" si="14"/>
        <v>7336.5</v>
      </c>
      <c r="AT38" s="3">
        <f t="shared" si="15"/>
        <v>6289.599999999999</v>
      </c>
      <c r="AU38" s="14">
        <f t="shared" si="28"/>
        <v>85.73025284536222</v>
      </c>
      <c r="AV38" s="14">
        <f t="shared" si="29"/>
        <v>1046.9000000000005</v>
      </c>
      <c r="AW38" s="4">
        <f t="shared" si="30"/>
        <v>671.9000000000005</v>
      </c>
    </row>
    <row r="39" spans="1:49" ht="28.5" customHeight="1">
      <c r="A39" s="6">
        <v>28</v>
      </c>
      <c r="B39" s="15" t="s">
        <v>119</v>
      </c>
      <c r="C39" s="2">
        <v>-1125.5</v>
      </c>
      <c r="D39" s="3">
        <v>3607.5</v>
      </c>
      <c r="E39" s="3">
        <v>1100</v>
      </c>
      <c r="F39" s="14">
        <f t="shared" si="22"/>
        <v>30.49203049203049</v>
      </c>
      <c r="G39" s="3">
        <v>3375.3</v>
      </c>
      <c r="H39" s="3">
        <v>378.8</v>
      </c>
      <c r="I39" s="14">
        <f t="shared" si="23"/>
        <v>11.222706129825497</v>
      </c>
      <c r="J39" s="3">
        <v>3338.5</v>
      </c>
      <c r="K39" s="3">
        <v>4372</v>
      </c>
      <c r="L39" s="14">
        <f t="shared" si="24"/>
        <v>130.95701662423244</v>
      </c>
      <c r="M39" s="3">
        <f t="shared" si="8"/>
        <v>10321.3</v>
      </c>
      <c r="N39" s="3">
        <f t="shared" si="9"/>
        <v>5850.8</v>
      </c>
      <c r="O39" s="14">
        <f t="shared" si="2"/>
        <v>56.68665768846948</v>
      </c>
      <c r="P39" s="3">
        <v>799.3</v>
      </c>
      <c r="Q39" s="3">
        <v>3394.6</v>
      </c>
      <c r="R39" s="14">
        <f t="shared" si="25"/>
        <v>424.6966095333417</v>
      </c>
      <c r="S39" s="3">
        <v>447.6</v>
      </c>
      <c r="T39" s="3">
        <v>633.6</v>
      </c>
      <c r="U39" s="14"/>
      <c r="V39" s="3">
        <v>465.7</v>
      </c>
      <c r="W39" s="3">
        <v>549.6</v>
      </c>
      <c r="X39" s="14"/>
      <c r="Y39" s="3">
        <f t="shared" si="26"/>
        <v>1712.6000000000001</v>
      </c>
      <c r="Z39" s="3">
        <f t="shared" si="27"/>
        <v>4577.8</v>
      </c>
      <c r="AA39" s="14">
        <f t="shared" si="5"/>
        <v>267.30117949316826</v>
      </c>
      <c r="AB39" s="3">
        <v>508</v>
      </c>
      <c r="AC39" s="3">
        <v>85.8</v>
      </c>
      <c r="AD39" s="14">
        <v>0</v>
      </c>
      <c r="AE39" s="3"/>
      <c r="AF39" s="3"/>
      <c r="AG39" s="28" t="e">
        <f aca="true" t="shared" si="31" ref="AG39:AG44">AF39/AE39*100</f>
        <v>#DIV/0!</v>
      </c>
      <c r="AH39" s="3"/>
      <c r="AI39" s="3"/>
      <c r="AJ39" s="3">
        <f t="shared" si="12"/>
        <v>508</v>
      </c>
      <c r="AK39" s="3">
        <f t="shared" si="13"/>
        <v>85.8</v>
      </c>
      <c r="AL39" s="14">
        <f t="shared" si="20"/>
        <v>16.88976377952756</v>
      </c>
      <c r="AM39" s="3"/>
      <c r="AN39" s="3"/>
      <c r="AO39" s="3"/>
      <c r="AP39" s="3"/>
      <c r="AQ39" s="3"/>
      <c r="AR39" s="3"/>
      <c r="AS39" s="3">
        <f t="shared" si="14"/>
        <v>12541.9</v>
      </c>
      <c r="AT39" s="3">
        <f t="shared" si="15"/>
        <v>10514.4</v>
      </c>
      <c r="AU39" s="14">
        <f t="shared" si="28"/>
        <v>83.83418780248607</v>
      </c>
      <c r="AV39" s="14">
        <f t="shared" si="29"/>
        <v>2027.5</v>
      </c>
      <c r="AW39" s="4">
        <f t="shared" si="30"/>
        <v>902</v>
      </c>
    </row>
    <row r="40" spans="1:49" ht="24" customHeight="1">
      <c r="A40" s="6">
        <v>29</v>
      </c>
      <c r="B40" s="15" t="s">
        <v>120</v>
      </c>
      <c r="C40" s="2">
        <f>-0.5+(-3071.4)</f>
        <v>-3071.9</v>
      </c>
      <c r="D40" s="3">
        <v>6670.9</v>
      </c>
      <c r="E40" s="3">
        <v>4346.6</v>
      </c>
      <c r="F40" s="14">
        <f t="shared" si="22"/>
        <v>65.15762490818331</v>
      </c>
      <c r="G40" s="3">
        <v>6526.1</v>
      </c>
      <c r="H40" s="3">
        <v>3669.5</v>
      </c>
      <c r="I40" s="14">
        <f t="shared" si="23"/>
        <v>56.22806883130813</v>
      </c>
      <c r="J40" s="3">
        <v>6995.6</v>
      </c>
      <c r="K40" s="3">
        <v>3964.4</v>
      </c>
      <c r="L40" s="14">
        <f t="shared" si="24"/>
        <v>56.66990679855909</v>
      </c>
      <c r="M40" s="3">
        <f t="shared" si="8"/>
        <v>20192.6</v>
      </c>
      <c r="N40" s="3">
        <f t="shared" si="9"/>
        <v>11980.5</v>
      </c>
      <c r="O40" s="14">
        <f t="shared" si="2"/>
        <v>59.3311411111001</v>
      </c>
      <c r="P40" s="3">
        <v>1068.4</v>
      </c>
      <c r="Q40" s="3">
        <v>4112.6</v>
      </c>
      <c r="R40" s="14">
        <f t="shared" si="25"/>
        <v>384.93073755147884</v>
      </c>
      <c r="S40" s="3">
        <v>0</v>
      </c>
      <c r="T40" s="3">
        <v>2096.9</v>
      </c>
      <c r="U40" s="14"/>
      <c r="V40" s="3">
        <v>0</v>
      </c>
      <c r="W40" s="3">
        <v>-0.3</v>
      </c>
      <c r="X40" s="14"/>
      <c r="Y40" s="3">
        <f t="shared" si="26"/>
        <v>1068.4</v>
      </c>
      <c r="Z40" s="3">
        <f t="shared" si="27"/>
        <v>6209.2</v>
      </c>
      <c r="AA40" s="14">
        <f t="shared" si="5"/>
        <v>581.1681018345189</v>
      </c>
      <c r="AB40" s="3">
        <v>0</v>
      </c>
      <c r="AC40" s="3">
        <v>0</v>
      </c>
      <c r="AD40" s="14">
        <v>0</v>
      </c>
      <c r="AE40" s="3"/>
      <c r="AF40" s="3"/>
      <c r="AG40" s="28" t="e">
        <f t="shared" si="31"/>
        <v>#DIV/0!</v>
      </c>
      <c r="AH40" s="3"/>
      <c r="AI40" s="3"/>
      <c r="AJ40" s="3">
        <f t="shared" si="12"/>
        <v>0</v>
      </c>
      <c r="AK40" s="3">
        <f t="shared" si="13"/>
        <v>0</v>
      </c>
      <c r="AL40" s="14" t="e">
        <f t="shared" si="20"/>
        <v>#DIV/0!</v>
      </c>
      <c r="AM40" s="3"/>
      <c r="AN40" s="3"/>
      <c r="AO40" s="3"/>
      <c r="AP40" s="3"/>
      <c r="AQ40" s="3"/>
      <c r="AR40" s="3"/>
      <c r="AS40" s="3">
        <f t="shared" si="14"/>
        <v>21261</v>
      </c>
      <c r="AT40" s="3">
        <f t="shared" si="15"/>
        <v>18189.7</v>
      </c>
      <c r="AU40" s="14">
        <f t="shared" si="28"/>
        <v>85.554301302855</v>
      </c>
      <c r="AV40" s="14">
        <f t="shared" si="29"/>
        <v>3071.2999999999993</v>
      </c>
      <c r="AW40" s="4">
        <f t="shared" si="30"/>
        <v>-0.6000000000021828</v>
      </c>
    </row>
    <row r="41" spans="1:49" s="43" customFormat="1" ht="26.25" customHeight="1">
      <c r="A41" s="6">
        <v>30</v>
      </c>
      <c r="B41" s="15" t="s">
        <v>121</v>
      </c>
      <c r="C41" s="2">
        <f>-253.6+(-95.3)</f>
        <v>-348.9</v>
      </c>
      <c r="D41" s="3">
        <f>8085.2+102.1</f>
        <v>8187.3</v>
      </c>
      <c r="E41" s="3">
        <f>0</f>
        <v>0</v>
      </c>
      <c r="F41" s="119">
        <f t="shared" si="22"/>
        <v>0</v>
      </c>
      <c r="G41" s="3">
        <f>7799.8+88</f>
        <v>7887.8</v>
      </c>
      <c r="H41" s="3">
        <f>7621.1+102.1</f>
        <v>7723.200000000001</v>
      </c>
      <c r="I41" s="14">
        <f t="shared" si="23"/>
        <v>97.9132330941454</v>
      </c>
      <c r="J41" s="3">
        <f>7436.1+88.5</f>
        <v>7524.6</v>
      </c>
      <c r="K41" s="3">
        <f>691.7+88</f>
        <v>779.7</v>
      </c>
      <c r="L41" s="14">
        <f t="shared" si="24"/>
        <v>10.362012598676342</v>
      </c>
      <c r="M41" s="3">
        <f t="shared" si="8"/>
        <v>23599.7</v>
      </c>
      <c r="N41" s="3">
        <f t="shared" si="9"/>
        <v>8502.900000000001</v>
      </c>
      <c r="O41" s="14">
        <f t="shared" si="2"/>
        <v>36.02969529273678</v>
      </c>
      <c r="P41" s="3">
        <f>832.9+13.5</f>
        <v>846.4</v>
      </c>
      <c r="Q41" s="3">
        <f>1898.7</f>
        <v>1898.7</v>
      </c>
      <c r="R41" s="14">
        <f t="shared" si="25"/>
        <v>224.3265595463138</v>
      </c>
      <c r="S41" s="3">
        <v>0</v>
      </c>
      <c r="T41" s="3">
        <v>3406.6</v>
      </c>
      <c r="U41" s="28" t="e">
        <f>T41/S41*100</f>
        <v>#DIV/0!</v>
      </c>
      <c r="V41" s="3">
        <f>0</f>
        <v>0</v>
      </c>
      <c r="W41" s="3">
        <f>2572.6</f>
        <v>2572.6</v>
      </c>
      <c r="X41" s="28" t="e">
        <f>W41/V41*100</f>
        <v>#DIV/0!</v>
      </c>
      <c r="Y41" s="3">
        <f t="shared" si="26"/>
        <v>846.4</v>
      </c>
      <c r="Z41" s="3">
        <f t="shared" si="27"/>
        <v>7877.9</v>
      </c>
      <c r="AA41" s="28">
        <f t="shared" si="5"/>
        <v>930.7537807183365</v>
      </c>
      <c r="AB41" s="3">
        <v>0</v>
      </c>
      <c r="AC41" s="3">
        <v>2596.1</v>
      </c>
      <c r="AD41" s="28" t="e">
        <f>AC41/AB41*100</f>
        <v>#DIV/0!</v>
      </c>
      <c r="AE41" s="3"/>
      <c r="AF41" s="3"/>
      <c r="AG41" s="28" t="e">
        <f t="shared" si="31"/>
        <v>#DIV/0!</v>
      </c>
      <c r="AH41" s="3"/>
      <c r="AI41" s="3"/>
      <c r="AJ41" s="3">
        <f t="shared" si="12"/>
        <v>0</v>
      </c>
      <c r="AK41" s="3">
        <f t="shared" si="13"/>
        <v>2596.1</v>
      </c>
      <c r="AL41" s="28" t="e">
        <f t="shared" si="20"/>
        <v>#DIV/0!</v>
      </c>
      <c r="AM41" s="3"/>
      <c r="AN41" s="3"/>
      <c r="AO41" s="3"/>
      <c r="AP41" s="3"/>
      <c r="AQ41" s="3"/>
      <c r="AR41" s="3"/>
      <c r="AS41" s="3">
        <f t="shared" si="14"/>
        <v>24446.100000000002</v>
      </c>
      <c r="AT41" s="3">
        <f t="shared" si="15"/>
        <v>18976.9</v>
      </c>
      <c r="AU41" s="119">
        <f t="shared" si="28"/>
        <v>77.62751522737778</v>
      </c>
      <c r="AV41" s="14">
        <f t="shared" si="29"/>
        <v>5469.200000000001</v>
      </c>
      <c r="AW41" s="4">
        <f t="shared" si="30"/>
        <v>5120.299999999999</v>
      </c>
    </row>
    <row r="42" spans="1:49" ht="27" customHeight="1">
      <c r="A42" s="6">
        <v>31</v>
      </c>
      <c r="B42" s="15" t="s">
        <v>122</v>
      </c>
      <c r="C42" s="2">
        <v>-0.5</v>
      </c>
      <c r="D42" s="3">
        <v>0</v>
      </c>
      <c r="E42" s="3">
        <v>0</v>
      </c>
      <c r="F42" s="28" t="e">
        <f t="shared" si="22"/>
        <v>#DIV/0!</v>
      </c>
      <c r="G42" s="3"/>
      <c r="H42" s="3"/>
      <c r="I42" s="28" t="e">
        <f t="shared" si="23"/>
        <v>#DIV/0!</v>
      </c>
      <c r="J42" s="3"/>
      <c r="K42" s="3"/>
      <c r="L42" s="28" t="e">
        <f t="shared" si="24"/>
        <v>#DIV/0!</v>
      </c>
      <c r="M42" s="3"/>
      <c r="N42" s="3"/>
      <c r="O42" s="28" t="e">
        <f t="shared" si="2"/>
        <v>#DIV/0!</v>
      </c>
      <c r="P42" s="3"/>
      <c r="Q42" s="3"/>
      <c r="R42" s="28" t="e">
        <f t="shared" si="25"/>
        <v>#DIV/0!</v>
      </c>
      <c r="S42" s="3"/>
      <c r="T42" s="3"/>
      <c r="U42" s="14"/>
      <c r="V42" s="3"/>
      <c r="W42" s="3"/>
      <c r="X42" s="14"/>
      <c r="Y42" s="3">
        <f t="shared" si="26"/>
        <v>0</v>
      </c>
      <c r="Z42" s="3">
        <f t="shared" si="27"/>
        <v>0</v>
      </c>
      <c r="AA42" s="28" t="e">
        <f t="shared" si="5"/>
        <v>#DIV/0!</v>
      </c>
      <c r="AB42" s="3"/>
      <c r="AC42" s="3"/>
      <c r="AD42" s="14">
        <v>0</v>
      </c>
      <c r="AE42" s="3"/>
      <c r="AF42" s="3"/>
      <c r="AG42" s="28" t="e">
        <f t="shared" si="31"/>
        <v>#DIV/0!</v>
      </c>
      <c r="AH42" s="3"/>
      <c r="AI42" s="3"/>
      <c r="AJ42" s="3">
        <f t="shared" si="12"/>
        <v>0</v>
      </c>
      <c r="AK42" s="3">
        <f t="shared" si="13"/>
        <v>0</v>
      </c>
      <c r="AL42" s="14" t="e">
        <f t="shared" si="20"/>
        <v>#DIV/0!</v>
      </c>
      <c r="AM42" s="3"/>
      <c r="AN42" s="3"/>
      <c r="AO42" s="3"/>
      <c r="AP42" s="3"/>
      <c r="AQ42" s="3"/>
      <c r="AR42" s="3"/>
      <c r="AS42" s="3"/>
      <c r="AT42" s="3"/>
      <c r="AU42" s="28"/>
      <c r="AV42" s="14">
        <f t="shared" si="29"/>
        <v>0</v>
      </c>
      <c r="AW42" s="4">
        <f t="shared" si="30"/>
        <v>-0.5</v>
      </c>
    </row>
    <row r="43" spans="1:49" s="43" customFormat="1" ht="29.25" customHeight="1">
      <c r="A43" s="6">
        <v>32</v>
      </c>
      <c r="B43" s="1" t="s">
        <v>123</v>
      </c>
      <c r="C43" s="2">
        <f>-70.5+(-932.8)</f>
        <v>-1003.3</v>
      </c>
      <c r="D43" s="3">
        <f>126.5+2509.2</f>
        <v>2635.7</v>
      </c>
      <c r="E43" s="3">
        <f>0</f>
        <v>0</v>
      </c>
      <c r="F43" s="14">
        <f t="shared" si="22"/>
        <v>0</v>
      </c>
      <c r="G43" s="3">
        <f>2280.1+120.8</f>
        <v>2400.9</v>
      </c>
      <c r="H43" s="3">
        <f>1643.2+70.6</f>
        <v>1713.8</v>
      </c>
      <c r="I43" s="14">
        <f t="shared" si="23"/>
        <v>71.38156524636594</v>
      </c>
      <c r="J43" s="3">
        <f>2118.8+112.2</f>
        <v>2231</v>
      </c>
      <c r="K43" s="3">
        <f>2219.9+121.2</f>
        <v>2341.1</v>
      </c>
      <c r="L43" s="14">
        <f t="shared" si="24"/>
        <v>104.9350067234424</v>
      </c>
      <c r="M43" s="3">
        <f t="shared" si="8"/>
        <v>7267.6</v>
      </c>
      <c r="N43" s="3">
        <f t="shared" si="9"/>
        <v>4054.8999999999996</v>
      </c>
      <c r="O43" s="14">
        <f t="shared" si="2"/>
        <v>55.79420991799218</v>
      </c>
      <c r="P43" s="3">
        <f>164+9</f>
        <v>173</v>
      </c>
      <c r="Q43" s="3">
        <f>2119.5+112.2</f>
        <v>2231.7</v>
      </c>
      <c r="R43" s="14">
        <f t="shared" si="25"/>
        <v>1289.9999999999998</v>
      </c>
      <c r="S43" s="3">
        <v>0</v>
      </c>
      <c r="T43" s="3">
        <v>172.8</v>
      </c>
      <c r="U43" s="28" t="e">
        <f>T43/S43*100</f>
        <v>#DIV/0!</v>
      </c>
      <c r="V43" s="3">
        <v>0</v>
      </c>
      <c r="W43" s="3">
        <v>0</v>
      </c>
      <c r="X43" s="28" t="e">
        <f>W43/V43*100</f>
        <v>#DIV/0!</v>
      </c>
      <c r="Y43" s="3">
        <f t="shared" si="26"/>
        <v>173</v>
      </c>
      <c r="Z43" s="3">
        <f t="shared" si="27"/>
        <v>2404.5</v>
      </c>
      <c r="AA43" s="28">
        <f t="shared" si="5"/>
        <v>1389.8843930635837</v>
      </c>
      <c r="AB43" s="3">
        <v>0</v>
      </c>
      <c r="AC43" s="3">
        <v>0</v>
      </c>
      <c r="AD43" s="33">
        <v>0</v>
      </c>
      <c r="AE43" s="3"/>
      <c r="AF43" s="3"/>
      <c r="AG43" s="28" t="e">
        <f t="shared" si="31"/>
        <v>#DIV/0!</v>
      </c>
      <c r="AH43" s="3"/>
      <c r="AI43" s="3"/>
      <c r="AJ43" s="3">
        <f t="shared" si="12"/>
        <v>0</v>
      </c>
      <c r="AK43" s="3">
        <f t="shared" si="13"/>
        <v>0</v>
      </c>
      <c r="AL43" s="28" t="e">
        <f t="shared" si="20"/>
        <v>#DIV/0!</v>
      </c>
      <c r="AM43" s="3"/>
      <c r="AN43" s="3"/>
      <c r="AO43" s="3"/>
      <c r="AP43" s="3"/>
      <c r="AQ43" s="3"/>
      <c r="AR43" s="3"/>
      <c r="AS43" s="3">
        <f t="shared" si="14"/>
        <v>7440.6</v>
      </c>
      <c r="AT43" s="3">
        <f t="shared" si="15"/>
        <v>6459.4</v>
      </c>
      <c r="AU43" s="14">
        <f t="shared" si="28"/>
        <v>86.81289143348654</v>
      </c>
      <c r="AV43" s="14">
        <f t="shared" si="29"/>
        <v>981.2000000000007</v>
      </c>
      <c r="AW43" s="4">
        <f t="shared" si="30"/>
        <v>-22.099999999999454</v>
      </c>
    </row>
    <row r="44" spans="1:49" s="43" customFormat="1" ht="23.25" customHeight="1">
      <c r="A44" s="6">
        <v>33</v>
      </c>
      <c r="B44" s="15" t="s">
        <v>124</v>
      </c>
      <c r="C44" s="2">
        <f>158.3-352.1</f>
        <v>-193.8</v>
      </c>
      <c r="D44" s="3">
        <f>1575.2+1117.9</f>
        <v>2693.1000000000004</v>
      </c>
      <c r="E44" s="3">
        <f>52.6+200</f>
        <v>252.6</v>
      </c>
      <c r="F44" s="14">
        <f t="shared" si="22"/>
        <v>9.37952545393784</v>
      </c>
      <c r="G44" s="3">
        <f>1523.9+1105.5</f>
        <v>2629.4</v>
      </c>
      <c r="H44" s="3">
        <f>1701.4+280.2</f>
        <v>1981.6000000000001</v>
      </c>
      <c r="I44" s="14">
        <f t="shared" si="23"/>
        <v>75.36320073020461</v>
      </c>
      <c r="J44" s="3">
        <f>1380.1+1052.7</f>
        <v>2432.8</v>
      </c>
      <c r="K44" s="3">
        <f>1502+485.6</f>
        <v>1987.6</v>
      </c>
      <c r="L44" s="14">
        <f t="shared" si="24"/>
        <v>81.70009865175928</v>
      </c>
      <c r="M44" s="3">
        <f>D44+G44+J44</f>
        <v>7755.3</v>
      </c>
      <c r="N44" s="3">
        <f>E44+H44+K44</f>
        <v>4221.8</v>
      </c>
      <c r="O44" s="14">
        <f t="shared" si="2"/>
        <v>54.43761040836589</v>
      </c>
      <c r="P44" s="3">
        <f>278.2+212.1</f>
        <v>490.29999999999995</v>
      </c>
      <c r="Q44" s="3">
        <f>1380.2+494</f>
        <v>1874.2</v>
      </c>
      <c r="R44" s="14">
        <f t="shared" si="25"/>
        <v>382.25576177850303</v>
      </c>
      <c r="S44" s="3">
        <f>107.1+68.4</f>
        <v>175.5</v>
      </c>
      <c r="T44" s="3">
        <f>279.6+335.3</f>
        <v>614.9000000000001</v>
      </c>
      <c r="U44" s="14"/>
      <c r="V44" s="3">
        <f>114+73.6</f>
        <v>187.6</v>
      </c>
      <c r="W44" s="3">
        <f>107.1+274.8</f>
        <v>381.9</v>
      </c>
      <c r="X44" s="14"/>
      <c r="Y44" s="3">
        <f>P44+S44+V44</f>
        <v>853.4</v>
      </c>
      <c r="Z44" s="3">
        <f>Q44+T44+W44</f>
        <v>2871.0000000000005</v>
      </c>
      <c r="AA44" s="14">
        <f t="shared" si="5"/>
        <v>336.4190297632998</v>
      </c>
      <c r="AB44" s="3">
        <f>115.2+73.2</f>
        <v>188.4</v>
      </c>
      <c r="AC44" s="3">
        <f>229.8+438.4</f>
        <v>668.2</v>
      </c>
      <c r="AD44" s="14"/>
      <c r="AE44" s="3"/>
      <c r="AF44" s="3"/>
      <c r="AG44" s="28" t="e">
        <f t="shared" si="31"/>
        <v>#DIV/0!</v>
      </c>
      <c r="AH44" s="3"/>
      <c r="AI44" s="3"/>
      <c r="AJ44" s="3">
        <f t="shared" si="12"/>
        <v>188.4</v>
      </c>
      <c r="AK44" s="3">
        <f t="shared" si="13"/>
        <v>668.2</v>
      </c>
      <c r="AL44" s="14">
        <f t="shared" si="20"/>
        <v>354.67091295116774</v>
      </c>
      <c r="AM44" s="3"/>
      <c r="AN44" s="3"/>
      <c r="AO44" s="3"/>
      <c r="AP44" s="3"/>
      <c r="AQ44" s="3"/>
      <c r="AR44" s="3"/>
      <c r="AS44" s="3">
        <f t="shared" si="14"/>
        <v>8797.1</v>
      </c>
      <c r="AT44" s="3">
        <f t="shared" si="15"/>
        <v>7761.000000000001</v>
      </c>
      <c r="AU44" s="14">
        <f t="shared" si="28"/>
        <v>88.22225506132703</v>
      </c>
      <c r="AV44" s="14">
        <f t="shared" si="29"/>
        <v>1036.0999999999995</v>
      </c>
      <c r="AW44" s="4">
        <f t="shared" si="30"/>
        <v>842.3000000000002</v>
      </c>
    </row>
    <row r="45" spans="1:49" s="8" customFormat="1" ht="24.75" customHeight="1">
      <c r="A45" s="38">
        <v>34</v>
      </c>
      <c r="B45" s="16" t="s">
        <v>40</v>
      </c>
      <c r="C45" s="48">
        <f>C46+C47</f>
        <v>163990</v>
      </c>
      <c r="D45" s="48">
        <f>D46+D47</f>
        <v>73804.1</v>
      </c>
      <c r="E45" s="48">
        <f>E46+E47</f>
        <v>16829</v>
      </c>
      <c r="F45" s="14">
        <f t="shared" si="22"/>
        <v>22.80225624321684</v>
      </c>
      <c r="G45" s="48">
        <f>G46+G47</f>
        <v>84331.3</v>
      </c>
      <c r="H45" s="48">
        <f>H46+H47</f>
        <v>85244.1</v>
      </c>
      <c r="I45" s="14">
        <f>H45/G45*100</f>
        <v>101.08239763883635</v>
      </c>
      <c r="J45" s="48">
        <f>J46+J47</f>
        <v>82491.8</v>
      </c>
      <c r="K45" s="48">
        <f>K46+K47</f>
        <v>87378</v>
      </c>
      <c r="L45" s="14">
        <f t="shared" si="24"/>
        <v>105.92325540235514</v>
      </c>
      <c r="M45" s="48">
        <f>M46+M47</f>
        <v>240627.2</v>
      </c>
      <c r="N45" s="48">
        <f>N46+N47</f>
        <v>189451.1</v>
      </c>
      <c r="O45" s="14">
        <f t="shared" si="2"/>
        <v>78.7322048380233</v>
      </c>
      <c r="P45" s="48">
        <f>P46+P47</f>
        <v>40139.9</v>
      </c>
      <c r="Q45" s="48">
        <f>Q46+Q47</f>
        <v>72178.4</v>
      </c>
      <c r="R45" s="14">
        <f>Q45/P45*100</f>
        <v>179.81708972867395</v>
      </c>
      <c r="S45" s="48">
        <f>S46+S47</f>
        <v>2720.7</v>
      </c>
      <c r="T45" s="48">
        <f>T46+T47</f>
        <v>45908.4</v>
      </c>
      <c r="U45" s="14">
        <f>T45/S45*100</f>
        <v>1687.374572720256</v>
      </c>
      <c r="V45" s="48">
        <f>V46+V47</f>
        <v>1632.7</v>
      </c>
      <c r="W45" s="48">
        <f>W46+W47</f>
        <v>5209.6</v>
      </c>
      <c r="X45" s="14">
        <f>W45/V45*100</f>
        <v>319.0788264837386</v>
      </c>
      <c r="Y45" s="48">
        <f>Y46+Y47</f>
        <v>44493.3</v>
      </c>
      <c r="Z45" s="48">
        <f>Z46+Z47</f>
        <v>123296.4</v>
      </c>
      <c r="AA45" s="14">
        <f t="shared" si="5"/>
        <v>277.1122843214596</v>
      </c>
      <c r="AB45" s="48">
        <f>AB46+AB47</f>
        <v>759.4</v>
      </c>
      <c r="AC45" s="48">
        <f>AC46+AC47</f>
        <v>12136</v>
      </c>
      <c r="AD45" s="14">
        <f>AC45/AB45*100</f>
        <v>1598.1037661311564</v>
      </c>
      <c r="AE45" s="48">
        <f>AE46+AE47</f>
        <v>0</v>
      </c>
      <c r="AF45" s="48">
        <f>AF46+AF47</f>
        <v>0</v>
      </c>
      <c r="AG45" s="28" t="e">
        <f>AF45/AE45*100</f>
        <v>#DIV/0!</v>
      </c>
      <c r="AH45" s="48">
        <f>AH46+AH47</f>
        <v>0</v>
      </c>
      <c r="AI45" s="48">
        <f>AI46+AI47</f>
        <v>0</v>
      </c>
      <c r="AJ45" s="48">
        <f>AJ46+AJ47</f>
        <v>759.4</v>
      </c>
      <c r="AK45" s="48">
        <f>AK46+AK47</f>
        <v>12136</v>
      </c>
      <c r="AL45" s="14">
        <f t="shared" si="20"/>
        <v>1598.1037661311564</v>
      </c>
      <c r="AM45" s="48">
        <f aca="true" t="shared" si="32" ref="AM45:AT45">AM46+AM47</f>
        <v>0</v>
      </c>
      <c r="AN45" s="48">
        <f t="shared" si="32"/>
        <v>0</v>
      </c>
      <c r="AO45" s="48">
        <f t="shared" si="32"/>
        <v>0</v>
      </c>
      <c r="AP45" s="48">
        <f t="shared" si="32"/>
        <v>0</v>
      </c>
      <c r="AQ45" s="48">
        <f>AQ46+AQ47</f>
        <v>0</v>
      </c>
      <c r="AR45" s="48">
        <f>AR46+AR47</f>
        <v>0</v>
      </c>
      <c r="AS45" s="48">
        <f t="shared" si="32"/>
        <v>285879.9</v>
      </c>
      <c r="AT45" s="48">
        <f t="shared" si="32"/>
        <v>324883.5</v>
      </c>
      <c r="AU45" s="14">
        <f>AT45/AS45*100</f>
        <v>113.64335163122693</v>
      </c>
      <c r="AV45" s="49">
        <f>AV46+AV47</f>
        <v>-39003.6</v>
      </c>
      <c r="AW45" s="49">
        <f>AW46+AW47</f>
        <v>124986.4</v>
      </c>
    </row>
    <row r="46" spans="1:49" s="8" customFormat="1" ht="24.75" customHeight="1">
      <c r="A46" s="38"/>
      <c r="B46" s="1" t="s">
        <v>41</v>
      </c>
      <c r="C46" s="2">
        <f>1222+162768</f>
        <v>163990</v>
      </c>
      <c r="D46" s="3">
        <f>16495+55646</f>
        <v>72141</v>
      </c>
      <c r="E46" s="3">
        <f>2132+13723</f>
        <v>15855</v>
      </c>
      <c r="F46" s="14">
        <f t="shared" si="22"/>
        <v>21.97779348775315</v>
      </c>
      <c r="G46" s="3">
        <f>20145+62190</f>
        <v>82335</v>
      </c>
      <c r="H46" s="3">
        <f>18134+64511</f>
        <v>82645</v>
      </c>
      <c r="I46" s="14">
        <f t="shared" si="23"/>
        <v>100.37651059695148</v>
      </c>
      <c r="J46" s="3">
        <f>19342+61071</f>
        <v>80413</v>
      </c>
      <c r="K46" s="3">
        <f>22743+62470</f>
        <v>85213</v>
      </c>
      <c r="L46" s="14">
        <f>K46/J46*100</f>
        <v>105.96918408715008</v>
      </c>
      <c r="M46" s="3">
        <f>D46+G46+J46</f>
        <v>234889</v>
      </c>
      <c r="N46" s="3">
        <f>E46+H46+K46</f>
        <v>183713</v>
      </c>
      <c r="O46" s="14">
        <f t="shared" si="2"/>
        <v>78.21268769503892</v>
      </c>
      <c r="P46" s="3">
        <f>10012+29184</f>
        <v>39196</v>
      </c>
      <c r="Q46" s="3">
        <f>15605+55630</f>
        <v>71235</v>
      </c>
      <c r="R46" s="14">
        <f>Q46/P46*100</f>
        <v>181.74048372282886</v>
      </c>
      <c r="S46" s="3">
        <f>733+1756</f>
        <v>2489</v>
      </c>
      <c r="T46" s="3">
        <f>6926+38750</f>
        <v>45676</v>
      </c>
      <c r="U46" s="14">
        <f>T46/S46*100</f>
        <v>1835.1145038167938</v>
      </c>
      <c r="V46" s="3">
        <f>358+1205</f>
        <v>1563</v>
      </c>
      <c r="W46" s="3">
        <f>589+4551</f>
        <v>5140</v>
      </c>
      <c r="X46" s="14">
        <f>W46/V46*100</f>
        <v>328.8547664747281</v>
      </c>
      <c r="Y46" s="3">
        <f>P46+S46+V46</f>
        <v>43248</v>
      </c>
      <c r="Z46" s="3">
        <f>Q46+T46+W46</f>
        <v>122051</v>
      </c>
      <c r="AA46" s="14">
        <f t="shared" si="5"/>
        <v>282.2118941916389</v>
      </c>
      <c r="AB46" s="3">
        <f>209+376</f>
        <v>585</v>
      </c>
      <c r="AC46" s="3">
        <f>222+11914</f>
        <v>12136</v>
      </c>
      <c r="AD46" s="14">
        <f>AC46/AB46*100</f>
        <v>2074.5299145299145</v>
      </c>
      <c r="AE46" s="44"/>
      <c r="AF46" s="44"/>
      <c r="AG46" s="28" t="e">
        <f>AF46/AE46*100</f>
        <v>#DIV/0!</v>
      </c>
      <c r="AH46" s="44"/>
      <c r="AI46" s="44"/>
      <c r="AJ46" s="3">
        <f>AB46+AE46+AH46</f>
        <v>585</v>
      </c>
      <c r="AK46" s="3">
        <f>AC46+AF46+AI46</f>
        <v>12136</v>
      </c>
      <c r="AL46" s="14">
        <f t="shared" si="20"/>
        <v>2074.5299145299145</v>
      </c>
      <c r="AM46" s="44"/>
      <c r="AN46" s="44"/>
      <c r="AO46" s="44"/>
      <c r="AP46" s="44"/>
      <c r="AQ46" s="44"/>
      <c r="AR46" s="44"/>
      <c r="AS46" s="3">
        <f>M46+Y46+AJ46+AM46+AO46+AQ46</f>
        <v>278722</v>
      </c>
      <c r="AT46" s="3">
        <f>N46+Z46+AK46+AN46+AP46+AR46</f>
        <v>317900</v>
      </c>
      <c r="AU46" s="14">
        <f>AT46/AS46*100</f>
        <v>114.0562998256327</v>
      </c>
      <c r="AV46" s="14">
        <f>AS46-AT46</f>
        <v>-39178</v>
      </c>
      <c r="AW46" s="4">
        <f>C46+AS46-AT46</f>
        <v>124812</v>
      </c>
    </row>
    <row r="47" spans="1:49" s="8" customFormat="1" ht="24.75" customHeight="1">
      <c r="A47" s="38"/>
      <c r="B47" s="1" t="s">
        <v>35</v>
      </c>
      <c r="C47" s="2">
        <v>0</v>
      </c>
      <c r="D47" s="3">
        <v>1663.1</v>
      </c>
      <c r="E47" s="3">
        <v>974</v>
      </c>
      <c r="F47" s="14">
        <f t="shared" si="22"/>
        <v>58.56532980578438</v>
      </c>
      <c r="G47" s="44">
        <v>1996.3</v>
      </c>
      <c r="H47" s="44">
        <v>2599.1</v>
      </c>
      <c r="I47" s="14">
        <f t="shared" si="23"/>
        <v>130.1958623453389</v>
      </c>
      <c r="J47" s="44">
        <v>2078.8</v>
      </c>
      <c r="K47" s="44">
        <v>2165</v>
      </c>
      <c r="L47" s="14">
        <f>K47/J47*100</f>
        <v>104.14662305176061</v>
      </c>
      <c r="M47" s="3">
        <f>D47+G47+J47</f>
        <v>5738.2</v>
      </c>
      <c r="N47" s="3">
        <f>E47+H47+K47</f>
        <v>5738.1</v>
      </c>
      <c r="O47" s="14">
        <f t="shared" si="2"/>
        <v>99.99825729322785</v>
      </c>
      <c r="P47" s="44">
        <v>943.9</v>
      </c>
      <c r="Q47" s="44">
        <v>943.4</v>
      </c>
      <c r="R47" s="14">
        <f>Q47/P47*100</f>
        <v>99.9470282868948</v>
      </c>
      <c r="S47" s="44">
        <v>231.7</v>
      </c>
      <c r="T47" s="44">
        <v>232.4</v>
      </c>
      <c r="U47" s="14">
        <f>T47/S47*100</f>
        <v>100.30211480362539</v>
      </c>
      <c r="V47" s="44">
        <v>69.7</v>
      </c>
      <c r="W47" s="44">
        <v>69.6</v>
      </c>
      <c r="X47" s="14">
        <f>W47/V47*100</f>
        <v>99.85652797704446</v>
      </c>
      <c r="Y47" s="3">
        <f>P47+S47+V47</f>
        <v>1245.3</v>
      </c>
      <c r="Z47" s="3">
        <f>Q47+T47+W47</f>
        <v>1245.3999999999999</v>
      </c>
      <c r="AA47" s="14">
        <f t="shared" si="5"/>
        <v>100.00803019352766</v>
      </c>
      <c r="AB47" s="44">
        <v>174.4</v>
      </c>
      <c r="AC47" s="44">
        <v>0</v>
      </c>
      <c r="AD47" s="14">
        <f>AC47/AB47*100</f>
        <v>0</v>
      </c>
      <c r="AE47" s="44"/>
      <c r="AF47" s="44"/>
      <c r="AG47" s="36" t="e">
        <f>AF47/AE47*100</f>
        <v>#DIV/0!</v>
      </c>
      <c r="AH47" s="44"/>
      <c r="AI47" s="44"/>
      <c r="AJ47" s="3">
        <f>AB47+AE47+AH47</f>
        <v>174.4</v>
      </c>
      <c r="AK47" s="3">
        <f>AC47+AF47+AI47</f>
        <v>0</v>
      </c>
      <c r="AL47" s="14">
        <f t="shared" si="20"/>
        <v>0</v>
      </c>
      <c r="AM47" s="44"/>
      <c r="AN47" s="44"/>
      <c r="AO47" s="44"/>
      <c r="AP47" s="44"/>
      <c r="AQ47" s="44"/>
      <c r="AR47" s="44"/>
      <c r="AS47" s="3">
        <f>M47+Y47+AJ47+AM47+AO47+AQ47</f>
        <v>7157.9</v>
      </c>
      <c r="AT47" s="3">
        <f>N47+Z47+AK47+AN47+AP47+AR47</f>
        <v>6983.5</v>
      </c>
      <c r="AU47" s="14">
        <f>AT47/AS47*100</f>
        <v>97.56353120328588</v>
      </c>
      <c r="AV47" s="14">
        <f>AS47-AT47</f>
        <v>174.39999999999964</v>
      </c>
      <c r="AW47" s="4">
        <f>C47+AS47-AT47</f>
        <v>174.39999999999964</v>
      </c>
    </row>
    <row r="48" spans="1:51" s="8" customFormat="1" ht="24.75" customHeight="1">
      <c r="A48" s="38"/>
      <c r="B48" s="16" t="s">
        <v>42</v>
      </c>
      <c r="C48" s="48">
        <f>C7+C45</f>
        <v>148345</v>
      </c>
      <c r="D48" s="4">
        <f>D45+D7</f>
        <v>141777.7</v>
      </c>
      <c r="E48" s="4">
        <f>E45+E7</f>
        <v>40407.6</v>
      </c>
      <c r="F48" s="14">
        <f t="shared" si="22"/>
        <v>28.500673942375983</v>
      </c>
      <c r="G48" s="4">
        <f>G7+G45</f>
        <v>150135.3</v>
      </c>
      <c r="H48" s="4">
        <f>H7+H45</f>
        <v>136775.90000000002</v>
      </c>
      <c r="I48" s="14">
        <f>H48/G48*100</f>
        <v>91.10175954622267</v>
      </c>
      <c r="J48" s="4">
        <f>J7+J45</f>
        <v>147733.4</v>
      </c>
      <c r="K48" s="4">
        <f>K7+K45</f>
        <v>128997.4</v>
      </c>
      <c r="L48" s="14">
        <f>K48/J48*100</f>
        <v>87.31769525374763</v>
      </c>
      <c r="M48" s="4">
        <f>M7+M45</f>
        <v>439646.4</v>
      </c>
      <c r="N48" s="4">
        <f>N7+N45</f>
        <v>306180.9</v>
      </c>
      <c r="O48" s="14">
        <f t="shared" si="2"/>
        <v>69.64253545576628</v>
      </c>
      <c r="P48" s="4">
        <f>P7+P45</f>
        <v>48704.8</v>
      </c>
      <c r="Q48" s="4">
        <f>Q7+Q45</f>
        <v>104844.2</v>
      </c>
      <c r="R48" s="14">
        <f>Q48/P48*100</f>
        <v>215.26461457597605</v>
      </c>
      <c r="S48" s="4">
        <f>S7+S45</f>
        <v>3356.1</v>
      </c>
      <c r="T48" s="4">
        <f>T7+T45</f>
        <v>61754.8</v>
      </c>
      <c r="U48" s="14">
        <f>T48/S48*100</f>
        <v>1840.0762790143322</v>
      </c>
      <c r="V48" s="4">
        <f>V7+V45</f>
        <v>2298.8</v>
      </c>
      <c r="W48" s="4">
        <f>W7+W45</f>
        <v>21294.9</v>
      </c>
      <c r="X48" s="14">
        <f>W48/V48*100</f>
        <v>926.3485296676527</v>
      </c>
      <c r="Y48" s="4">
        <f>Y7+Y45</f>
        <v>54359.700000000004</v>
      </c>
      <c r="Z48" s="4">
        <f>Z7+Z45</f>
        <v>187893.9</v>
      </c>
      <c r="AA48" s="14">
        <f t="shared" si="5"/>
        <v>345.64925854999194</v>
      </c>
      <c r="AB48" s="4">
        <f>AB7+AB45</f>
        <v>1469.6999999999998</v>
      </c>
      <c r="AC48" s="4">
        <f>AC7+AC45</f>
        <v>18879.1</v>
      </c>
      <c r="AD48" s="14">
        <f>AC48/AB48*100</f>
        <v>1284.554671021297</v>
      </c>
      <c r="AE48" s="4">
        <f>AE7+AE45</f>
        <v>0</v>
      </c>
      <c r="AF48" s="4">
        <f>AF7+AF45</f>
        <v>0</v>
      </c>
      <c r="AG48" s="14" t="e">
        <f>AF48/AE48*100</f>
        <v>#DIV/0!</v>
      </c>
      <c r="AH48" s="4">
        <f>AH7+AH45</f>
        <v>0</v>
      </c>
      <c r="AI48" s="4">
        <f>AI7+AI45</f>
        <v>0</v>
      </c>
      <c r="AJ48" s="4">
        <f>AJ7+AJ45</f>
        <v>1469.6999999999998</v>
      </c>
      <c r="AK48" s="4">
        <f>AK7+AK45</f>
        <v>18879.1</v>
      </c>
      <c r="AL48" s="14">
        <f t="shared" si="20"/>
        <v>1284.554671021297</v>
      </c>
      <c r="AM48" s="4">
        <f aca="true" t="shared" si="33" ref="AM48:AT48">AM7+AM45</f>
        <v>0</v>
      </c>
      <c r="AN48" s="4">
        <f t="shared" si="33"/>
        <v>0</v>
      </c>
      <c r="AO48" s="4">
        <f t="shared" si="33"/>
        <v>0</v>
      </c>
      <c r="AP48" s="4">
        <f t="shared" si="33"/>
        <v>0</v>
      </c>
      <c r="AQ48" s="4">
        <f>AQ7+AQ45</f>
        <v>0</v>
      </c>
      <c r="AR48" s="4">
        <f>AR7+AR45</f>
        <v>0</v>
      </c>
      <c r="AS48" s="4">
        <f t="shared" si="33"/>
        <v>495475.80000000005</v>
      </c>
      <c r="AT48" s="4">
        <f t="shared" si="33"/>
        <v>512953.9</v>
      </c>
      <c r="AU48" s="14">
        <f>AT48/AS48*100</f>
        <v>103.52753858008808</v>
      </c>
      <c r="AV48" s="49">
        <f>AV7+AV45</f>
        <v>-17478.100000000002</v>
      </c>
      <c r="AW48" s="49">
        <f>AW7+AW45</f>
        <v>130866.9</v>
      </c>
      <c r="AX48" s="20">
        <f>AS48-AT48</f>
        <v>-17478.099999999977</v>
      </c>
      <c r="AY48" s="18">
        <f>C48+AS48-AT48</f>
        <v>130866.90000000002</v>
      </c>
    </row>
    <row r="49" spans="2:49" ht="37.5" customHeight="1">
      <c r="B49" s="70"/>
      <c r="C49" s="71"/>
      <c r="D49" s="72"/>
      <c r="E49" s="72"/>
      <c r="F49" s="73" t="e">
        <f t="shared" si="22"/>
        <v>#DIV/0!</v>
      </c>
      <c r="G49" s="27"/>
      <c r="H49" s="27"/>
      <c r="I49" s="65"/>
      <c r="J49" s="27"/>
      <c r="K49" s="27"/>
      <c r="L49" s="65"/>
      <c r="M49" s="65"/>
      <c r="N49" s="65"/>
      <c r="O49" s="65"/>
      <c r="P49" s="27"/>
      <c r="Q49" s="27"/>
      <c r="R49" s="65"/>
      <c r="S49" s="27"/>
      <c r="T49" s="27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5"/>
      <c r="AK49" s="65"/>
      <c r="AL49" s="65"/>
      <c r="AM49" s="65"/>
      <c r="AN49" s="65"/>
      <c r="AO49" s="65"/>
      <c r="AP49" s="65"/>
      <c r="AQ49" s="65"/>
      <c r="AR49" s="65"/>
      <c r="AS49" s="27"/>
      <c r="AT49" s="27"/>
      <c r="AU49" s="65"/>
      <c r="AV49" s="27"/>
      <c r="AW49" s="27"/>
    </row>
    <row r="50" spans="2:49" ht="33.75" customHeight="1">
      <c r="B50" s="158"/>
      <c r="C50" s="158"/>
      <c r="D50" s="158"/>
      <c r="E50" s="158"/>
      <c r="F50" s="158"/>
      <c r="G50" s="27"/>
      <c r="H50" s="27"/>
      <c r="I50" s="65"/>
      <c r="J50" s="27"/>
      <c r="K50" s="27"/>
      <c r="L50" s="65"/>
      <c r="M50" s="65"/>
      <c r="N50" s="65"/>
      <c r="O50" s="65"/>
      <c r="P50" s="27"/>
      <c r="Q50" s="27"/>
      <c r="R50" s="65"/>
      <c r="S50" s="27"/>
      <c r="T50" s="27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65"/>
      <c r="AJ50" s="65"/>
      <c r="AK50" s="65"/>
      <c r="AL50" s="65"/>
      <c r="AM50" s="65"/>
      <c r="AN50" s="65"/>
      <c r="AO50" s="65"/>
      <c r="AP50" s="65"/>
      <c r="AQ50" s="65"/>
      <c r="AR50" s="65"/>
      <c r="AS50" s="27"/>
      <c r="AT50" s="27"/>
      <c r="AU50" s="65"/>
      <c r="AV50" s="27"/>
      <c r="AW50" s="27"/>
    </row>
    <row r="51" spans="1:49" ht="18.75" customHeight="1" hidden="1">
      <c r="A51" s="6"/>
      <c r="B51" s="8" t="s">
        <v>45</v>
      </c>
      <c r="C51" s="71"/>
      <c r="D51" s="74"/>
      <c r="E51" s="74"/>
      <c r="F51" s="75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8"/>
    </row>
    <row r="52" spans="2:49" ht="6.75" customHeight="1" hidden="1">
      <c r="B52" s="8"/>
      <c r="C52" s="71"/>
      <c r="D52" s="76"/>
      <c r="E52" s="76"/>
      <c r="F52" s="75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8"/>
    </row>
    <row r="53" spans="1:49" ht="18.75" customHeight="1" hidden="1">
      <c r="A53" s="6"/>
      <c r="B53" s="8" t="s">
        <v>46</v>
      </c>
      <c r="C53" s="71"/>
      <c r="D53" s="74"/>
      <c r="E53" s="74"/>
      <c r="F53" s="75"/>
      <c r="G53" s="31"/>
      <c r="H53" s="31"/>
      <c r="I53" s="55"/>
      <c r="J53" s="31"/>
      <c r="K53" s="31"/>
      <c r="L53" s="55"/>
      <c r="M53" s="55"/>
      <c r="N53" s="55"/>
      <c r="O53" s="55"/>
      <c r="P53" s="31"/>
      <c r="Q53" s="31"/>
      <c r="R53" s="55"/>
      <c r="S53" s="31"/>
      <c r="T53" s="31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6"/>
      <c r="AT53" s="56"/>
      <c r="AU53" s="55"/>
      <c r="AV53" s="31"/>
      <c r="AW53" s="57" t="s">
        <v>57</v>
      </c>
    </row>
    <row r="54" spans="2:49" ht="24.75" customHeight="1">
      <c r="B54" s="8"/>
      <c r="C54" s="71"/>
      <c r="D54" s="72"/>
      <c r="E54" s="72"/>
      <c r="F54" s="75"/>
      <c r="G54" s="31"/>
      <c r="H54" s="31"/>
      <c r="I54" s="55"/>
      <c r="J54" s="31"/>
      <c r="K54" s="31"/>
      <c r="L54" s="55"/>
      <c r="M54" s="55"/>
      <c r="N54" s="55"/>
      <c r="O54" s="55"/>
      <c r="P54" s="31"/>
      <c r="Q54" s="31"/>
      <c r="R54" s="55"/>
      <c r="S54" s="31"/>
      <c r="T54" s="31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31"/>
      <c r="AT54" s="31"/>
      <c r="AU54" s="55"/>
      <c r="AV54" s="31"/>
      <c r="AW54" s="31"/>
    </row>
    <row r="55" spans="1:49" s="64" customFormat="1" ht="48.75" customHeight="1">
      <c r="A55" s="59"/>
      <c r="B55" s="150" t="s">
        <v>61</v>
      </c>
      <c r="C55" s="150"/>
      <c r="D55" s="150"/>
      <c r="E55" s="60"/>
      <c r="F55" s="61"/>
      <c r="G55" s="62"/>
      <c r="H55" s="62"/>
      <c r="I55" s="61"/>
      <c r="J55" s="62"/>
      <c r="K55" s="62"/>
      <c r="L55" s="61"/>
      <c r="M55" s="61"/>
      <c r="N55" s="61"/>
      <c r="O55" s="61"/>
      <c r="P55" s="62"/>
      <c r="Q55" s="62"/>
      <c r="R55" s="61"/>
      <c r="S55" s="62"/>
      <c r="T55" s="62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0"/>
      <c r="AT55" s="60"/>
      <c r="AU55" s="61"/>
      <c r="AV55" s="62"/>
      <c r="AW55" s="63" t="s">
        <v>60</v>
      </c>
    </row>
    <row r="56" spans="2:49" ht="46.5" customHeight="1" hidden="1">
      <c r="B56" s="159" t="s">
        <v>9</v>
      </c>
      <c r="C56" s="159"/>
      <c r="D56" s="8"/>
      <c r="E56" s="8"/>
      <c r="G56" s="27"/>
      <c r="H56" s="27"/>
      <c r="I56" s="65"/>
      <c r="J56" s="27"/>
      <c r="K56" s="27"/>
      <c r="L56" s="65"/>
      <c r="M56" s="65"/>
      <c r="N56" s="65"/>
      <c r="O56" s="65"/>
      <c r="P56" s="27"/>
      <c r="Q56" s="27"/>
      <c r="R56" s="65"/>
      <c r="S56" s="27"/>
      <c r="T56" s="27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65"/>
      <c r="AK56" s="65"/>
      <c r="AL56" s="65"/>
      <c r="AM56" s="65"/>
      <c r="AN56" s="65"/>
      <c r="AO56" s="65"/>
      <c r="AP56" s="65"/>
      <c r="AQ56" s="65"/>
      <c r="AR56" s="65"/>
      <c r="AS56" s="27"/>
      <c r="AT56" s="27"/>
      <c r="AU56" s="65"/>
      <c r="AV56" s="27"/>
      <c r="AW56" s="27"/>
    </row>
    <row r="57" spans="1:52" ht="73.5" customHeight="1">
      <c r="A57" s="151" t="s">
        <v>59</v>
      </c>
      <c r="B57" s="151"/>
      <c r="C57" s="151"/>
      <c r="D57" s="56"/>
      <c r="E57" s="56"/>
      <c r="F57" s="55"/>
      <c r="G57" s="3">
        <v>142.7</v>
      </c>
      <c r="H57" s="3">
        <v>103.3</v>
      </c>
      <c r="I57" s="14"/>
      <c r="J57" s="3">
        <v>142.7</v>
      </c>
      <c r="K57" s="3">
        <v>103.3</v>
      </c>
      <c r="L57" s="14"/>
      <c r="M57" s="14"/>
      <c r="N57" s="14"/>
      <c r="O57" s="14"/>
      <c r="P57" s="3">
        <v>142.7</v>
      </c>
      <c r="Q57" s="3">
        <v>103.3</v>
      </c>
      <c r="R57" s="14"/>
      <c r="S57" s="3">
        <v>142.7</v>
      </c>
      <c r="T57" s="3">
        <v>103.3</v>
      </c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3">
        <v>1154.2</v>
      </c>
      <c r="AT57" s="3">
        <v>1213.3</v>
      </c>
      <c r="AU57" s="14"/>
      <c r="AV57" s="3"/>
      <c r="AW57" s="4">
        <f>C57+D57-E57</f>
        <v>0</v>
      </c>
      <c r="AX57" s="31"/>
      <c r="AY57" s="55"/>
      <c r="AZ57" s="57" t="s">
        <v>57</v>
      </c>
    </row>
    <row r="58" spans="2:49" ht="18.75">
      <c r="B58" s="5" t="s">
        <v>11</v>
      </c>
      <c r="C58" s="77">
        <v>278.9</v>
      </c>
      <c r="D58" s="3">
        <v>761.9</v>
      </c>
      <c r="E58" s="3">
        <v>1041</v>
      </c>
      <c r="F58" s="14"/>
      <c r="G58" s="27"/>
      <c r="H58" s="27"/>
      <c r="I58" s="65"/>
      <c r="J58" s="27"/>
      <c r="K58" s="27"/>
      <c r="L58" s="65"/>
      <c r="M58" s="65"/>
      <c r="N58" s="65"/>
      <c r="O58" s="65"/>
      <c r="P58" s="27"/>
      <c r="Q58" s="27"/>
      <c r="R58" s="65"/>
      <c r="S58" s="27"/>
      <c r="T58" s="27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5"/>
      <c r="AI58" s="65"/>
      <c r="AJ58" s="65"/>
      <c r="AK58" s="65"/>
      <c r="AL58" s="65"/>
      <c r="AM58" s="65"/>
      <c r="AN58" s="65"/>
      <c r="AO58" s="65"/>
      <c r="AP58" s="65"/>
      <c r="AQ58" s="65"/>
      <c r="AR58" s="65"/>
      <c r="AS58" s="27">
        <v>1415.7</v>
      </c>
      <c r="AT58" s="27">
        <v>1436.1</v>
      </c>
      <c r="AU58" s="65"/>
      <c r="AV58" s="27"/>
      <c r="AW58" s="4">
        <f>C58+D58-E58</f>
        <v>-0.20000000000004547</v>
      </c>
    </row>
    <row r="59" spans="2:49" ht="18.75">
      <c r="B59" s="5" t="s">
        <v>12</v>
      </c>
      <c r="C59" s="66">
        <v>923.4</v>
      </c>
      <c r="D59" s="31">
        <v>2513</v>
      </c>
      <c r="E59" s="31">
        <v>3352.9</v>
      </c>
      <c r="F59" s="55"/>
      <c r="G59" s="27"/>
      <c r="H59" s="27"/>
      <c r="I59" s="65"/>
      <c r="J59" s="27"/>
      <c r="K59" s="27"/>
      <c r="L59" s="65"/>
      <c r="M59" s="65"/>
      <c r="N59" s="65"/>
      <c r="O59" s="65"/>
      <c r="P59" s="27"/>
      <c r="Q59" s="27"/>
      <c r="R59" s="65"/>
      <c r="S59" s="27"/>
      <c r="T59" s="27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O59" s="65"/>
      <c r="AP59" s="65"/>
      <c r="AQ59" s="65"/>
      <c r="AR59" s="65"/>
      <c r="AS59" s="27"/>
      <c r="AT59" s="27"/>
      <c r="AU59" s="65"/>
      <c r="AV59" s="27"/>
      <c r="AW59" s="27"/>
    </row>
    <row r="60" spans="3:49" ht="24.75" customHeight="1">
      <c r="C60" s="66"/>
      <c r="D60" s="31"/>
      <c r="E60" s="31"/>
      <c r="F60" s="55"/>
      <c r="G60" s="27"/>
      <c r="H60" s="27"/>
      <c r="I60" s="65"/>
      <c r="J60" s="27"/>
      <c r="K60" s="27"/>
      <c r="L60" s="65"/>
      <c r="M60" s="65"/>
      <c r="N60" s="65"/>
      <c r="O60" s="65"/>
      <c r="P60" s="27"/>
      <c r="Q60" s="27"/>
      <c r="R60" s="65"/>
      <c r="S60" s="27"/>
      <c r="T60" s="27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65"/>
      <c r="AL60" s="65"/>
      <c r="AM60" s="65"/>
      <c r="AN60" s="65"/>
      <c r="AO60" s="65"/>
      <c r="AP60" s="65"/>
      <c r="AQ60" s="65"/>
      <c r="AR60" s="65"/>
      <c r="AS60" s="27"/>
      <c r="AT60" s="27"/>
      <c r="AU60" s="65"/>
      <c r="AV60" s="27"/>
      <c r="AW60" s="27"/>
    </row>
    <row r="61" spans="3:49" ht="24.75" customHeight="1">
      <c r="C61" s="66"/>
      <c r="D61" s="31"/>
      <c r="E61" s="31"/>
      <c r="F61" s="55"/>
      <c r="G61" s="27"/>
      <c r="H61" s="27"/>
      <c r="I61" s="65"/>
      <c r="J61" s="27"/>
      <c r="K61" s="27"/>
      <c r="L61" s="65"/>
      <c r="M61" s="65"/>
      <c r="N61" s="65"/>
      <c r="O61" s="65"/>
      <c r="P61" s="27"/>
      <c r="Q61" s="27"/>
      <c r="R61" s="65"/>
      <c r="S61" s="27"/>
      <c r="T61" s="27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65"/>
      <c r="AJ61" s="65"/>
      <c r="AK61" s="65"/>
      <c r="AL61" s="65"/>
      <c r="AM61" s="65"/>
      <c r="AN61" s="65"/>
      <c r="AO61" s="65"/>
      <c r="AP61" s="65"/>
      <c r="AQ61" s="65"/>
      <c r="AR61" s="65"/>
      <c r="AS61" s="27"/>
      <c r="AT61" s="27"/>
      <c r="AU61" s="65"/>
      <c r="AV61" s="27"/>
      <c r="AW61" s="27">
        <f>AW9+AW17+AW20+AW26+AW38+AW40+AW42</f>
        <v>508.39999999999736</v>
      </c>
    </row>
    <row r="62" spans="2:49" ht="18.75">
      <c r="B62" s="5" t="s">
        <v>13</v>
      </c>
      <c r="C62" s="66">
        <f>C9+C17+C20+C26+C38+C40+C42</f>
        <v>-5390.4</v>
      </c>
      <c r="D62" s="31"/>
      <c r="E62" s="31"/>
      <c r="F62" s="55"/>
      <c r="G62" s="27"/>
      <c r="H62" s="27"/>
      <c r="I62" s="65"/>
      <c r="J62" s="27"/>
      <c r="K62" s="27"/>
      <c r="L62" s="65"/>
      <c r="M62" s="65"/>
      <c r="N62" s="65"/>
      <c r="O62" s="65"/>
      <c r="P62" s="27"/>
      <c r="Q62" s="27"/>
      <c r="R62" s="65"/>
      <c r="S62" s="27"/>
      <c r="T62" s="27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65"/>
      <c r="AH62" s="65"/>
      <c r="AI62" s="65"/>
      <c r="AJ62" s="65"/>
      <c r="AK62" s="65"/>
      <c r="AL62" s="65"/>
      <c r="AM62" s="65"/>
      <c r="AN62" s="65"/>
      <c r="AO62" s="65"/>
      <c r="AP62" s="65"/>
      <c r="AQ62" s="65"/>
      <c r="AR62" s="65"/>
      <c r="AS62" s="27"/>
      <c r="AT62" s="27"/>
      <c r="AU62" s="65"/>
      <c r="AV62" s="27"/>
      <c r="AW62" s="27">
        <f>AW11+AW13+AW14+AW16+AW18+AW19+AW25</f>
        <v>2286.5999999999985</v>
      </c>
    </row>
    <row r="63" spans="2:49" ht="18.75">
      <c r="B63" s="5" t="s">
        <v>14</v>
      </c>
      <c r="C63" s="66">
        <f>C11+C13+C14+C16+C18+C19+C25</f>
        <v>-1478.6</v>
      </c>
      <c r="D63" s="31"/>
      <c r="E63" s="31"/>
      <c r="F63" s="55"/>
      <c r="G63" s="27"/>
      <c r="H63" s="27"/>
      <c r="I63" s="65"/>
      <c r="J63" s="27"/>
      <c r="K63" s="27"/>
      <c r="L63" s="65"/>
      <c r="M63" s="65"/>
      <c r="N63" s="65"/>
      <c r="O63" s="65"/>
      <c r="P63" s="27"/>
      <c r="Q63" s="27"/>
      <c r="R63" s="65"/>
      <c r="S63" s="27"/>
      <c r="T63" s="27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  <c r="AH63" s="65"/>
      <c r="AI63" s="65"/>
      <c r="AJ63" s="65"/>
      <c r="AK63" s="65"/>
      <c r="AL63" s="65"/>
      <c r="AM63" s="65"/>
      <c r="AN63" s="65"/>
      <c r="AO63" s="65"/>
      <c r="AP63" s="65"/>
      <c r="AQ63" s="65"/>
      <c r="AR63" s="65"/>
      <c r="AS63" s="27"/>
      <c r="AT63" s="27"/>
      <c r="AU63" s="65"/>
      <c r="AV63" s="27"/>
      <c r="AW63" s="27"/>
    </row>
    <row r="64" spans="7:49" ht="24.75" customHeight="1">
      <c r="G64" s="27"/>
      <c r="H64" s="27"/>
      <c r="I64" s="65"/>
      <c r="J64" s="27"/>
      <c r="K64" s="27"/>
      <c r="L64" s="65"/>
      <c r="M64" s="65"/>
      <c r="N64" s="65"/>
      <c r="O64" s="65"/>
      <c r="P64" s="27"/>
      <c r="Q64" s="27"/>
      <c r="R64" s="65"/>
      <c r="S64" s="27"/>
      <c r="T64" s="27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5"/>
      <c r="AI64" s="65"/>
      <c r="AJ64" s="65"/>
      <c r="AK64" s="65"/>
      <c r="AL64" s="65"/>
      <c r="AM64" s="65"/>
      <c r="AN64" s="65"/>
      <c r="AO64" s="65"/>
      <c r="AP64" s="65"/>
      <c r="AQ64" s="65"/>
      <c r="AR64" s="65"/>
      <c r="AS64" s="27"/>
      <c r="AT64" s="27"/>
      <c r="AU64" s="65"/>
      <c r="AV64" s="27"/>
      <c r="AW64" s="27"/>
    </row>
    <row r="65" spans="7:49" ht="24.75" customHeight="1">
      <c r="G65" s="27"/>
      <c r="H65" s="27"/>
      <c r="I65" s="65"/>
      <c r="J65" s="27"/>
      <c r="K65" s="27"/>
      <c r="L65" s="65"/>
      <c r="M65" s="65"/>
      <c r="N65" s="65"/>
      <c r="O65" s="65"/>
      <c r="P65" s="27"/>
      <c r="Q65" s="27"/>
      <c r="R65" s="65"/>
      <c r="S65" s="27"/>
      <c r="T65" s="27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5"/>
      <c r="AG65" s="65"/>
      <c r="AH65" s="65"/>
      <c r="AI65" s="65"/>
      <c r="AJ65" s="65"/>
      <c r="AK65" s="65"/>
      <c r="AL65" s="65"/>
      <c r="AM65" s="65"/>
      <c r="AN65" s="65"/>
      <c r="AO65" s="65"/>
      <c r="AP65" s="65"/>
      <c r="AQ65" s="65"/>
      <c r="AR65" s="65"/>
      <c r="AS65" s="27"/>
      <c r="AT65" s="27"/>
      <c r="AU65" s="65"/>
      <c r="AV65" s="27"/>
      <c r="AW65" s="27"/>
    </row>
    <row r="66" spans="7:49" ht="24.75" customHeight="1">
      <c r="G66" s="27"/>
      <c r="H66" s="27"/>
      <c r="I66" s="65"/>
      <c r="J66" s="27"/>
      <c r="K66" s="27"/>
      <c r="L66" s="65"/>
      <c r="M66" s="65"/>
      <c r="N66" s="65"/>
      <c r="O66" s="65"/>
      <c r="P66" s="27"/>
      <c r="Q66" s="27"/>
      <c r="R66" s="65"/>
      <c r="S66" s="27"/>
      <c r="T66" s="27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5"/>
      <c r="AH66" s="65"/>
      <c r="AI66" s="65"/>
      <c r="AJ66" s="65"/>
      <c r="AK66" s="65"/>
      <c r="AL66" s="65"/>
      <c r="AM66" s="65"/>
      <c r="AN66" s="65"/>
      <c r="AO66" s="65"/>
      <c r="AP66" s="65"/>
      <c r="AQ66" s="65"/>
      <c r="AR66" s="65"/>
      <c r="AS66" s="27"/>
      <c r="AT66" s="27"/>
      <c r="AU66" s="65"/>
      <c r="AV66" s="27"/>
      <c r="AW66" s="27"/>
    </row>
    <row r="67" spans="7:49" ht="24.75" customHeight="1">
      <c r="G67" s="27"/>
      <c r="H67" s="27"/>
      <c r="I67" s="65"/>
      <c r="J67" s="27"/>
      <c r="K67" s="27"/>
      <c r="L67" s="65"/>
      <c r="M67" s="65"/>
      <c r="N67" s="65"/>
      <c r="O67" s="65"/>
      <c r="P67" s="27"/>
      <c r="Q67" s="27"/>
      <c r="R67" s="65"/>
      <c r="S67" s="27"/>
      <c r="T67" s="27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5"/>
      <c r="AF67" s="65"/>
      <c r="AG67" s="65"/>
      <c r="AH67" s="65"/>
      <c r="AI67" s="65"/>
      <c r="AJ67" s="65"/>
      <c r="AK67" s="65"/>
      <c r="AL67" s="65"/>
      <c r="AM67" s="65"/>
      <c r="AN67" s="65"/>
      <c r="AO67" s="65"/>
      <c r="AP67" s="65"/>
      <c r="AQ67" s="65"/>
      <c r="AR67" s="65"/>
      <c r="AS67" s="27"/>
      <c r="AT67" s="27"/>
      <c r="AU67" s="65"/>
      <c r="AV67" s="27"/>
      <c r="AW67" s="27"/>
    </row>
    <row r="68" spans="7:49" ht="24.75" customHeight="1">
      <c r="G68" s="27"/>
      <c r="H68" s="27"/>
      <c r="I68" s="65"/>
      <c r="J68" s="27"/>
      <c r="K68" s="27"/>
      <c r="L68" s="65"/>
      <c r="M68" s="65"/>
      <c r="N68" s="65"/>
      <c r="O68" s="65"/>
      <c r="P68" s="27"/>
      <c r="Q68" s="27"/>
      <c r="R68" s="65"/>
      <c r="S68" s="27"/>
      <c r="T68" s="27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  <c r="AG68" s="65"/>
      <c r="AH68" s="65"/>
      <c r="AI68" s="65"/>
      <c r="AJ68" s="65"/>
      <c r="AK68" s="65"/>
      <c r="AL68" s="65"/>
      <c r="AM68" s="65"/>
      <c r="AN68" s="65"/>
      <c r="AO68" s="65"/>
      <c r="AP68" s="65"/>
      <c r="AQ68" s="65"/>
      <c r="AR68" s="65"/>
      <c r="AS68" s="27"/>
      <c r="AT68" s="27"/>
      <c r="AU68" s="65"/>
      <c r="AV68" s="27"/>
      <c r="AW68" s="27"/>
    </row>
    <row r="69" spans="7:49" ht="24.75" customHeight="1">
      <c r="G69" s="27"/>
      <c r="H69" s="27"/>
      <c r="I69" s="65"/>
      <c r="J69" s="27"/>
      <c r="K69" s="27"/>
      <c r="L69" s="65"/>
      <c r="M69" s="65"/>
      <c r="N69" s="65"/>
      <c r="O69" s="65"/>
      <c r="P69" s="27"/>
      <c r="Q69" s="27"/>
      <c r="R69" s="65"/>
      <c r="S69" s="27"/>
      <c r="T69" s="27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  <c r="AG69" s="65"/>
      <c r="AH69" s="65"/>
      <c r="AI69" s="65"/>
      <c r="AJ69" s="65"/>
      <c r="AK69" s="65"/>
      <c r="AL69" s="65"/>
      <c r="AM69" s="65"/>
      <c r="AN69" s="65"/>
      <c r="AO69" s="65"/>
      <c r="AP69" s="65"/>
      <c r="AQ69" s="65"/>
      <c r="AR69" s="65"/>
      <c r="AS69" s="27"/>
      <c r="AT69" s="27"/>
      <c r="AU69" s="65"/>
      <c r="AV69" s="27"/>
      <c r="AW69" s="27"/>
    </row>
    <row r="70" spans="7:49" ht="24.75" customHeight="1">
      <c r="G70" s="27"/>
      <c r="H70" s="27"/>
      <c r="I70" s="65"/>
      <c r="J70" s="27"/>
      <c r="K70" s="27"/>
      <c r="L70" s="65"/>
      <c r="M70" s="65"/>
      <c r="N70" s="65"/>
      <c r="O70" s="65"/>
      <c r="P70" s="27"/>
      <c r="Q70" s="27"/>
      <c r="R70" s="65"/>
      <c r="S70" s="27"/>
      <c r="T70" s="27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  <c r="AG70" s="65"/>
      <c r="AH70" s="65"/>
      <c r="AI70" s="65"/>
      <c r="AJ70" s="65"/>
      <c r="AK70" s="65"/>
      <c r="AL70" s="65"/>
      <c r="AM70" s="65"/>
      <c r="AN70" s="65"/>
      <c r="AO70" s="65"/>
      <c r="AP70" s="65"/>
      <c r="AQ70" s="65"/>
      <c r="AR70" s="65"/>
      <c r="AS70" s="27"/>
      <c r="AT70" s="27"/>
      <c r="AU70" s="65"/>
      <c r="AV70" s="27"/>
      <c r="AW70" s="27"/>
    </row>
    <row r="71" spans="7:49" ht="24.75" customHeight="1">
      <c r="G71" s="27"/>
      <c r="H71" s="27"/>
      <c r="I71" s="65"/>
      <c r="J71" s="27"/>
      <c r="K71" s="27"/>
      <c r="L71" s="65"/>
      <c r="M71" s="65"/>
      <c r="N71" s="65"/>
      <c r="O71" s="65"/>
      <c r="P71" s="27"/>
      <c r="Q71" s="27"/>
      <c r="R71" s="65"/>
      <c r="S71" s="27"/>
      <c r="T71" s="27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65"/>
      <c r="AH71" s="65"/>
      <c r="AI71" s="65"/>
      <c r="AJ71" s="65"/>
      <c r="AK71" s="65"/>
      <c r="AL71" s="65"/>
      <c r="AM71" s="65"/>
      <c r="AN71" s="65"/>
      <c r="AO71" s="65"/>
      <c r="AP71" s="65"/>
      <c r="AQ71" s="65"/>
      <c r="AR71" s="65"/>
      <c r="AS71" s="27"/>
      <c r="AT71" s="27"/>
      <c r="AU71" s="65"/>
      <c r="AV71" s="27"/>
      <c r="AW71" s="27"/>
    </row>
    <row r="72" spans="7:49" ht="24.75" customHeight="1">
      <c r="G72" s="27"/>
      <c r="H72" s="27"/>
      <c r="I72" s="65"/>
      <c r="J72" s="27"/>
      <c r="K72" s="27"/>
      <c r="L72" s="65"/>
      <c r="M72" s="65"/>
      <c r="N72" s="65"/>
      <c r="O72" s="65"/>
      <c r="P72" s="27"/>
      <c r="Q72" s="27"/>
      <c r="R72" s="65"/>
      <c r="S72" s="27"/>
      <c r="T72" s="27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  <c r="AG72" s="65"/>
      <c r="AH72" s="65"/>
      <c r="AI72" s="65"/>
      <c r="AJ72" s="65"/>
      <c r="AK72" s="65"/>
      <c r="AL72" s="65"/>
      <c r="AM72" s="65"/>
      <c r="AN72" s="65"/>
      <c r="AO72" s="65"/>
      <c r="AP72" s="65"/>
      <c r="AQ72" s="65"/>
      <c r="AR72" s="65"/>
      <c r="AS72" s="27"/>
      <c r="AT72" s="27"/>
      <c r="AU72" s="65"/>
      <c r="AV72" s="27"/>
      <c r="AW72" s="27"/>
    </row>
    <row r="73" spans="7:49" ht="24.75" customHeight="1">
      <c r="G73" s="27"/>
      <c r="H73" s="27"/>
      <c r="I73" s="65"/>
      <c r="J73" s="27"/>
      <c r="K73" s="27"/>
      <c r="L73" s="65"/>
      <c r="M73" s="65"/>
      <c r="N73" s="65"/>
      <c r="O73" s="65"/>
      <c r="P73" s="27"/>
      <c r="Q73" s="27"/>
      <c r="R73" s="65"/>
      <c r="S73" s="27"/>
      <c r="T73" s="27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5"/>
      <c r="AG73" s="65"/>
      <c r="AH73" s="65"/>
      <c r="AI73" s="65"/>
      <c r="AJ73" s="65"/>
      <c r="AK73" s="65"/>
      <c r="AL73" s="65"/>
      <c r="AM73" s="65"/>
      <c r="AN73" s="65"/>
      <c r="AO73" s="65"/>
      <c r="AP73" s="65"/>
      <c r="AQ73" s="65"/>
      <c r="AR73" s="65"/>
      <c r="AS73" s="27"/>
      <c r="AT73" s="27"/>
      <c r="AU73" s="65"/>
      <c r="AV73" s="27"/>
      <c r="AW73" s="27"/>
    </row>
    <row r="74" spans="7:49" ht="24.75" customHeight="1">
      <c r="G74" s="27"/>
      <c r="H74" s="27"/>
      <c r="I74" s="65"/>
      <c r="J74" s="27"/>
      <c r="K74" s="27"/>
      <c r="L74" s="65"/>
      <c r="M74" s="65"/>
      <c r="N74" s="65"/>
      <c r="O74" s="65"/>
      <c r="P74" s="27"/>
      <c r="Q74" s="27"/>
      <c r="R74" s="65"/>
      <c r="S74" s="27"/>
      <c r="T74" s="27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5"/>
      <c r="AH74" s="65"/>
      <c r="AI74" s="65"/>
      <c r="AJ74" s="65"/>
      <c r="AK74" s="65"/>
      <c r="AL74" s="65"/>
      <c r="AM74" s="65"/>
      <c r="AN74" s="65"/>
      <c r="AO74" s="65"/>
      <c r="AP74" s="65"/>
      <c r="AQ74" s="65"/>
      <c r="AR74" s="65"/>
      <c r="AS74" s="27"/>
      <c r="AT74" s="27"/>
      <c r="AU74" s="65"/>
      <c r="AV74" s="27"/>
      <c r="AW74" s="27"/>
    </row>
    <row r="75" spans="7:49" ht="24.75" customHeight="1">
      <c r="G75" s="27"/>
      <c r="H75" s="27"/>
      <c r="I75" s="65"/>
      <c r="J75" s="27"/>
      <c r="K75" s="27"/>
      <c r="L75" s="65"/>
      <c r="M75" s="65"/>
      <c r="N75" s="65"/>
      <c r="O75" s="65"/>
      <c r="P75" s="27"/>
      <c r="Q75" s="27"/>
      <c r="R75" s="65"/>
      <c r="S75" s="27"/>
      <c r="T75" s="27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  <c r="AM75" s="65"/>
      <c r="AN75" s="65"/>
      <c r="AO75" s="65"/>
      <c r="AP75" s="65"/>
      <c r="AQ75" s="65"/>
      <c r="AR75" s="65"/>
      <c r="AS75" s="27"/>
      <c r="AT75" s="27"/>
      <c r="AU75" s="65"/>
      <c r="AV75" s="27"/>
      <c r="AW75" s="27"/>
    </row>
    <row r="76" spans="7:49" ht="24.75" customHeight="1">
      <c r="G76" s="27"/>
      <c r="H76" s="27"/>
      <c r="I76" s="65"/>
      <c r="J76" s="27"/>
      <c r="K76" s="27"/>
      <c r="L76" s="65"/>
      <c r="M76" s="65"/>
      <c r="N76" s="65"/>
      <c r="O76" s="65"/>
      <c r="P76" s="27"/>
      <c r="Q76" s="27"/>
      <c r="R76" s="65"/>
      <c r="S76" s="27"/>
      <c r="T76" s="27"/>
      <c r="U76" s="65"/>
      <c r="V76" s="65"/>
      <c r="W76" s="65"/>
      <c r="X76" s="65"/>
      <c r="Y76" s="65"/>
      <c r="Z76" s="65"/>
      <c r="AA76" s="65"/>
      <c r="AB76" s="65"/>
      <c r="AC76" s="65"/>
      <c r="AD76" s="65"/>
      <c r="AE76" s="65"/>
      <c r="AF76" s="65"/>
      <c r="AG76" s="65"/>
      <c r="AH76" s="65"/>
      <c r="AI76" s="65"/>
      <c r="AJ76" s="65"/>
      <c r="AK76" s="65"/>
      <c r="AL76" s="65"/>
      <c r="AM76" s="65"/>
      <c r="AN76" s="65"/>
      <c r="AO76" s="65"/>
      <c r="AP76" s="65"/>
      <c r="AQ76" s="65"/>
      <c r="AR76" s="65"/>
      <c r="AS76" s="27"/>
      <c r="AT76" s="27"/>
      <c r="AU76" s="65"/>
      <c r="AV76" s="27"/>
      <c r="AW76" s="27"/>
    </row>
    <row r="77" spans="7:49" ht="24.75" customHeight="1">
      <c r="G77" s="27"/>
      <c r="H77" s="27"/>
      <c r="I77" s="65"/>
      <c r="J77" s="27"/>
      <c r="K77" s="27"/>
      <c r="L77" s="65"/>
      <c r="M77" s="65"/>
      <c r="N77" s="65"/>
      <c r="O77" s="65"/>
      <c r="P77" s="27"/>
      <c r="Q77" s="27"/>
      <c r="R77" s="65"/>
      <c r="S77" s="27"/>
      <c r="T77" s="27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5"/>
      <c r="AR77" s="65"/>
      <c r="AS77" s="27"/>
      <c r="AT77" s="27"/>
      <c r="AU77" s="65"/>
      <c r="AV77" s="27"/>
      <c r="AW77" s="27"/>
    </row>
    <row r="78" spans="7:49" ht="24.75" customHeight="1">
      <c r="G78" s="27"/>
      <c r="H78" s="27"/>
      <c r="I78" s="65"/>
      <c r="J78" s="27"/>
      <c r="K78" s="27"/>
      <c r="L78" s="65"/>
      <c r="M78" s="65"/>
      <c r="N78" s="65"/>
      <c r="O78" s="65"/>
      <c r="P78" s="27"/>
      <c r="Q78" s="27"/>
      <c r="R78" s="65"/>
      <c r="S78" s="27"/>
      <c r="T78" s="27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5"/>
      <c r="AG78" s="65"/>
      <c r="AH78" s="65"/>
      <c r="AI78" s="65"/>
      <c r="AJ78" s="65"/>
      <c r="AK78" s="65"/>
      <c r="AL78" s="65"/>
      <c r="AM78" s="65"/>
      <c r="AN78" s="65"/>
      <c r="AO78" s="65"/>
      <c r="AP78" s="65"/>
      <c r="AQ78" s="65"/>
      <c r="AR78" s="65"/>
      <c r="AS78" s="27"/>
      <c r="AT78" s="27"/>
      <c r="AU78" s="65"/>
      <c r="AV78" s="27"/>
      <c r="AW78" s="27"/>
    </row>
    <row r="79" spans="7:49" ht="24.75" customHeight="1">
      <c r="G79" s="27"/>
      <c r="H79" s="27"/>
      <c r="I79" s="65"/>
      <c r="J79" s="27"/>
      <c r="K79" s="27"/>
      <c r="L79" s="65"/>
      <c r="M79" s="65"/>
      <c r="N79" s="65"/>
      <c r="O79" s="65"/>
      <c r="P79" s="27"/>
      <c r="Q79" s="27"/>
      <c r="R79" s="65"/>
      <c r="S79" s="27"/>
      <c r="T79" s="27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65"/>
      <c r="AG79" s="65"/>
      <c r="AH79" s="65"/>
      <c r="AI79" s="65"/>
      <c r="AJ79" s="65"/>
      <c r="AK79" s="65"/>
      <c r="AL79" s="65"/>
      <c r="AM79" s="65"/>
      <c r="AN79" s="65"/>
      <c r="AO79" s="65"/>
      <c r="AP79" s="65"/>
      <c r="AQ79" s="65"/>
      <c r="AR79" s="65"/>
      <c r="AS79" s="27"/>
      <c r="AT79" s="27"/>
      <c r="AU79" s="65"/>
      <c r="AV79" s="27"/>
      <c r="AW79" s="27"/>
    </row>
    <row r="80" spans="7:49" ht="24.75" customHeight="1">
      <c r="G80" s="27"/>
      <c r="H80" s="27"/>
      <c r="I80" s="65"/>
      <c r="J80" s="27"/>
      <c r="K80" s="27"/>
      <c r="L80" s="65"/>
      <c r="M80" s="65"/>
      <c r="N80" s="65"/>
      <c r="O80" s="65"/>
      <c r="P80" s="27"/>
      <c r="Q80" s="27"/>
      <c r="R80" s="65"/>
      <c r="S80" s="27"/>
      <c r="T80" s="27"/>
      <c r="U80" s="65"/>
      <c r="V80" s="65"/>
      <c r="W80" s="65"/>
      <c r="X80" s="65"/>
      <c r="Y80" s="65"/>
      <c r="Z80" s="65"/>
      <c r="AA80" s="65"/>
      <c r="AB80" s="65"/>
      <c r="AC80" s="65"/>
      <c r="AD80" s="65"/>
      <c r="AE80" s="65"/>
      <c r="AF80" s="65"/>
      <c r="AG80" s="65"/>
      <c r="AH80" s="65"/>
      <c r="AI80" s="65"/>
      <c r="AJ80" s="65"/>
      <c r="AK80" s="65"/>
      <c r="AL80" s="65"/>
      <c r="AM80" s="65"/>
      <c r="AN80" s="65"/>
      <c r="AO80" s="65"/>
      <c r="AP80" s="65"/>
      <c r="AQ80" s="65"/>
      <c r="AR80" s="65"/>
      <c r="AS80" s="27"/>
      <c r="AT80" s="27"/>
      <c r="AU80" s="65"/>
      <c r="AV80" s="27"/>
      <c r="AW80" s="27"/>
    </row>
    <row r="81" spans="7:49" ht="24.75" customHeight="1">
      <c r="G81" s="27"/>
      <c r="H81" s="27"/>
      <c r="I81" s="65"/>
      <c r="J81" s="27"/>
      <c r="K81" s="27"/>
      <c r="L81" s="65"/>
      <c r="M81" s="65"/>
      <c r="N81" s="65"/>
      <c r="O81" s="65"/>
      <c r="P81" s="27"/>
      <c r="Q81" s="27"/>
      <c r="R81" s="65"/>
      <c r="S81" s="27"/>
      <c r="T81" s="27"/>
      <c r="U81" s="65"/>
      <c r="V81" s="65"/>
      <c r="W81" s="65"/>
      <c r="X81" s="65"/>
      <c r="Y81" s="65"/>
      <c r="Z81" s="65"/>
      <c r="AA81" s="65"/>
      <c r="AB81" s="65"/>
      <c r="AC81" s="65"/>
      <c r="AD81" s="65"/>
      <c r="AE81" s="65"/>
      <c r="AF81" s="65"/>
      <c r="AG81" s="65"/>
      <c r="AH81" s="65"/>
      <c r="AI81" s="65"/>
      <c r="AJ81" s="65"/>
      <c r="AK81" s="65"/>
      <c r="AL81" s="65"/>
      <c r="AM81" s="65"/>
      <c r="AN81" s="65"/>
      <c r="AO81" s="65"/>
      <c r="AP81" s="65"/>
      <c r="AQ81" s="65"/>
      <c r="AR81" s="65"/>
      <c r="AS81" s="27"/>
      <c r="AT81" s="27"/>
      <c r="AU81" s="65"/>
      <c r="AV81" s="27"/>
      <c r="AW81" s="27"/>
    </row>
    <row r="82" spans="7:49" ht="24.75" customHeight="1">
      <c r="G82" s="27"/>
      <c r="H82" s="27"/>
      <c r="I82" s="65"/>
      <c r="J82" s="27"/>
      <c r="K82" s="27"/>
      <c r="L82" s="65"/>
      <c r="M82" s="65"/>
      <c r="N82" s="65"/>
      <c r="O82" s="65"/>
      <c r="P82" s="27"/>
      <c r="Q82" s="27"/>
      <c r="R82" s="65"/>
      <c r="S82" s="27"/>
      <c r="T82" s="27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5"/>
      <c r="AI82" s="65"/>
      <c r="AJ82" s="65"/>
      <c r="AK82" s="65"/>
      <c r="AL82" s="65"/>
      <c r="AM82" s="65"/>
      <c r="AN82" s="65"/>
      <c r="AO82" s="65"/>
      <c r="AP82" s="65"/>
      <c r="AQ82" s="65"/>
      <c r="AR82" s="65"/>
      <c r="AS82" s="27"/>
      <c r="AT82" s="27"/>
      <c r="AU82" s="65"/>
      <c r="AV82" s="27"/>
      <c r="AW82" s="27"/>
    </row>
    <row r="83" spans="7:49" ht="24.75" customHeight="1">
      <c r="G83" s="27"/>
      <c r="H83" s="27"/>
      <c r="I83" s="65"/>
      <c r="J83" s="27"/>
      <c r="K83" s="27"/>
      <c r="L83" s="65"/>
      <c r="M83" s="65"/>
      <c r="N83" s="65"/>
      <c r="O83" s="65"/>
      <c r="P83" s="27"/>
      <c r="Q83" s="27"/>
      <c r="R83" s="65"/>
      <c r="S83" s="27"/>
      <c r="T83" s="27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5"/>
      <c r="AL83" s="65"/>
      <c r="AM83" s="65"/>
      <c r="AN83" s="65"/>
      <c r="AO83" s="65"/>
      <c r="AP83" s="65"/>
      <c r="AQ83" s="65"/>
      <c r="AR83" s="65"/>
      <c r="AS83" s="27"/>
      <c r="AT83" s="27"/>
      <c r="AU83" s="65"/>
      <c r="AV83" s="27"/>
      <c r="AW83" s="27"/>
    </row>
    <row r="84" spans="7:49" ht="24.75" customHeight="1">
      <c r="G84" s="27"/>
      <c r="H84" s="27"/>
      <c r="I84" s="65"/>
      <c r="J84" s="27"/>
      <c r="K84" s="27"/>
      <c r="L84" s="65"/>
      <c r="M84" s="65"/>
      <c r="N84" s="65"/>
      <c r="O84" s="65"/>
      <c r="P84" s="27"/>
      <c r="Q84" s="27"/>
      <c r="R84" s="65"/>
      <c r="S84" s="27"/>
      <c r="T84" s="27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  <c r="AM84" s="65"/>
      <c r="AN84" s="65"/>
      <c r="AO84" s="65"/>
      <c r="AP84" s="65"/>
      <c r="AQ84" s="65"/>
      <c r="AR84" s="65"/>
      <c r="AS84" s="27"/>
      <c r="AT84" s="27"/>
      <c r="AU84" s="65"/>
      <c r="AV84" s="27"/>
      <c r="AW84" s="27"/>
    </row>
    <row r="85" spans="7:49" ht="24.75" customHeight="1">
      <c r="G85" s="27"/>
      <c r="H85" s="27"/>
      <c r="I85" s="65"/>
      <c r="J85" s="27"/>
      <c r="K85" s="27"/>
      <c r="L85" s="65"/>
      <c r="M85" s="65"/>
      <c r="N85" s="65"/>
      <c r="O85" s="65"/>
      <c r="P85" s="27"/>
      <c r="Q85" s="27"/>
      <c r="R85" s="65"/>
      <c r="S85" s="27"/>
      <c r="T85" s="27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5"/>
      <c r="AL85" s="65"/>
      <c r="AM85" s="65"/>
      <c r="AN85" s="65"/>
      <c r="AO85" s="65"/>
      <c r="AP85" s="65"/>
      <c r="AQ85" s="65"/>
      <c r="AR85" s="65"/>
      <c r="AS85" s="27"/>
      <c r="AT85" s="27"/>
      <c r="AU85" s="65"/>
      <c r="AV85" s="27"/>
      <c r="AW85" s="27"/>
    </row>
    <row r="86" spans="7:49" ht="24.75" customHeight="1">
      <c r="G86" s="27"/>
      <c r="H86" s="27"/>
      <c r="I86" s="65"/>
      <c r="J86" s="27"/>
      <c r="K86" s="27"/>
      <c r="L86" s="65"/>
      <c r="M86" s="65"/>
      <c r="N86" s="65"/>
      <c r="O86" s="65"/>
      <c r="P86" s="27"/>
      <c r="Q86" s="27"/>
      <c r="R86" s="65"/>
      <c r="S86" s="27"/>
      <c r="T86" s="27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5"/>
      <c r="AL86" s="65"/>
      <c r="AM86" s="65"/>
      <c r="AN86" s="65"/>
      <c r="AO86" s="65"/>
      <c r="AP86" s="65"/>
      <c r="AQ86" s="65"/>
      <c r="AR86" s="65"/>
      <c r="AS86" s="27"/>
      <c r="AT86" s="27"/>
      <c r="AU86" s="65"/>
      <c r="AV86" s="27"/>
      <c r="AW86" s="27"/>
    </row>
    <row r="87" spans="7:49" ht="24.75" customHeight="1">
      <c r="G87" s="27"/>
      <c r="H87" s="27"/>
      <c r="I87" s="65"/>
      <c r="J87" s="27"/>
      <c r="K87" s="27"/>
      <c r="L87" s="65"/>
      <c r="M87" s="65"/>
      <c r="N87" s="65"/>
      <c r="O87" s="65"/>
      <c r="P87" s="27"/>
      <c r="Q87" s="27"/>
      <c r="R87" s="65"/>
      <c r="S87" s="27"/>
      <c r="T87" s="27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  <c r="AG87" s="65"/>
      <c r="AH87" s="65"/>
      <c r="AI87" s="65"/>
      <c r="AJ87" s="65"/>
      <c r="AK87" s="65"/>
      <c r="AL87" s="65"/>
      <c r="AM87" s="65"/>
      <c r="AN87" s="65"/>
      <c r="AO87" s="65"/>
      <c r="AP87" s="65"/>
      <c r="AQ87" s="65"/>
      <c r="AR87" s="65"/>
      <c r="AS87" s="27"/>
      <c r="AT87" s="27"/>
      <c r="AU87" s="65"/>
      <c r="AV87" s="27"/>
      <c r="AW87" s="27"/>
    </row>
    <row r="88" spans="7:49" ht="24.75" customHeight="1">
      <c r="G88" s="27"/>
      <c r="H88" s="27"/>
      <c r="I88" s="65"/>
      <c r="J88" s="27"/>
      <c r="K88" s="27"/>
      <c r="L88" s="65"/>
      <c r="M88" s="65"/>
      <c r="N88" s="65"/>
      <c r="O88" s="65"/>
      <c r="P88" s="27"/>
      <c r="Q88" s="27"/>
      <c r="R88" s="65"/>
      <c r="S88" s="27"/>
      <c r="T88" s="27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65"/>
      <c r="AF88" s="65"/>
      <c r="AG88" s="65"/>
      <c r="AH88" s="65"/>
      <c r="AI88" s="65"/>
      <c r="AJ88" s="65"/>
      <c r="AK88" s="65"/>
      <c r="AL88" s="65"/>
      <c r="AM88" s="65"/>
      <c r="AN88" s="65"/>
      <c r="AO88" s="65"/>
      <c r="AP88" s="65"/>
      <c r="AQ88" s="65"/>
      <c r="AR88" s="65"/>
      <c r="AS88" s="27"/>
      <c r="AT88" s="27"/>
      <c r="AU88" s="65"/>
      <c r="AV88" s="27"/>
      <c r="AW88" s="27"/>
    </row>
    <row r="89" spans="7:49" ht="24.75" customHeight="1">
      <c r="G89" s="27"/>
      <c r="H89" s="27"/>
      <c r="I89" s="65"/>
      <c r="J89" s="27"/>
      <c r="K89" s="27"/>
      <c r="L89" s="65"/>
      <c r="M89" s="65"/>
      <c r="N89" s="65"/>
      <c r="O89" s="65"/>
      <c r="P89" s="27"/>
      <c r="Q89" s="27"/>
      <c r="R89" s="65"/>
      <c r="S89" s="27"/>
      <c r="T89" s="27"/>
      <c r="U89" s="65"/>
      <c r="V89" s="65"/>
      <c r="W89" s="65"/>
      <c r="X89" s="65"/>
      <c r="Y89" s="65"/>
      <c r="Z89" s="65"/>
      <c r="AA89" s="65"/>
      <c r="AB89" s="65"/>
      <c r="AC89" s="65"/>
      <c r="AD89" s="65"/>
      <c r="AE89" s="65"/>
      <c r="AF89" s="65"/>
      <c r="AG89" s="65"/>
      <c r="AH89" s="65"/>
      <c r="AI89" s="65"/>
      <c r="AJ89" s="65"/>
      <c r="AK89" s="65"/>
      <c r="AL89" s="65"/>
      <c r="AM89" s="65"/>
      <c r="AN89" s="65"/>
      <c r="AO89" s="65"/>
      <c r="AP89" s="65"/>
      <c r="AQ89" s="65"/>
      <c r="AR89" s="65"/>
      <c r="AS89" s="27"/>
      <c r="AT89" s="27"/>
      <c r="AU89" s="65"/>
      <c r="AV89" s="27"/>
      <c r="AW89" s="27"/>
    </row>
    <row r="90" spans="7:49" ht="24.75" customHeight="1">
      <c r="G90" s="27"/>
      <c r="H90" s="27"/>
      <c r="I90" s="65"/>
      <c r="J90" s="27"/>
      <c r="K90" s="27"/>
      <c r="L90" s="65"/>
      <c r="M90" s="65"/>
      <c r="N90" s="65"/>
      <c r="O90" s="65"/>
      <c r="P90" s="27"/>
      <c r="Q90" s="27"/>
      <c r="R90" s="65"/>
      <c r="S90" s="27"/>
      <c r="T90" s="27"/>
      <c r="U90" s="65"/>
      <c r="V90" s="65"/>
      <c r="W90" s="65"/>
      <c r="X90" s="65"/>
      <c r="Y90" s="65"/>
      <c r="Z90" s="65"/>
      <c r="AA90" s="65"/>
      <c r="AB90" s="65"/>
      <c r="AC90" s="65"/>
      <c r="AD90" s="65"/>
      <c r="AE90" s="65"/>
      <c r="AF90" s="65"/>
      <c r="AG90" s="65"/>
      <c r="AH90" s="65"/>
      <c r="AI90" s="65"/>
      <c r="AJ90" s="65"/>
      <c r="AK90" s="65"/>
      <c r="AL90" s="65"/>
      <c r="AM90" s="65"/>
      <c r="AN90" s="65"/>
      <c r="AO90" s="65"/>
      <c r="AP90" s="65"/>
      <c r="AQ90" s="65"/>
      <c r="AR90" s="65"/>
      <c r="AS90" s="27"/>
      <c r="AT90" s="27"/>
      <c r="AU90" s="65"/>
      <c r="AV90" s="27"/>
      <c r="AW90" s="27"/>
    </row>
    <row r="91" spans="7:49" ht="24.75" customHeight="1">
      <c r="G91" s="27"/>
      <c r="H91" s="27"/>
      <c r="I91" s="65"/>
      <c r="J91" s="27"/>
      <c r="K91" s="27"/>
      <c r="L91" s="65"/>
      <c r="M91" s="65"/>
      <c r="N91" s="65"/>
      <c r="O91" s="65"/>
      <c r="P91" s="27"/>
      <c r="Q91" s="27"/>
      <c r="R91" s="65"/>
      <c r="S91" s="27"/>
      <c r="T91" s="27"/>
      <c r="U91" s="65"/>
      <c r="V91" s="65"/>
      <c r="W91" s="65"/>
      <c r="X91" s="65"/>
      <c r="Y91" s="65"/>
      <c r="Z91" s="65"/>
      <c r="AA91" s="65"/>
      <c r="AB91" s="65"/>
      <c r="AC91" s="65"/>
      <c r="AD91" s="65"/>
      <c r="AE91" s="65"/>
      <c r="AF91" s="65"/>
      <c r="AG91" s="65"/>
      <c r="AH91" s="65"/>
      <c r="AI91" s="65"/>
      <c r="AJ91" s="65"/>
      <c r="AK91" s="65"/>
      <c r="AL91" s="65"/>
      <c r="AM91" s="65"/>
      <c r="AN91" s="65"/>
      <c r="AO91" s="65"/>
      <c r="AP91" s="65"/>
      <c r="AQ91" s="65"/>
      <c r="AR91" s="65"/>
      <c r="AS91" s="27"/>
      <c r="AT91" s="27"/>
      <c r="AU91" s="65"/>
      <c r="AV91" s="27"/>
      <c r="AW91" s="27"/>
    </row>
    <row r="92" spans="7:49" ht="24.75" customHeight="1">
      <c r="G92" s="27"/>
      <c r="H92" s="27"/>
      <c r="I92" s="65"/>
      <c r="J92" s="27"/>
      <c r="K92" s="27"/>
      <c r="L92" s="65"/>
      <c r="M92" s="65"/>
      <c r="N92" s="65"/>
      <c r="O92" s="65"/>
      <c r="P92" s="27"/>
      <c r="Q92" s="27"/>
      <c r="R92" s="65"/>
      <c r="S92" s="27"/>
      <c r="T92" s="27"/>
      <c r="U92" s="65"/>
      <c r="V92" s="65"/>
      <c r="W92" s="65"/>
      <c r="X92" s="65"/>
      <c r="Y92" s="65"/>
      <c r="Z92" s="65"/>
      <c r="AA92" s="65"/>
      <c r="AB92" s="65"/>
      <c r="AC92" s="65"/>
      <c r="AD92" s="65"/>
      <c r="AE92" s="65"/>
      <c r="AF92" s="65"/>
      <c r="AG92" s="65"/>
      <c r="AH92" s="65"/>
      <c r="AI92" s="65"/>
      <c r="AJ92" s="65"/>
      <c r="AK92" s="65"/>
      <c r="AL92" s="65"/>
      <c r="AM92" s="65"/>
      <c r="AN92" s="65"/>
      <c r="AO92" s="65"/>
      <c r="AP92" s="65"/>
      <c r="AQ92" s="65"/>
      <c r="AR92" s="65"/>
      <c r="AS92" s="27"/>
      <c r="AT92" s="27"/>
      <c r="AU92" s="65"/>
      <c r="AV92" s="27"/>
      <c r="AW92" s="27"/>
    </row>
    <row r="93" spans="7:49" ht="24.75" customHeight="1">
      <c r="G93" s="27"/>
      <c r="H93" s="27"/>
      <c r="I93" s="65"/>
      <c r="J93" s="27"/>
      <c r="K93" s="27"/>
      <c r="L93" s="65"/>
      <c r="M93" s="65"/>
      <c r="N93" s="65"/>
      <c r="O93" s="65"/>
      <c r="P93" s="27"/>
      <c r="Q93" s="27"/>
      <c r="R93" s="65"/>
      <c r="S93" s="27"/>
      <c r="T93" s="27"/>
      <c r="U93" s="65"/>
      <c r="V93" s="65"/>
      <c r="W93" s="65"/>
      <c r="X93" s="65"/>
      <c r="Y93" s="65"/>
      <c r="Z93" s="65"/>
      <c r="AA93" s="65"/>
      <c r="AB93" s="65"/>
      <c r="AC93" s="65"/>
      <c r="AD93" s="65"/>
      <c r="AE93" s="65"/>
      <c r="AF93" s="65"/>
      <c r="AG93" s="65"/>
      <c r="AH93" s="65"/>
      <c r="AI93" s="65"/>
      <c r="AJ93" s="65"/>
      <c r="AK93" s="65"/>
      <c r="AL93" s="65"/>
      <c r="AM93" s="65"/>
      <c r="AN93" s="65"/>
      <c r="AO93" s="65"/>
      <c r="AP93" s="65"/>
      <c r="AQ93" s="65"/>
      <c r="AR93" s="65"/>
      <c r="AS93" s="27"/>
      <c r="AT93" s="27"/>
      <c r="AU93" s="65"/>
      <c r="AV93" s="27"/>
      <c r="AW93" s="27"/>
    </row>
    <row r="94" spans="7:49" ht="24.75" customHeight="1">
      <c r="G94" s="27"/>
      <c r="H94" s="27"/>
      <c r="I94" s="65"/>
      <c r="J94" s="27"/>
      <c r="K94" s="27"/>
      <c r="L94" s="65"/>
      <c r="M94" s="65"/>
      <c r="N94" s="65"/>
      <c r="O94" s="65"/>
      <c r="P94" s="27"/>
      <c r="Q94" s="27"/>
      <c r="R94" s="65"/>
      <c r="S94" s="27"/>
      <c r="T94" s="27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/>
      <c r="AF94" s="65"/>
      <c r="AG94" s="65"/>
      <c r="AH94" s="65"/>
      <c r="AI94" s="65"/>
      <c r="AJ94" s="65"/>
      <c r="AK94" s="65"/>
      <c r="AL94" s="65"/>
      <c r="AM94" s="65"/>
      <c r="AN94" s="65"/>
      <c r="AO94" s="65"/>
      <c r="AP94" s="65"/>
      <c r="AQ94" s="65"/>
      <c r="AR94" s="65"/>
      <c r="AS94" s="27"/>
      <c r="AT94" s="27"/>
      <c r="AU94" s="65"/>
      <c r="AV94" s="27"/>
      <c r="AW94" s="27"/>
    </row>
    <row r="95" spans="7:49" ht="24.75" customHeight="1">
      <c r="G95" s="27"/>
      <c r="H95" s="27"/>
      <c r="I95" s="65"/>
      <c r="J95" s="27"/>
      <c r="K95" s="27"/>
      <c r="L95" s="65"/>
      <c r="M95" s="65"/>
      <c r="N95" s="65"/>
      <c r="O95" s="65"/>
      <c r="P95" s="27"/>
      <c r="Q95" s="27"/>
      <c r="R95" s="65"/>
      <c r="S95" s="27"/>
      <c r="T95" s="27"/>
      <c r="U95" s="65"/>
      <c r="V95" s="65"/>
      <c r="W95" s="65"/>
      <c r="X95" s="65"/>
      <c r="Y95" s="65"/>
      <c r="Z95" s="65"/>
      <c r="AA95" s="65"/>
      <c r="AB95" s="65"/>
      <c r="AC95" s="65"/>
      <c r="AD95" s="65"/>
      <c r="AE95" s="65"/>
      <c r="AF95" s="65"/>
      <c r="AG95" s="65"/>
      <c r="AH95" s="65"/>
      <c r="AI95" s="65"/>
      <c r="AJ95" s="65"/>
      <c r="AK95" s="65"/>
      <c r="AL95" s="65"/>
      <c r="AM95" s="65"/>
      <c r="AN95" s="65"/>
      <c r="AO95" s="65"/>
      <c r="AP95" s="65"/>
      <c r="AQ95" s="65"/>
      <c r="AR95" s="65"/>
      <c r="AS95" s="27"/>
      <c r="AT95" s="27"/>
      <c r="AU95" s="65"/>
      <c r="AV95" s="27"/>
      <c r="AW95" s="27"/>
    </row>
    <row r="96" spans="7:49" ht="24.75" customHeight="1">
      <c r="G96" s="27"/>
      <c r="H96" s="27"/>
      <c r="I96" s="65"/>
      <c r="J96" s="27"/>
      <c r="K96" s="27"/>
      <c r="L96" s="65"/>
      <c r="M96" s="65"/>
      <c r="N96" s="65"/>
      <c r="O96" s="65"/>
      <c r="P96" s="27"/>
      <c r="Q96" s="27"/>
      <c r="R96" s="65"/>
      <c r="S96" s="27"/>
      <c r="T96" s="27"/>
      <c r="U96" s="65"/>
      <c r="V96" s="65"/>
      <c r="W96" s="65"/>
      <c r="X96" s="65"/>
      <c r="Y96" s="65"/>
      <c r="Z96" s="65"/>
      <c r="AA96" s="65"/>
      <c r="AB96" s="65"/>
      <c r="AC96" s="65"/>
      <c r="AD96" s="65"/>
      <c r="AE96" s="65"/>
      <c r="AF96" s="65"/>
      <c r="AG96" s="65"/>
      <c r="AH96" s="65"/>
      <c r="AI96" s="65"/>
      <c r="AJ96" s="65"/>
      <c r="AK96" s="65"/>
      <c r="AL96" s="65"/>
      <c r="AM96" s="65"/>
      <c r="AN96" s="65"/>
      <c r="AO96" s="65"/>
      <c r="AP96" s="65"/>
      <c r="AQ96" s="65"/>
      <c r="AR96" s="65"/>
      <c r="AS96" s="27"/>
      <c r="AT96" s="27"/>
      <c r="AU96" s="65"/>
      <c r="AV96" s="27"/>
      <c r="AW96" s="27"/>
    </row>
    <row r="97" spans="7:49" ht="24.75" customHeight="1">
      <c r="G97" s="27"/>
      <c r="H97" s="27"/>
      <c r="I97" s="65"/>
      <c r="J97" s="27"/>
      <c r="K97" s="27"/>
      <c r="L97" s="65"/>
      <c r="M97" s="65"/>
      <c r="N97" s="65"/>
      <c r="O97" s="65"/>
      <c r="P97" s="27"/>
      <c r="Q97" s="27"/>
      <c r="R97" s="65"/>
      <c r="S97" s="27"/>
      <c r="T97" s="27"/>
      <c r="U97" s="65"/>
      <c r="V97" s="65"/>
      <c r="W97" s="65"/>
      <c r="X97" s="65"/>
      <c r="Y97" s="65"/>
      <c r="Z97" s="65"/>
      <c r="AA97" s="65"/>
      <c r="AB97" s="65"/>
      <c r="AC97" s="65"/>
      <c r="AD97" s="65"/>
      <c r="AE97" s="65"/>
      <c r="AF97" s="65"/>
      <c r="AG97" s="65"/>
      <c r="AH97" s="65"/>
      <c r="AI97" s="65"/>
      <c r="AJ97" s="65"/>
      <c r="AK97" s="65"/>
      <c r="AL97" s="65"/>
      <c r="AM97" s="65"/>
      <c r="AN97" s="65"/>
      <c r="AO97" s="65"/>
      <c r="AP97" s="65"/>
      <c r="AQ97" s="65"/>
      <c r="AR97" s="65"/>
      <c r="AS97" s="27"/>
      <c r="AT97" s="27"/>
      <c r="AU97" s="65"/>
      <c r="AV97" s="27"/>
      <c r="AW97" s="27"/>
    </row>
    <row r="98" spans="7:49" ht="18.75">
      <c r="G98" s="27"/>
      <c r="H98" s="27"/>
      <c r="I98" s="65"/>
      <c r="J98" s="27"/>
      <c r="K98" s="27"/>
      <c r="L98" s="65"/>
      <c r="M98" s="65"/>
      <c r="N98" s="65"/>
      <c r="O98" s="65"/>
      <c r="P98" s="27"/>
      <c r="Q98" s="27"/>
      <c r="R98" s="65"/>
      <c r="S98" s="27"/>
      <c r="T98" s="27"/>
      <c r="U98" s="65"/>
      <c r="V98" s="65"/>
      <c r="W98" s="65"/>
      <c r="X98" s="65"/>
      <c r="Y98" s="65"/>
      <c r="Z98" s="65"/>
      <c r="AA98" s="65"/>
      <c r="AB98" s="65"/>
      <c r="AC98" s="65"/>
      <c r="AD98" s="65"/>
      <c r="AE98" s="65"/>
      <c r="AF98" s="65"/>
      <c r="AG98" s="65"/>
      <c r="AH98" s="65"/>
      <c r="AI98" s="65"/>
      <c r="AJ98" s="65"/>
      <c r="AK98" s="65"/>
      <c r="AL98" s="65"/>
      <c r="AM98" s="65"/>
      <c r="AN98" s="65"/>
      <c r="AO98" s="65"/>
      <c r="AP98" s="65"/>
      <c r="AQ98" s="65"/>
      <c r="AR98" s="65"/>
      <c r="AS98" s="27"/>
      <c r="AT98" s="27"/>
      <c r="AU98" s="65"/>
      <c r="AV98" s="27"/>
      <c r="AW98" s="27"/>
    </row>
    <row r="99" spans="7:49" ht="18.75">
      <c r="G99" s="27"/>
      <c r="H99" s="27"/>
      <c r="I99" s="65"/>
      <c r="J99" s="27"/>
      <c r="K99" s="27"/>
      <c r="L99" s="65"/>
      <c r="M99" s="65"/>
      <c r="N99" s="65"/>
      <c r="O99" s="65"/>
      <c r="P99" s="27"/>
      <c r="Q99" s="27"/>
      <c r="R99" s="65"/>
      <c r="S99" s="27"/>
      <c r="T99" s="27"/>
      <c r="U99" s="65"/>
      <c r="V99" s="65"/>
      <c r="W99" s="65"/>
      <c r="X99" s="65"/>
      <c r="Y99" s="65"/>
      <c r="Z99" s="65"/>
      <c r="AA99" s="65"/>
      <c r="AB99" s="65"/>
      <c r="AC99" s="65"/>
      <c r="AD99" s="65"/>
      <c r="AE99" s="65"/>
      <c r="AF99" s="65"/>
      <c r="AG99" s="65"/>
      <c r="AH99" s="65"/>
      <c r="AI99" s="65"/>
      <c r="AJ99" s="65"/>
      <c r="AK99" s="65"/>
      <c r="AL99" s="65"/>
      <c r="AM99" s="65"/>
      <c r="AN99" s="65"/>
      <c r="AO99" s="65"/>
      <c r="AP99" s="65"/>
      <c r="AQ99" s="65"/>
      <c r="AR99" s="65"/>
      <c r="AS99" s="27"/>
      <c r="AT99" s="27"/>
      <c r="AU99" s="65"/>
      <c r="AV99" s="27"/>
      <c r="AW99" s="27"/>
    </row>
    <row r="100" spans="7:49" ht="18.75">
      <c r="G100" s="27"/>
      <c r="H100" s="27"/>
      <c r="I100" s="65"/>
      <c r="J100" s="27"/>
      <c r="K100" s="27"/>
      <c r="L100" s="65"/>
      <c r="M100" s="65"/>
      <c r="N100" s="65"/>
      <c r="O100" s="65"/>
      <c r="P100" s="27"/>
      <c r="Q100" s="27"/>
      <c r="R100" s="65"/>
      <c r="S100" s="27"/>
      <c r="T100" s="27"/>
      <c r="U100" s="65"/>
      <c r="V100" s="65"/>
      <c r="W100" s="65"/>
      <c r="X100" s="65"/>
      <c r="Y100" s="65"/>
      <c r="Z100" s="65"/>
      <c r="AA100" s="65"/>
      <c r="AB100" s="65"/>
      <c r="AC100" s="65"/>
      <c r="AD100" s="65"/>
      <c r="AE100" s="65"/>
      <c r="AF100" s="65"/>
      <c r="AG100" s="65"/>
      <c r="AH100" s="65"/>
      <c r="AI100" s="65"/>
      <c r="AJ100" s="65"/>
      <c r="AK100" s="65"/>
      <c r="AL100" s="65"/>
      <c r="AM100" s="65"/>
      <c r="AN100" s="65"/>
      <c r="AO100" s="65"/>
      <c r="AP100" s="65"/>
      <c r="AQ100" s="65"/>
      <c r="AR100" s="65"/>
      <c r="AS100" s="27"/>
      <c r="AT100" s="27"/>
      <c r="AU100" s="65"/>
      <c r="AV100" s="27"/>
      <c r="AW100" s="27"/>
    </row>
    <row r="101" spans="7:49" ht="18.75">
      <c r="G101" s="27"/>
      <c r="H101" s="27"/>
      <c r="I101" s="65"/>
      <c r="J101" s="27"/>
      <c r="K101" s="27"/>
      <c r="L101" s="65"/>
      <c r="M101" s="65"/>
      <c r="N101" s="65"/>
      <c r="O101" s="65"/>
      <c r="P101" s="27"/>
      <c r="Q101" s="27"/>
      <c r="R101" s="65"/>
      <c r="S101" s="27"/>
      <c r="T101" s="27"/>
      <c r="U101" s="65"/>
      <c r="V101" s="65"/>
      <c r="W101" s="65"/>
      <c r="X101" s="65"/>
      <c r="Y101" s="65"/>
      <c r="Z101" s="65"/>
      <c r="AA101" s="65"/>
      <c r="AB101" s="65"/>
      <c r="AC101" s="65"/>
      <c r="AD101" s="65"/>
      <c r="AE101" s="65"/>
      <c r="AF101" s="65"/>
      <c r="AG101" s="65"/>
      <c r="AH101" s="65"/>
      <c r="AI101" s="65"/>
      <c r="AJ101" s="65"/>
      <c r="AK101" s="65"/>
      <c r="AL101" s="65"/>
      <c r="AM101" s="65"/>
      <c r="AN101" s="65"/>
      <c r="AO101" s="65"/>
      <c r="AP101" s="65"/>
      <c r="AQ101" s="65"/>
      <c r="AR101" s="65"/>
      <c r="AS101" s="27"/>
      <c r="AT101" s="27"/>
      <c r="AU101" s="65"/>
      <c r="AV101" s="27"/>
      <c r="AW101" s="27"/>
    </row>
    <row r="102" spans="7:49" ht="18.75">
      <c r="G102" s="27"/>
      <c r="H102" s="27"/>
      <c r="I102" s="65"/>
      <c r="J102" s="27"/>
      <c r="K102" s="27"/>
      <c r="L102" s="65"/>
      <c r="M102" s="65"/>
      <c r="N102" s="65"/>
      <c r="O102" s="65"/>
      <c r="P102" s="27"/>
      <c r="Q102" s="27"/>
      <c r="R102" s="65"/>
      <c r="S102" s="27"/>
      <c r="T102" s="27"/>
      <c r="U102" s="65"/>
      <c r="V102" s="65"/>
      <c r="W102" s="65"/>
      <c r="X102" s="65"/>
      <c r="Y102" s="65"/>
      <c r="Z102" s="65"/>
      <c r="AA102" s="65"/>
      <c r="AB102" s="65"/>
      <c r="AC102" s="65"/>
      <c r="AD102" s="65"/>
      <c r="AE102" s="65"/>
      <c r="AF102" s="65"/>
      <c r="AG102" s="65"/>
      <c r="AH102" s="65"/>
      <c r="AI102" s="65"/>
      <c r="AJ102" s="65"/>
      <c r="AK102" s="65"/>
      <c r="AL102" s="65"/>
      <c r="AM102" s="65"/>
      <c r="AN102" s="65"/>
      <c r="AO102" s="65"/>
      <c r="AP102" s="65"/>
      <c r="AQ102" s="65"/>
      <c r="AR102" s="65"/>
      <c r="AS102" s="27"/>
      <c r="AT102" s="27"/>
      <c r="AU102" s="65"/>
      <c r="AV102" s="27"/>
      <c r="AW102" s="27"/>
    </row>
    <row r="103" spans="7:49" ht="18.75">
      <c r="G103" s="27"/>
      <c r="H103" s="27"/>
      <c r="I103" s="65"/>
      <c r="J103" s="27"/>
      <c r="K103" s="27"/>
      <c r="L103" s="65"/>
      <c r="M103" s="65"/>
      <c r="N103" s="65"/>
      <c r="O103" s="65"/>
      <c r="P103" s="27"/>
      <c r="Q103" s="27"/>
      <c r="R103" s="65"/>
      <c r="S103" s="27"/>
      <c r="T103" s="27"/>
      <c r="U103" s="65"/>
      <c r="V103" s="65"/>
      <c r="W103" s="65"/>
      <c r="X103" s="65"/>
      <c r="Y103" s="65"/>
      <c r="Z103" s="65"/>
      <c r="AA103" s="65"/>
      <c r="AB103" s="65"/>
      <c r="AC103" s="65"/>
      <c r="AD103" s="65"/>
      <c r="AE103" s="65"/>
      <c r="AF103" s="65"/>
      <c r="AG103" s="65"/>
      <c r="AH103" s="65"/>
      <c r="AI103" s="65"/>
      <c r="AJ103" s="65"/>
      <c r="AK103" s="65"/>
      <c r="AL103" s="65"/>
      <c r="AM103" s="65"/>
      <c r="AN103" s="65"/>
      <c r="AO103" s="65"/>
      <c r="AP103" s="65"/>
      <c r="AQ103" s="65"/>
      <c r="AR103" s="65"/>
      <c r="AS103" s="27"/>
      <c r="AT103" s="27"/>
      <c r="AU103" s="65"/>
      <c r="AV103" s="27"/>
      <c r="AW103" s="27"/>
    </row>
    <row r="104" spans="7:49" ht="18.75">
      <c r="G104" s="27"/>
      <c r="H104" s="27"/>
      <c r="I104" s="65"/>
      <c r="J104" s="27"/>
      <c r="K104" s="27"/>
      <c r="L104" s="65"/>
      <c r="M104" s="65"/>
      <c r="N104" s="65"/>
      <c r="O104" s="65"/>
      <c r="P104" s="27"/>
      <c r="Q104" s="27"/>
      <c r="R104" s="65"/>
      <c r="S104" s="27"/>
      <c r="T104" s="27"/>
      <c r="U104" s="65"/>
      <c r="V104" s="65"/>
      <c r="W104" s="65"/>
      <c r="X104" s="65"/>
      <c r="Y104" s="65"/>
      <c r="Z104" s="65"/>
      <c r="AA104" s="65"/>
      <c r="AB104" s="65"/>
      <c r="AC104" s="65"/>
      <c r="AD104" s="65"/>
      <c r="AE104" s="65"/>
      <c r="AF104" s="65"/>
      <c r="AG104" s="65"/>
      <c r="AH104" s="65"/>
      <c r="AI104" s="65"/>
      <c r="AJ104" s="65"/>
      <c r="AK104" s="65"/>
      <c r="AL104" s="65"/>
      <c r="AM104" s="65"/>
      <c r="AN104" s="65"/>
      <c r="AO104" s="65"/>
      <c r="AP104" s="65"/>
      <c r="AQ104" s="65"/>
      <c r="AR104" s="65"/>
      <c r="AS104" s="27"/>
      <c r="AT104" s="27"/>
      <c r="AU104" s="65"/>
      <c r="AV104" s="27"/>
      <c r="AW104" s="27"/>
    </row>
  </sheetData>
  <sheetProtection/>
  <mergeCells count="25">
    <mergeCell ref="AW5:AW6"/>
    <mergeCell ref="AJ5:AL5"/>
    <mergeCell ref="B56:C56"/>
    <mergeCell ref="AM5:AN5"/>
    <mergeCell ref="AE5:AG5"/>
    <mergeCell ref="AO5:AP5"/>
    <mergeCell ref="AH5:AI5"/>
    <mergeCell ref="D1:AW1"/>
    <mergeCell ref="B2:AW2"/>
    <mergeCell ref="B3:AW3"/>
    <mergeCell ref="G5:I5"/>
    <mergeCell ref="AS5:AU5"/>
    <mergeCell ref="D5:F5"/>
    <mergeCell ref="Y5:AA5"/>
    <mergeCell ref="AB5:AD5"/>
    <mergeCell ref="M5:O5"/>
    <mergeCell ref="S5:U5"/>
    <mergeCell ref="A57:C57"/>
    <mergeCell ref="AV5:AV6"/>
    <mergeCell ref="J5:L5"/>
    <mergeCell ref="V5:X5"/>
    <mergeCell ref="B50:F50"/>
    <mergeCell ref="B55:D55"/>
    <mergeCell ref="AQ5:AR5"/>
    <mergeCell ref="P5:R5"/>
  </mergeCells>
  <printOptions horizontalCentered="1"/>
  <pageMargins left="0.03937007874015748" right="0.03937007874015748" top="0.03937007874015748" bottom="0.03937007874015748" header="0.03937007874015748" footer="0.03937007874015748"/>
  <pageSetup fitToHeight="1" fitToWidth="1" horizontalDpi="600" verticalDpi="600" orientation="landscape" paperSize="9" scale="45" r:id="rId1"/>
  <rowBreaks count="1" manualBreakCount="1">
    <brk id="55" max="2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A104"/>
  <sheetViews>
    <sheetView view="pageBreakPreview" zoomScale="80" zoomScaleNormal="75" zoomScaleSheetLayoutView="80" zoomScalePageLayoutView="0" workbookViewId="0" topLeftCell="A1">
      <pane xSplit="7" ySplit="8" topLeftCell="O21" activePane="bottomRight" state="frozen"/>
      <selection pane="topLeft" activeCell="A1" sqref="A1"/>
      <selection pane="topRight" activeCell="H1" sqref="H1"/>
      <selection pane="bottomLeft" activeCell="A9" sqref="A9"/>
      <selection pane="bottomRight" activeCell="A16" sqref="A16:IV16"/>
    </sheetView>
  </sheetViews>
  <sheetFormatPr defaultColWidth="7.875" defaultRowHeight="12.75"/>
  <cols>
    <col min="1" max="1" width="6.625" style="7" customWidth="1"/>
    <col min="2" max="2" width="56.875" style="5" customWidth="1"/>
    <col min="3" max="3" width="16.875" style="39" customWidth="1"/>
    <col min="4" max="5" width="13.25390625" style="5" hidden="1" customWidth="1"/>
    <col min="6" max="6" width="12.125" style="8" hidden="1" customWidth="1"/>
    <col min="7" max="8" width="12.375" style="5" hidden="1" customWidth="1"/>
    <col min="9" max="9" width="11.875" style="8" hidden="1" customWidth="1"/>
    <col min="10" max="11" width="12.375" style="5" hidden="1" customWidth="1"/>
    <col min="12" max="12" width="11.875" style="8" hidden="1" customWidth="1"/>
    <col min="13" max="13" width="14.75390625" style="8" customWidth="1"/>
    <col min="14" max="14" width="12.875" style="8" customWidth="1"/>
    <col min="15" max="15" width="11.875" style="8" customWidth="1"/>
    <col min="16" max="16" width="14.375" style="5" hidden="1" customWidth="1"/>
    <col min="17" max="17" width="12.375" style="5" hidden="1" customWidth="1"/>
    <col min="18" max="18" width="11.875" style="8" hidden="1" customWidth="1"/>
    <col min="19" max="19" width="14.375" style="5" hidden="1" customWidth="1"/>
    <col min="20" max="20" width="13.375" style="5" hidden="1" customWidth="1"/>
    <col min="21" max="21" width="11.875" style="8" hidden="1" customWidth="1"/>
    <col min="22" max="22" width="15.125" style="8" hidden="1" customWidth="1"/>
    <col min="23" max="23" width="13.125" style="8" hidden="1" customWidth="1"/>
    <col min="24" max="24" width="11.875" style="8" hidden="1" customWidth="1"/>
    <col min="25" max="25" width="14.75390625" style="8" customWidth="1"/>
    <col min="26" max="26" width="12.875" style="8" customWidth="1"/>
    <col min="27" max="27" width="11.875" style="8" hidden="1" customWidth="1"/>
    <col min="28" max="28" width="15.125" style="8" customWidth="1"/>
    <col min="29" max="29" width="13.125" style="8" customWidth="1"/>
    <col min="30" max="30" width="11.875" style="8" hidden="1" customWidth="1"/>
    <col min="31" max="31" width="14.625" style="8" hidden="1" customWidth="1"/>
    <col min="32" max="32" width="14.25390625" style="8" hidden="1" customWidth="1"/>
    <col min="33" max="33" width="11.875" style="8" hidden="1" customWidth="1"/>
    <col min="34" max="34" width="14.625" style="8" hidden="1" customWidth="1"/>
    <col min="35" max="35" width="13.875" style="8" hidden="1" customWidth="1"/>
    <col min="36" max="36" width="14.75390625" style="8" hidden="1" customWidth="1"/>
    <col min="37" max="37" width="12.875" style="8" hidden="1" customWidth="1"/>
    <col min="38" max="38" width="11.875" style="8" hidden="1" customWidth="1"/>
    <col min="39" max="39" width="14.625" style="8" hidden="1" customWidth="1"/>
    <col min="40" max="40" width="13.875" style="8" hidden="1" customWidth="1"/>
    <col min="41" max="41" width="14.625" style="8" hidden="1" customWidth="1"/>
    <col min="42" max="42" width="13.875" style="8" hidden="1" customWidth="1"/>
    <col min="43" max="43" width="14.625" style="8" hidden="1" customWidth="1"/>
    <col min="44" max="44" width="13.875" style="8" hidden="1" customWidth="1"/>
    <col min="45" max="45" width="14.125" style="5" customWidth="1"/>
    <col min="46" max="46" width="13.75390625" style="5" customWidth="1"/>
    <col min="47" max="47" width="12.75390625" style="8" customWidth="1"/>
    <col min="48" max="48" width="22.25390625" style="5" hidden="1" customWidth="1"/>
    <col min="49" max="49" width="22.625" style="5" customWidth="1"/>
    <col min="50" max="50" width="14.125" style="5" customWidth="1"/>
    <col min="51" max="51" width="15.375" style="5" customWidth="1"/>
    <col min="52" max="16384" width="7.875" style="5" customWidth="1"/>
  </cols>
  <sheetData>
    <row r="1" spans="4:49" ht="18.75"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147"/>
      <c r="AM1" s="147"/>
      <c r="AN1" s="147"/>
      <c r="AO1" s="147"/>
      <c r="AP1" s="147"/>
      <c r="AQ1" s="147"/>
      <c r="AR1" s="147"/>
      <c r="AS1" s="147"/>
      <c r="AT1" s="147"/>
      <c r="AU1" s="147"/>
      <c r="AV1" s="147"/>
      <c r="AW1" s="147"/>
    </row>
    <row r="2" spans="1:49" s="30" customFormat="1" ht="42" customHeight="1">
      <c r="A2" s="29"/>
      <c r="B2" s="146" t="s">
        <v>49</v>
      </c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146"/>
      <c r="AP2" s="146"/>
      <c r="AQ2" s="146"/>
      <c r="AR2" s="146"/>
      <c r="AS2" s="146"/>
      <c r="AT2" s="146"/>
      <c r="AU2" s="146"/>
      <c r="AV2" s="146"/>
      <c r="AW2" s="146"/>
    </row>
    <row r="3" spans="1:49" s="30" customFormat="1" ht="42" customHeight="1">
      <c r="A3" s="29"/>
      <c r="B3" s="146" t="s">
        <v>126</v>
      </c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146"/>
      <c r="AK3" s="146"/>
      <c r="AL3" s="146"/>
      <c r="AM3" s="146"/>
      <c r="AN3" s="146"/>
      <c r="AO3" s="146"/>
      <c r="AP3" s="146"/>
      <c r="AQ3" s="146"/>
      <c r="AR3" s="146"/>
      <c r="AS3" s="146"/>
      <c r="AT3" s="146"/>
      <c r="AU3" s="146"/>
      <c r="AV3" s="146"/>
      <c r="AW3" s="146"/>
    </row>
    <row r="4" spans="2:49" ht="18.75">
      <c r="B4" s="147"/>
      <c r="C4" s="147"/>
      <c r="AW4" s="11" t="s">
        <v>20</v>
      </c>
    </row>
    <row r="5" spans="1:49" ht="36.75" customHeight="1">
      <c r="A5" s="22" t="s">
        <v>8</v>
      </c>
      <c r="B5" s="23"/>
      <c r="C5" s="24" t="s">
        <v>1</v>
      </c>
      <c r="D5" s="143" t="s">
        <v>64</v>
      </c>
      <c r="E5" s="144"/>
      <c r="F5" s="145"/>
      <c r="G5" s="140" t="s">
        <v>66</v>
      </c>
      <c r="H5" s="141"/>
      <c r="I5" s="142"/>
      <c r="J5" s="140" t="s">
        <v>68</v>
      </c>
      <c r="K5" s="141"/>
      <c r="L5" s="142"/>
      <c r="M5" s="140" t="s">
        <v>81</v>
      </c>
      <c r="N5" s="141"/>
      <c r="O5" s="142"/>
      <c r="P5" s="140" t="s">
        <v>69</v>
      </c>
      <c r="Q5" s="141"/>
      <c r="R5" s="142"/>
      <c r="S5" s="140" t="s">
        <v>70</v>
      </c>
      <c r="T5" s="141"/>
      <c r="U5" s="142"/>
      <c r="V5" s="140" t="s">
        <v>71</v>
      </c>
      <c r="W5" s="141"/>
      <c r="X5" s="142"/>
      <c r="Y5" s="140" t="s">
        <v>72</v>
      </c>
      <c r="Z5" s="141"/>
      <c r="AA5" s="142"/>
      <c r="AB5" s="140" t="s">
        <v>73</v>
      </c>
      <c r="AC5" s="141"/>
      <c r="AD5" s="142"/>
      <c r="AE5" s="140" t="s">
        <v>74</v>
      </c>
      <c r="AF5" s="141"/>
      <c r="AG5" s="142"/>
      <c r="AH5" s="140" t="s">
        <v>75</v>
      </c>
      <c r="AI5" s="142"/>
      <c r="AJ5" s="140" t="s">
        <v>77</v>
      </c>
      <c r="AK5" s="141"/>
      <c r="AL5" s="142"/>
      <c r="AM5" s="140" t="s">
        <v>76</v>
      </c>
      <c r="AN5" s="142"/>
      <c r="AO5" s="140" t="s">
        <v>78</v>
      </c>
      <c r="AP5" s="142"/>
      <c r="AQ5" s="140" t="s">
        <v>79</v>
      </c>
      <c r="AR5" s="142"/>
      <c r="AS5" s="143" t="s">
        <v>82</v>
      </c>
      <c r="AT5" s="144"/>
      <c r="AU5" s="145"/>
      <c r="AV5" s="148" t="s">
        <v>85</v>
      </c>
      <c r="AW5" s="148" t="s">
        <v>128</v>
      </c>
    </row>
    <row r="6" spans="1:49" ht="67.5" customHeight="1">
      <c r="A6" s="25" t="s">
        <v>5</v>
      </c>
      <c r="B6" s="40" t="s">
        <v>18</v>
      </c>
      <c r="C6" s="117" t="s">
        <v>80</v>
      </c>
      <c r="D6" s="26" t="s">
        <v>65</v>
      </c>
      <c r="E6" s="26" t="s">
        <v>19</v>
      </c>
      <c r="F6" s="12" t="s">
        <v>0</v>
      </c>
      <c r="G6" s="26" t="s">
        <v>65</v>
      </c>
      <c r="H6" s="26" t="s">
        <v>19</v>
      </c>
      <c r="I6" s="12" t="s">
        <v>0</v>
      </c>
      <c r="J6" s="26" t="s">
        <v>65</v>
      </c>
      <c r="K6" s="26" t="s">
        <v>19</v>
      </c>
      <c r="L6" s="12" t="s">
        <v>0</v>
      </c>
      <c r="M6" s="26" t="s">
        <v>65</v>
      </c>
      <c r="N6" s="26" t="s">
        <v>19</v>
      </c>
      <c r="O6" s="12" t="s">
        <v>0</v>
      </c>
      <c r="P6" s="26" t="s">
        <v>65</v>
      </c>
      <c r="Q6" s="26" t="s">
        <v>19</v>
      </c>
      <c r="R6" s="12" t="s">
        <v>0</v>
      </c>
      <c r="S6" s="26" t="s">
        <v>65</v>
      </c>
      <c r="T6" s="26" t="s">
        <v>19</v>
      </c>
      <c r="U6" s="12" t="s">
        <v>0</v>
      </c>
      <c r="V6" s="26" t="s">
        <v>65</v>
      </c>
      <c r="W6" s="26" t="s">
        <v>19</v>
      </c>
      <c r="X6" s="12" t="s">
        <v>0</v>
      </c>
      <c r="Y6" s="26" t="s">
        <v>65</v>
      </c>
      <c r="Z6" s="26" t="s">
        <v>19</v>
      </c>
      <c r="AA6" s="12" t="s">
        <v>0</v>
      </c>
      <c r="AB6" s="26" t="s">
        <v>65</v>
      </c>
      <c r="AC6" s="26" t="s">
        <v>19</v>
      </c>
      <c r="AD6" s="12" t="s">
        <v>0</v>
      </c>
      <c r="AE6" s="26" t="s">
        <v>65</v>
      </c>
      <c r="AF6" s="26" t="s">
        <v>19</v>
      </c>
      <c r="AG6" s="12" t="s">
        <v>0</v>
      </c>
      <c r="AH6" s="26" t="s">
        <v>65</v>
      </c>
      <c r="AI6" s="26" t="s">
        <v>19</v>
      </c>
      <c r="AJ6" s="26" t="s">
        <v>65</v>
      </c>
      <c r="AK6" s="26" t="s">
        <v>19</v>
      </c>
      <c r="AL6" s="12" t="s">
        <v>0</v>
      </c>
      <c r="AM6" s="26" t="s">
        <v>65</v>
      </c>
      <c r="AN6" s="26" t="s">
        <v>19</v>
      </c>
      <c r="AO6" s="26" t="s">
        <v>65</v>
      </c>
      <c r="AP6" s="26" t="s">
        <v>19</v>
      </c>
      <c r="AQ6" s="26" t="s">
        <v>65</v>
      </c>
      <c r="AR6" s="26" t="s">
        <v>19</v>
      </c>
      <c r="AS6" s="26" t="s">
        <v>65</v>
      </c>
      <c r="AT6" s="26" t="s">
        <v>19</v>
      </c>
      <c r="AU6" s="12" t="s">
        <v>0</v>
      </c>
      <c r="AV6" s="149"/>
      <c r="AW6" s="149"/>
    </row>
    <row r="7" spans="1:51" s="8" customFormat="1" ht="36" customHeight="1">
      <c r="A7" s="12"/>
      <c r="B7" s="13" t="s">
        <v>21</v>
      </c>
      <c r="C7" s="68">
        <f>SUM(C8:C44)</f>
        <v>-3172.2999999999997</v>
      </c>
      <c r="D7" s="14">
        <f>SUM(D8:D44)</f>
        <v>9747.000000000002</v>
      </c>
      <c r="E7" s="14">
        <f>SUM(E8:E44)</f>
        <v>1500.4</v>
      </c>
      <c r="F7" s="14">
        <f aca="true" t="shared" si="0" ref="F7:F46">E7/D7*100</f>
        <v>15.393454396224476</v>
      </c>
      <c r="G7" s="14">
        <f>SUM(G8:G44)</f>
        <v>9560.3</v>
      </c>
      <c r="H7" s="14">
        <f>SUM(H8:H44)</f>
        <v>8433.5</v>
      </c>
      <c r="I7" s="14">
        <f>H7/G7*100</f>
        <v>88.21375898245871</v>
      </c>
      <c r="J7" s="14">
        <f>SUM(J8:J44)</f>
        <v>9679.2</v>
      </c>
      <c r="K7" s="14">
        <f>SUM(K8:K44)</f>
        <v>9361.699999999999</v>
      </c>
      <c r="L7" s="14">
        <f>K7/J7*100</f>
        <v>96.71977022894453</v>
      </c>
      <c r="M7" s="14">
        <f>SUM(M8:M44)</f>
        <v>28986.500000000004</v>
      </c>
      <c r="N7" s="14">
        <f>SUM(N8:N44)</f>
        <v>19295.600000000002</v>
      </c>
      <c r="O7" s="14"/>
      <c r="P7" s="14">
        <f>SUM(P8:P44)</f>
        <v>1852.2</v>
      </c>
      <c r="Q7" s="14">
        <f>SUM(Q8:Q44)</f>
        <v>3390.2999999999993</v>
      </c>
      <c r="R7" s="14">
        <f>Q7/P7*100</f>
        <v>183.0417881438289</v>
      </c>
      <c r="S7" s="14">
        <f>SUM(S8:S44)</f>
        <v>513.8</v>
      </c>
      <c r="T7" s="14">
        <f>SUM(T8:T44)</f>
        <v>3206</v>
      </c>
      <c r="U7" s="14">
        <f>T7/S7*100</f>
        <v>623.9782016348775</v>
      </c>
      <c r="V7" s="14">
        <f>SUM(V8:V44)</f>
        <v>497.4</v>
      </c>
      <c r="W7" s="14">
        <f>SUM(W8:W44)</f>
        <v>2522.5000000000005</v>
      </c>
      <c r="X7" s="14">
        <f>W7/V7*100</f>
        <v>507.1371129875353</v>
      </c>
      <c r="Y7" s="14">
        <f>SUM(Y8:Y44)</f>
        <v>2863.4</v>
      </c>
      <c r="Z7" s="14">
        <f>SUM(Z8:Z44)</f>
        <v>9118.800000000001</v>
      </c>
      <c r="AA7" s="14"/>
      <c r="AB7" s="14">
        <f>SUM(AB8:AB44)</f>
        <v>554.6</v>
      </c>
      <c r="AC7" s="14">
        <f>SUM(AC8:AC44)</f>
        <v>909.3</v>
      </c>
      <c r="AD7" s="14">
        <f>AC7/AB7*100</f>
        <v>163.9560043274432</v>
      </c>
      <c r="AE7" s="14">
        <f>SUM(AE8:AE44)</f>
        <v>0</v>
      </c>
      <c r="AF7" s="14">
        <f>SUM(AF8:AF44)</f>
        <v>0</v>
      </c>
      <c r="AG7" s="28" t="e">
        <f>AF7/AE7*100</f>
        <v>#DIV/0!</v>
      </c>
      <c r="AH7" s="14">
        <f>SUM(AH8:AH44)</f>
        <v>0</v>
      </c>
      <c r="AI7" s="14">
        <f>SUM(AI8:AI44)</f>
        <v>0</v>
      </c>
      <c r="AJ7" s="14">
        <f>SUM(AJ8:AJ44)</f>
        <v>554.6</v>
      </c>
      <c r="AK7" s="14">
        <f>SUM(AK8:AK44)</f>
        <v>909.3</v>
      </c>
      <c r="AL7" s="14"/>
      <c r="AM7" s="14">
        <f aca="true" t="shared" si="1" ref="AM7:AT7">SUM(AM8:AM44)</f>
        <v>0</v>
      </c>
      <c r="AN7" s="14">
        <f t="shared" si="1"/>
        <v>0</v>
      </c>
      <c r="AO7" s="14">
        <f t="shared" si="1"/>
        <v>0</v>
      </c>
      <c r="AP7" s="14">
        <f t="shared" si="1"/>
        <v>0</v>
      </c>
      <c r="AQ7" s="14">
        <f>SUM(AQ8:AQ44)</f>
        <v>0</v>
      </c>
      <c r="AR7" s="14">
        <f>SUM(AR8:AR44)</f>
        <v>0</v>
      </c>
      <c r="AS7" s="14">
        <f t="shared" si="1"/>
        <v>32404.5</v>
      </c>
      <c r="AT7" s="14">
        <f t="shared" si="1"/>
        <v>29323.700000000004</v>
      </c>
      <c r="AU7" s="14">
        <f>AT7/AS7*100</f>
        <v>90.49267848601275</v>
      </c>
      <c r="AV7" s="42">
        <f>SUM(AV8:AV44)</f>
        <v>3080.8</v>
      </c>
      <c r="AW7" s="42">
        <f>SUM(AW8:AW44)</f>
        <v>-91.50000000000037</v>
      </c>
      <c r="AX7" s="20">
        <f>AS7-AT7</f>
        <v>3080.7999999999956</v>
      </c>
      <c r="AY7" s="20">
        <f>C7+AS7-AT7</f>
        <v>-91.50000000000364</v>
      </c>
    </row>
    <row r="8" spans="1:49" ht="30.75" customHeight="1">
      <c r="A8" s="6">
        <v>1</v>
      </c>
      <c r="B8" s="1" t="s">
        <v>98</v>
      </c>
      <c r="C8" s="2">
        <v>0</v>
      </c>
      <c r="D8" s="3">
        <v>358.1</v>
      </c>
      <c r="E8" s="3">
        <v>284.5</v>
      </c>
      <c r="F8" s="14">
        <f t="shared" si="0"/>
        <v>79.44708182072047</v>
      </c>
      <c r="G8" s="3">
        <v>482</v>
      </c>
      <c r="H8" s="3">
        <v>307.4</v>
      </c>
      <c r="I8" s="14">
        <f>H8/G8*100</f>
        <v>63.7759336099585</v>
      </c>
      <c r="J8" s="3">
        <v>468.6</v>
      </c>
      <c r="K8" s="3">
        <v>588.8</v>
      </c>
      <c r="L8" s="14">
        <f>K8/J8*100</f>
        <v>125.65087494664957</v>
      </c>
      <c r="M8" s="3">
        <f>D8+G8+J8</f>
        <v>1308.7</v>
      </c>
      <c r="N8" s="3">
        <f>E8+H8+K8</f>
        <v>1180.6999999999998</v>
      </c>
      <c r="O8" s="14">
        <f>N8/M8*100</f>
        <v>90.21930159700464</v>
      </c>
      <c r="P8" s="3">
        <v>34.8</v>
      </c>
      <c r="Q8" s="3">
        <v>104</v>
      </c>
      <c r="R8" s="14">
        <f>Q8/P8*100</f>
        <v>298.8505747126437</v>
      </c>
      <c r="S8" s="3">
        <v>0</v>
      </c>
      <c r="T8" s="3">
        <v>58.8</v>
      </c>
      <c r="U8" s="14"/>
      <c r="V8" s="3">
        <v>0</v>
      </c>
      <c r="W8" s="3">
        <v>0</v>
      </c>
      <c r="X8" s="14"/>
      <c r="Y8" s="3">
        <f>P8+S8+V8</f>
        <v>34.8</v>
      </c>
      <c r="Z8" s="3">
        <f>Q8+T8+W8</f>
        <v>162.8</v>
      </c>
      <c r="AA8" s="14">
        <f>Z8/Y8*100</f>
        <v>467.8160919540231</v>
      </c>
      <c r="AB8" s="3">
        <v>0</v>
      </c>
      <c r="AC8" s="3">
        <v>0</v>
      </c>
      <c r="AD8" s="3">
        <v>0</v>
      </c>
      <c r="AE8" s="3"/>
      <c r="AF8" s="3"/>
      <c r="AG8" s="28" t="e">
        <f>AF8/AE8*100</f>
        <v>#DIV/0!</v>
      </c>
      <c r="AH8" s="3"/>
      <c r="AI8" s="3"/>
      <c r="AJ8" s="3">
        <f>AB8+AE8+AH8</f>
        <v>0</v>
      </c>
      <c r="AK8" s="3">
        <f>AC8+AF8+AI8</f>
        <v>0</v>
      </c>
      <c r="AL8" s="14" t="e">
        <f>AK8/AJ8*100</f>
        <v>#DIV/0!</v>
      </c>
      <c r="AM8" s="3"/>
      <c r="AN8" s="3"/>
      <c r="AO8" s="3"/>
      <c r="AP8" s="3"/>
      <c r="AQ8" s="3"/>
      <c r="AR8" s="3"/>
      <c r="AS8" s="3">
        <f>M8+Y8+AJ8+AM8+AO8+AQ8</f>
        <v>1343.5</v>
      </c>
      <c r="AT8" s="3">
        <f>N8+Z8+AK8+AN8+AP8+AR8</f>
        <v>1343.4999999999998</v>
      </c>
      <c r="AU8" s="14">
        <f>AT8/AS8*100</f>
        <v>99.99999999999997</v>
      </c>
      <c r="AV8" s="14">
        <f>AS8-AT8</f>
        <v>0</v>
      </c>
      <c r="AW8" s="4">
        <f>C8+AS8-AT8</f>
        <v>0</v>
      </c>
    </row>
    <row r="9" spans="1:49" ht="28.5" customHeight="1">
      <c r="A9" s="6">
        <v>2</v>
      </c>
      <c r="B9" s="32" t="s">
        <v>99</v>
      </c>
      <c r="C9" s="2">
        <v>-226.2</v>
      </c>
      <c r="D9" s="3">
        <v>397.1</v>
      </c>
      <c r="E9" s="3">
        <v>0</v>
      </c>
      <c r="F9" s="14">
        <f t="shared" si="0"/>
        <v>0</v>
      </c>
      <c r="G9" s="3">
        <v>359</v>
      </c>
      <c r="H9" s="3">
        <v>0</v>
      </c>
      <c r="I9" s="14">
        <f aca="true" t="shared" si="2" ref="I9:I21">H9/G9*100</f>
        <v>0</v>
      </c>
      <c r="J9" s="3">
        <v>221.1</v>
      </c>
      <c r="K9" s="3">
        <v>830</v>
      </c>
      <c r="L9" s="14">
        <f>K9/J9*100</f>
        <v>375.3957485300769</v>
      </c>
      <c r="M9" s="3">
        <f>D9+G9+J9</f>
        <v>977.2</v>
      </c>
      <c r="N9" s="3">
        <f>E9+H9+K9</f>
        <v>830</v>
      </c>
      <c r="O9" s="14">
        <f>N9/M9*100</f>
        <v>84.93655341792878</v>
      </c>
      <c r="P9" s="3">
        <v>12.3</v>
      </c>
      <c r="Q9" s="3">
        <v>0</v>
      </c>
      <c r="R9" s="14">
        <f>Q9/P9*100</f>
        <v>0</v>
      </c>
      <c r="S9" s="3">
        <v>0</v>
      </c>
      <c r="T9" s="3">
        <v>0</v>
      </c>
      <c r="U9" s="28" t="e">
        <f>T9/S9*100</f>
        <v>#DIV/0!</v>
      </c>
      <c r="V9" s="3">
        <v>0</v>
      </c>
      <c r="W9" s="3">
        <v>0</v>
      </c>
      <c r="X9" s="28" t="e">
        <f>W9/V9*100</f>
        <v>#DIV/0!</v>
      </c>
      <c r="Y9" s="3">
        <f>P9+S9+V9</f>
        <v>12.3</v>
      </c>
      <c r="Z9" s="3">
        <f>Q9+T9+W9</f>
        <v>0</v>
      </c>
      <c r="AA9" s="28">
        <f>Z9/Y9*100</f>
        <v>0</v>
      </c>
      <c r="AB9" s="3">
        <v>0</v>
      </c>
      <c r="AC9" s="3">
        <v>8</v>
      </c>
      <c r="AD9" s="44">
        <v>0</v>
      </c>
      <c r="AE9" s="3"/>
      <c r="AF9" s="3"/>
      <c r="AG9" s="28" t="e">
        <f aca="true" t="shared" si="3" ref="AG9:AG15">AF9/AE9*100</f>
        <v>#DIV/0!</v>
      </c>
      <c r="AH9" s="3"/>
      <c r="AI9" s="3"/>
      <c r="AJ9" s="3">
        <f>AB9+AE9+AH9</f>
        <v>0</v>
      </c>
      <c r="AK9" s="3">
        <f>AC9+AF9+AI9</f>
        <v>8</v>
      </c>
      <c r="AL9" s="28" t="e">
        <f>AK9/AJ9*100</f>
        <v>#DIV/0!</v>
      </c>
      <c r="AM9" s="3"/>
      <c r="AN9" s="3"/>
      <c r="AO9" s="3"/>
      <c r="AP9" s="3"/>
      <c r="AQ9" s="3"/>
      <c r="AR9" s="3"/>
      <c r="AS9" s="3">
        <f>M9+Y9+AJ9+AM9+AO9+AQ9</f>
        <v>989.5</v>
      </c>
      <c r="AT9" s="3">
        <f>N9+Z9+AK9+AN9+AP9+AR9</f>
        <v>838</v>
      </c>
      <c r="AU9" s="14">
        <f>AT9/AS9*100</f>
        <v>84.68923698837797</v>
      </c>
      <c r="AV9" s="14">
        <f>AS9-AT9</f>
        <v>151.5</v>
      </c>
      <c r="AW9" s="4">
        <f>C9+AS9-AT9</f>
        <v>-74.70000000000005</v>
      </c>
    </row>
    <row r="10" spans="1:49" ht="27.75" customHeight="1">
      <c r="A10" s="6">
        <v>3</v>
      </c>
      <c r="B10" s="15" t="s">
        <v>83</v>
      </c>
      <c r="C10" s="78">
        <v>0</v>
      </c>
      <c r="D10" s="21"/>
      <c r="E10" s="21"/>
      <c r="F10" s="36" t="e">
        <f t="shared" si="0"/>
        <v>#DIV/0!</v>
      </c>
      <c r="G10" s="21"/>
      <c r="H10" s="21"/>
      <c r="I10" s="36" t="e">
        <f t="shared" si="2"/>
        <v>#DIV/0!</v>
      </c>
      <c r="J10" s="21"/>
      <c r="K10" s="21"/>
      <c r="L10" s="36" t="e">
        <f>K10/J10*100</f>
        <v>#DIV/0!</v>
      </c>
      <c r="M10" s="3"/>
      <c r="N10" s="3"/>
      <c r="O10" s="14"/>
      <c r="P10" s="21"/>
      <c r="Q10" s="21"/>
      <c r="R10" s="36" t="e">
        <f>Q10/P10*100</f>
        <v>#DIV/0!</v>
      </c>
      <c r="S10" s="21"/>
      <c r="T10" s="21"/>
      <c r="U10" s="36" t="e">
        <f>T10/S10*100</f>
        <v>#DIV/0!</v>
      </c>
      <c r="V10" s="21"/>
      <c r="W10" s="21"/>
      <c r="X10" s="36" t="e">
        <f>W10/V10*100</f>
        <v>#DIV/0!</v>
      </c>
      <c r="Y10" s="3"/>
      <c r="Z10" s="3"/>
      <c r="AA10" s="14"/>
      <c r="AB10" s="21"/>
      <c r="AC10" s="21"/>
      <c r="AD10" s="21" t="e">
        <f>AC10/AB10*100</f>
        <v>#DIV/0!</v>
      </c>
      <c r="AE10" s="21"/>
      <c r="AF10" s="21"/>
      <c r="AG10" s="28" t="e">
        <f t="shared" si="3"/>
        <v>#DIV/0!</v>
      </c>
      <c r="AH10" s="21"/>
      <c r="AI10" s="21"/>
      <c r="AJ10" s="3"/>
      <c r="AK10" s="3"/>
      <c r="AL10" s="14"/>
      <c r="AM10" s="21"/>
      <c r="AN10" s="21"/>
      <c r="AO10" s="21"/>
      <c r="AP10" s="21"/>
      <c r="AQ10" s="21"/>
      <c r="AR10" s="21"/>
      <c r="AS10" s="3"/>
      <c r="AT10" s="3"/>
      <c r="AU10" s="36" t="e">
        <f>AT10/AS10*100</f>
        <v>#DIV/0!</v>
      </c>
      <c r="AV10" s="14"/>
      <c r="AW10" s="4"/>
    </row>
    <row r="11" spans="1:49" ht="24" customHeight="1">
      <c r="A11" s="6">
        <v>4</v>
      </c>
      <c r="B11" s="1" t="s">
        <v>63</v>
      </c>
      <c r="C11" s="2"/>
      <c r="D11" s="3"/>
      <c r="E11" s="3"/>
      <c r="F11" s="14"/>
      <c r="G11" s="3"/>
      <c r="H11" s="3"/>
      <c r="I11" s="36" t="e">
        <f t="shared" si="2"/>
        <v>#DIV/0!</v>
      </c>
      <c r="J11" s="3"/>
      <c r="K11" s="3"/>
      <c r="L11" s="36" t="e">
        <f>K11/J11*100</f>
        <v>#DIV/0!</v>
      </c>
      <c r="M11" s="3"/>
      <c r="N11" s="3"/>
      <c r="O11" s="14"/>
      <c r="P11" s="3"/>
      <c r="Q11" s="3"/>
      <c r="R11" s="36" t="e">
        <f>Q11/P11*100</f>
        <v>#DIV/0!</v>
      </c>
      <c r="S11" s="3"/>
      <c r="T11" s="3"/>
      <c r="U11" s="36" t="e">
        <f>T11/S11*100</f>
        <v>#DIV/0!</v>
      </c>
      <c r="V11" s="3"/>
      <c r="W11" s="3"/>
      <c r="X11" s="36" t="e">
        <f>W11/V11*100</f>
        <v>#DIV/0!</v>
      </c>
      <c r="Y11" s="3"/>
      <c r="Z11" s="3"/>
      <c r="AA11" s="14"/>
      <c r="AB11" s="3"/>
      <c r="AC11" s="3"/>
      <c r="AD11" s="21" t="e">
        <f>AC11/AB11*100</f>
        <v>#DIV/0!</v>
      </c>
      <c r="AE11" s="3"/>
      <c r="AF11" s="3"/>
      <c r="AG11" s="28" t="e">
        <f t="shared" si="3"/>
        <v>#DIV/0!</v>
      </c>
      <c r="AH11" s="3"/>
      <c r="AI11" s="3"/>
      <c r="AJ11" s="3"/>
      <c r="AK11" s="3"/>
      <c r="AL11" s="14"/>
      <c r="AM11" s="3"/>
      <c r="AN11" s="3"/>
      <c r="AO11" s="3"/>
      <c r="AP11" s="3"/>
      <c r="AQ11" s="3"/>
      <c r="AR11" s="3"/>
      <c r="AS11" s="3"/>
      <c r="AT11" s="3"/>
      <c r="AU11" s="36"/>
      <c r="AV11" s="14"/>
      <c r="AW11" s="4"/>
    </row>
    <row r="12" spans="1:49" s="43" customFormat="1" ht="24" customHeight="1">
      <c r="A12" s="6">
        <v>5</v>
      </c>
      <c r="B12" s="1" t="s">
        <v>100</v>
      </c>
      <c r="C12" s="78">
        <v>0</v>
      </c>
      <c r="D12" s="21"/>
      <c r="E12" s="21"/>
      <c r="F12" s="36" t="e">
        <f t="shared" si="0"/>
        <v>#DIV/0!</v>
      </c>
      <c r="G12" s="3"/>
      <c r="H12" s="3"/>
      <c r="I12" s="14"/>
      <c r="J12" s="3"/>
      <c r="K12" s="3"/>
      <c r="L12" s="14"/>
      <c r="M12" s="3"/>
      <c r="N12" s="3"/>
      <c r="O12" s="14"/>
      <c r="P12" s="3"/>
      <c r="Q12" s="3"/>
      <c r="R12" s="14"/>
      <c r="S12" s="3"/>
      <c r="T12" s="3"/>
      <c r="U12" s="14"/>
      <c r="V12" s="3"/>
      <c r="W12" s="3"/>
      <c r="X12" s="14"/>
      <c r="Y12" s="3"/>
      <c r="Z12" s="3"/>
      <c r="AA12" s="14"/>
      <c r="AB12" s="3"/>
      <c r="AC12" s="3"/>
      <c r="AD12" s="3"/>
      <c r="AE12" s="3"/>
      <c r="AF12" s="3"/>
      <c r="AG12" s="28" t="e">
        <f t="shared" si="3"/>
        <v>#DIV/0!</v>
      </c>
      <c r="AH12" s="3"/>
      <c r="AI12" s="3"/>
      <c r="AJ12" s="3"/>
      <c r="AK12" s="3"/>
      <c r="AL12" s="14"/>
      <c r="AM12" s="3"/>
      <c r="AN12" s="3"/>
      <c r="AO12" s="3"/>
      <c r="AP12" s="3"/>
      <c r="AQ12" s="3"/>
      <c r="AR12" s="3"/>
      <c r="AS12" s="3"/>
      <c r="AT12" s="3"/>
      <c r="AU12" s="14"/>
      <c r="AV12" s="14"/>
      <c r="AW12" s="4"/>
    </row>
    <row r="13" spans="1:49" s="43" customFormat="1" ht="24" customHeight="1">
      <c r="A13" s="6">
        <v>6</v>
      </c>
      <c r="B13" s="1" t="s">
        <v>101</v>
      </c>
      <c r="C13" s="2">
        <v>9.1</v>
      </c>
      <c r="D13" s="3">
        <v>60</v>
      </c>
      <c r="E13" s="3">
        <v>0</v>
      </c>
      <c r="F13" s="14">
        <v>0</v>
      </c>
      <c r="G13" s="3">
        <v>62.3</v>
      </c>
      <c r="H13" s="3">
        <v>79.4</v>
      </c>
      <c r="I13" s="14">
        <f t="shared" si="2"/>
        <v>127.4478330658106</v>
      </c>
      <c r="J13" s="3">
        <v>61</v>
      </c>
      <c r="K13" s="3">
        <v>53</v>
      </c>
      <c r="L13" s="14">
        <f>K13/J13*100</f>
        <v>86.88524590163934</v>
      </c>
      <c r="M13" s="3">
        <f>D13+G13+J13</f>
        <v>183.3</v>
      </c>
      <c r="N13" s="3">
        <f>E13+H13+K13</f>
        <v>132.4</v>
      </c>
      <c r="O13" s="14">
        <f>N13/M13*100</f>
        <v>72.23131478450627</v>
      </c>
      <c r="P13" s="3">
        <v>7.3</v>
      </c>
      <c r="Q13" s="3">
        <v>40</v>
      </c>
      <c r="R13" s="14">
        <f>Q13/P13*100</f>
        <v>547.945205479452</v>
      </c>
      <c r="S13" s="3">
        <v>0</v>
      </c>
      <c r="T13" s="3">
        <v>7.6</v>
      </c>
      <c r="U13" s="28" t="e">
        <f>T13/S13*100</f>
        <v>#DIV/0!</v>
      </c>
      <c r="V13" s="3">
        <v>0</v>
      </c>
      <c r="W13" s="3">
        <v>19.6</v>
      </c>
      <c r="X13" s="28" t="e">
        <f>W13/V13*100</f>
        <v>#DIV/0!</v>
      </c>
      <c r="Y13" s="3">
        <f>P13+S13+V13</f>
        <v>7.3</v>
      </c>
      <c r="Z13" s="3">
        <f>Q13+T13+W13</f>
        <v>67.2</v>
      </c>
      <c r="AA13" s="28">
        <f>Z13/Y13*100</f>
        <v>920.5479452054796</v>
      </c>
      <c r="AB13" s="3">
        <v>0</v>
      </c>
      <c r="AC13" s="3">
        <v>0</v>
      </c>
      <c r="AD13" s="44">
        <v>0</v>
      </c>
      <c r="AE13" s="3"/>
      <c r="AF13" s="3"/>
      <c r="AG13" s="28" t="e">
        <f t="shared" si="3"/>
        <v>#DIV/0!</v>
      </c>
      <c r="AH13" s="3"/>
      <c r="AI13" s="3"/>
      <c r="AJ13" s="3">
        <f>AB13+AE13+AH13</f>
        <v>0</v>
      </c>
      <c r="AK13" s="3">
        <f>AC13+AF13+AI13</f>
        <v>0</v>
      </c>
      <c r="AL13" s="28" t="e">
        <f>AK13/AJ13*100</f>
        <v>#DIV/0!</v>
      </c>
      <c r="AM13" s="3"/>
      <c r="AN13" s="3"/>
      <c r="AO13" s="3"/>
      <c r="AP13" s="3"/>
      <c r="AQ13" s="3"/>
      <c r="AR13" s="3"/>
      <c r="AS13" s="3">
        <f>M13+Y13+AJ13+AM13+AO13+AQ13</f>
        <v>190.60000000000002</v>
      </c>
      <c r="AT13" s="3">
        <f>N13+Z13+AK13+AN13+AP13+AR13</f>
        <v>199.60000000000002</v>
      </c>
      <c r="AU13" s="14">
        <f aca="true" t="shared" si="4" ref="AU13:AU22">AT13/AS13*100</f>
        <v>104.72193074501574</v>
      </c>
      <c r="AV13" s="14">
        <f>AS13-AT13</f>
        <v>-9</v>
      </c>
      <c r="AW13" s="4">
        <f>C13+AS13-AT13</f>
        <v>0.09999999999999432</v>
      </c>
    </row>
    <row r="14" spans="1:49" ht="24" customHeight="1">
      <c r="A14" s="6">
        <v>7</v>
      </c>
      <c r="B14" s="1" t="s">
        <v>102</v>
      </c>
      <c r="C14" s="78">
        <v>0</v>
      </c>
      <c r="D14" s="21"/>
      <c r="E14" s="21"/>
      <c r="F14" s="36" t="e">
        <f t="shared" si="0"/>
        <v>#DIV/0!</v>
      </c>
      <c r="G14" s="21"/>
      <c r="H14" s="21"/>
      <c r="I14" s="36" t="e">
        <f t="shared" si="2"/>
        <v>#DIV/0!</v>
      </c>
      <c r="J14" s="21"/>
      <c r="K14" s="21"/>
      <c r="L14" s="36" t="e">
        <f>K14/J14*100</f>
        <v>#DIV/0!</v>
      </c>
      <c r="M14" s="3"/>
      <c r="N14" s="3"/>
      <c r="O14" s="14"/>
      <c r="P14" s="21"/>
      <c r="Q14" s="21"/>
      <c r="R14" s="14"/>
      <c r="S14" s="21"/>
      <c r="T14" s="21"/>
      <c r="U14" s="36" t="e">
        <f>T14/S14*100</f>
        <v>#DIV/0!</v>
      </c>
      <c r="V14" s="21"/>
      <c r="W14" s="21"/>
      <c r="X14" s="36" t="e">
        <f>W14/V14*100</f>
        <v>#DIV/0!</v>
      </c>
      <c r="Y14" s="3"/>
      <c r="Z14" s="3"/>
      <c r="AA14" s="14"/>
      <c r="AB14" s="21"/>
      <c r="AC14" s="21"/>
      <c r="AD14" s="21" t="e">
        <f>AC14/AB14*100</f>
        <v>#DIV/0!</v>
      </c>
      <c r="AE14" s="21"/>
      <c r="AF14" s="21"/>
      <c r="AG14" s="28" t="e">
        <f t="shared" si="3"/>
        <v>#DIV/0!</v>
      </c>
      <c r="AH14" s="21"/>
      <c r="AI14" s="21"/>
      <c r="AJ14" s="3"/>
      <c r="AK14" s="3"/>
      <c r="AL14" s="14"/>
      <c r="AM14" s="21"/>
      <c r="AN14" s="21"/>
      <c r="AO14" s="21"/>
      <c r="AP14" s="21"/>
      <c r="AQ14" s="21"/>
      <c r="AR14" s="21"/>
      <c r="AS14" s="3"/>
      <c r="AT14" s="3"/>
      <c r="AU14" s="36" t="e">
        <f t="shared" si="4"/>
        <v>#DIV/0!</v>
      </c>
      <c r="AV14" s="14"/>
      <c r="AW14" s="4"/>
    </row>
    <row r="15" spans="1:49" s="43" customFormat="1" ht="24" customHeight="1">
      <c r="A15" s="6">
        <v>8</v>
      </c>
      <c r="B15" s="1" t="s">
        <v>103</v>
      </c>
      <c r="C15" s="2">
        <v>-11.8</v>
      </c>
      <c r="D15" s="3">
        <v>697.1</v>
      </c>
      <c r="E15" s="3">
        <v>143.7</v>
      </c>
      <c r="F15" s="14">
        <f t="shared" si="0"/>
        <v>20.61397217042031</v>
      </c>
      <c r="G15" s="3">
        <v>637.6</v>
      </c>
      <c r="H15" s="3">
        <v>443.7</v>
      </c>
      <c r="I15" s="14">
        <f t="shared" si="2"/>
        <v>69.58908406524466</v>
      </c>
      <c r="J15" s="3">
        <v>532.2</v>
      </c>
      <c r="K15" s="3">
        <v>748.9</v>
      </c>
      <c r="L15" s="14">
        <f>K15/J15*100</f>
        <v>140.71777527245393</v>
      </c>
      <c r="M15" s="3">
        <f>D15+G15+J15</f>
        <v>1866.9</v>
      </c>
      <c r="N15" s="3">
        <f>E15+H15+K15</f>
        <v>1336.3</v>
      </c>
      <c r="O15" s="14">
        <f>N15/M15*100</f>
        <v>71.57855268091488</v>
      </c>
      <c r="P15" s="3">
        <v>69.2</v>
      </c>
      <c r="Q15" s="3">
        <v>361.6</v>
      </c>
      <c r="R15" s="14">
        <f>Q15/P15*100</f>
        <v>522.5433526011561</v>
      </c>
      <c r="S15" s="3">
        <v>0</v>
      </c>
      <c r="T15" s="3">
        <v>227.9</v>
      </c>
      <c r="U15" s="14"/>
      <c r="V15" s="3">
        <v>0</v>
      </c>
      <c r="W15" s="3">
        <v>0</v>
      </c>
      <c r="X15" s="14"/>
      <c r="Y15" s="3">
        <f>P15+S15+V15</f>
        <v>69.2</v>
      </c>
      <c r="Z15" s="3">
        <f>Q15+T15+W15</f>
        <v>589.5</v>
      </c>
      <c r="AA15" s="14">
        <f>Z15/Y15*100</f>
        <v>851.878612716763</v>
      </c>
      <c r="AB15" s="3">
        <v>0</v>
      </c>
      <c r="AC15" s="3">
        <v>0</v>
      </c>
      <c r="AD15" s="3"/>
      <c r="AE15" s="3"/>
      <c r="AF15" s="3"/>
      <c r="AG15" s="28" t="e">
        <f t="shared" si="3"/>
        <v>#DIV/0!</v>
      </c>
      <c r="AH15" s="3"/>
      <c r="AI15" s="3"/>
      <c r="AJ15" s="3">
        <f>AB15+AE15+AH15</f>
        <v>0</v>
      </c>
      <c r="AK15" s="3">
        <f>AC15+AF15+AI15</f>
        <v>0</v>
      </c>
      <c r="AL15" s="14" t="e">
        <f>AK15/AJ15*100</f>
        <v>#DIV/0!</v>
      </c>
      <c r="AM15" s="3"/>
      <c r="AN15" s="3"/>
      <c r="AO15" s="3"/>
      <c r="AP15" s="3"/>
      <c r="AQ15" s="3"/>
      <c r="AR15" s="3"/>
      <c r="AS15" s="3">
        <f>M15+Y15+AJ15+AM15+AO15+AQ15</f>
        <v>1936.1000000000001</v>
      </c>
      <c r="AT15" s="3">
        <f>N15+Z15+AK15+AN15+AP15+AR15</f>
        <v>1925.8</v>
      </c>
      <c r="AU15" s="14">
        <f t="shared" si="4"/>
        <v>99.46800268581167</v>
      </c>
      <c r="AV15" s="14">
        <f>AS15-AT15</f>
        <v>10.300000000000182</v>
      </c>
      <c r="AW15" s="4">
        <f>C15+AS15-AT15</f>
        <v>-1.4999999999997726</v>
      </c>
    </row>
    <row r="16" spans="1:49" s="43" customFormat="1" ht="24" customHeight="1">
      <c r="A16" s="6">
        <v>9</v>
      </c>
      <c r="B16" s="1" t="s">
        <v>104</v>
      </c>
      <c r="C16" s="78">
        <v>0</v>
      </c>
      <c r="D16" s="21"/>
      <c r="E16" s="21"/>
      <c r="F16" s="36" t="e">
        <f t="shared" si="0"/>
        <v>#DIV/0!</v>
      </c>
      <c r="G16" s="21"/>
      <c r="H16" s="21"/>
      <c r="I16" s="36" t="e">
        <f t="shared" si="2"/>
        <v>#DIV/0!</v>
      </c>
      <c r="J16" s="21"/>
      <c r="K16" s="21"/>
      <c r="L16" s="36" t="e">
        <f>K16/J16*100</f>
        <v>#DIV/0!</v>
      </c>
      <c r="M16" s="3"/>
      <c r="N16" s="3"/>
      <c r="O16" s="14"/>
      <c r="P16" s="21"/>
      <c r="Q16" s="21"/>
      <c r="R16" s="36" t="e">
        <f>Q16/P16*100</f>
        <v>#DIV/0!</v>
      </c>
      <c r="S16" s="21"/>
      <c r="T16" s="21"/>
      <c r="U16" s="36" t="e">
        <f>T16/S16*100</f>
        <v>#DIV/0!</v>
      </c>
      <c r="V16" s="21"/>
      <c r="W16" s="21"/>
      <c r="X16" s="36" t="e">
        <f>W16/V16*100</f>
        <v>#DIV/0!</v>
      </c>
      <c r="Y16" s="3"/>
      <c r="Z16" s="3"/>
      <c r="AA16" s="14"/>
      <c r="AB16" s="21"/>
      <c r="AC16" s="21"/>
      <c r="AD16" s="21" t="e">
        <f>AC16/AB16*100</f>
        <v>#DIV/0!</v>
      </c>
      <c r="AE16" s="21"/>
      <c r="AF16" s="21"/>
      <c r="AG16" s="28"/>
      <c r="AH16" s="21"/>
      <c r="AI16" s="21"/>
      <c r="AJ16" s="3"/>
      <c r="AK16" s="3"/>
      <c r="AL16" s="14"/>
      <c r="AM16" s="21"/>
      <c r="AN16" s="21"/>
      <c r="AO16" s="21"/>
      <c r="AP16" s="21"/>
      <c r="AQ16" s="21"/>
      <c r="AR16" s="21"/>
      <c r="AS16" s="3"/>
      <c r="AT16" s="3"/>
      <c r="AU16" s="36" t="e">
        <f t="shared" si="4"/>
        <v>#DIV/0!</v>
      </c>
      <c r="AV16" s="14"/>
      <c r="AW16" s="4"/>
    </row>
    <row r="17" spans="1:49" ht="24" customHeight="1">
      <c r="A17" s="6">
        <v>10</v>
      </c>
      <c r="B17" s="15" t="s">
        <v>105</v>
      </c>
      <c r="C17" s="78">
        <v>0</v>
      </c>
      <c r="D17" s="21"/>
      <c r="E17" s="21"/>
      <c r="F17" s="36" t="e">
        <f t="shared" si="0"/>
        <v>#DIV/0!</v>
      </c>
      <c r="G17" s="3"/>
      <c r="H17" s="3"/>
      <c r="I17" s="14"/>
      <c r="J17" s="3"/>
      <c r="K17" s="3"/>
      <c r="L17" s="14"/>
      <c r="M17" s="3"/>
      <c r="N17" s="3"/>
      <c r="O17" s="14"/>
      <c r="P17" s="3"/>
      <c r="Q17" s="3"/>
      <c r="R17" s="14"/>
      <c r="S17" s="3"/>
      <c r="T17" s="3"/>
      <c r="U17" s="14"/>
      <c r="V17" s="3"/>
      <c r="W17" s="3"/>
      <c r="X17" s="14"/>
      <c r="Y17" s="3"/>
      <c r="Z17" s="3"/>
      <c r="AA17" s="14"/>
      <c r="AB17" s="3"/>
      <c r="AC17" s="3"/>
      <c r="AD17" s="3"/>
      <c r="AE17" s="3"/>
      <c r="AF17" s="3"/>
      <c r="AG17" s="28" t="e">
        <f>AF17/AE17*100</f>
        <v>#DIV/0!</v>
      </c>
      <c r="AH17" s="3"/>
      <c r="AI17" s="3"/>
      <c r="AJ17" s="3"/>
      <c r="AK17" s="3"/>
      <c r="AL17" s="14"/>
      <c r="AM17" s="3"/>
      <c r="AN17" s="3"/>
      <c r="AO17" s="3"/>
      <c r="AP17" s="3"/>
      <c r="AQ17" s="3"/>
      <c r="AR17" s="3"/>
      <c r="AS17" s="3"/>
      <c r="AT17" s="3"/>
      <c r="AU17" s="14"/>
      <c r="AV17" s="14"/>
      <c r="AW17" s="4"/>
    </row>
    <row r="18" spans="1:49" ht="24" customHeight="1">
      <c r="A18" s="6">
        <v>11</v>
      </c>
      <c r="B18" s="15" t="s">
        <v>106</v>
      </c>
      <c r="C18" s="78">
        <v>0</v>
      </c>
      <c r="D18" s="21"/>
      <c r="E18" s="21"/>
      <c r="F18" s="36" t="e">
        <f t="shared" si="0"/>
        <v>#DIV/0!</v>
      </c>
      <c r="G18" s="3"/>
      <c r="H18" s="3"/>
      <c r="I18" s="14"/>
      <c r="J18" s="3"/>
      <c r="K18" s="3"/>
      <c r="L18" s="14"/>
      <c r="M18" s="3"/>
      <c r="N18" s="3"/>
      <c r="O18" s="14"/>
      <c r="P18" s="3"/>
      <c r="Q18" s="3"/>
      <c r="R18" s="14"/>
      <c r="S18" s="3"/>
      <c r="T18" s="3"/>
      <c r="U18" s="14"/>
      <c r="V18" s="3"/>
      <c r="W18" s="3"/>
      <c r="X18" s="14"/>
      <c r="Y18" s="3"/>
      <c r="Z18" s="3"/>
      <c r="AA18" s="14"/>
      <c r="AB18" s="3"/>
      <c r="AC18" s="3"/>
      <c r="AD18" s="3"/>
      <c r="AE18" s="3"/>
      <c r="AF18" s="3"/>
      <c r="AG18" s="28" t="e">
        <f>AF18/AE18*100</f>
        <v>#DIV/0!</v>
      </c>
      <c r="AH18" s="3"/>
      <c r="AI18" s="3"/>
      <c r="AJ18" s="3"/>
      <c r="AK18" s="3"/>
      <c r="AL18" s="14"/>
      <c r="AM18" s="3"/>
      <c r="AN18" s="3"/>
      <c r="AO18" s="3"/>
      <c r="AP18" s="3"/>
      <c r="AQ18" s="3"/>
      <c r="AR18" s="3"/>
      <c r="AS18" s="3"/>
      <c r="AT18" s="3"/>
      <c r="AU18" s="14"/>
      <c r="AV18" s="14"/>
      <c r="AW18" s="4"/>
    </row>
    <row r="19" spans="1:49" ht="24" customHeight="1">
      <c r="A19" s="6">
        <v>12</v>
      </c>
      <c r="B19" s="1" t="s">
        <v>107</v>
      </c>
      <c r="C19" s="2">
        <v>0</v>
      </c>
      <c r="D19" s="3">
        <v>311.7</v>
      </c>
      <c r="E19" s="3">
        <v>0</v>
      </c>
      <c r="F19" s="14">
        <f t="shared" si="0"/>
        <v>0</v>
      </c>
      <c r="G19" s="3">
        <v>896.7</v>
      </c>
      <c r="H19" s="3">
        <v>950</v>
      </c>
      <c r="I19" s="14">
        <f t="shared" si="2"/>
        <v>105.9440169510427</v>
      </c>
      <c r="J19" s="3">
        <v>699.9</v>
      </c>
      <c r="K19" s="3">
        <v>608.4</v>
      </c>
      <c r="L19" s="14">
        <f>K19/J19*100</f>
        <v>86.92670381483069</v>
      </c>
      <c r="M19" s="3">
        <f>D19+G19+J19</f>
        <v>1908.3000000000002</v>
      </c>
      <c r="N19" s="3">
        <f>E19+H19+K19</f>
        <v>1558.4</v>
      </c>
      <c r="O19" s="14">
        <f>N19/M19*100</f>
        <v>81.66430854687418</v>
      </c>
      <c r="P19" s="3">
        <v>309.8</v>
      </c>
      <c r="Q19" s="3">
        <v>186.6</v>
      </c>
      <c r="R19" s="14">
        <f>Q19/P19*100</f>
        <v>60.232408005164615</v>
      </c>
      <c r="S19" s="3">
        <v>82.1</v>
      </c>
      <c r="T19" s="3">
        <v>288.8</v>
      </c>
      <c r="U19" s="28">
        <f>T19/S19*100</f>
        <v>351.76613885505486</v>
      </c>
      <c r="V19" s="3">
        <v>86.6</v>
      </c>
      <c r="W19" s="3">
        <v>308.8</v>
      </c>
      <c r="X19" s="28">
        <f>W19/V19*100</f>
        <v>356.5819861431871</v>
      </c>
      <c r="Y19" s="3">
        <f>P19+S19+V19</f>
        <v>478.5</v>
      </c>
      <c r="Z19" s="3">
        <f>Q19+T19+W19</f>
        <v>784.2</v>
      </c>
      <c r="AA19" s="14">
        <f>Z19/Y19*100</f>
        <v>163.8871473354232</v>
      </c>
      <c r="AB19" s="3">
        <v>114.7</v>
      </c>
      <c r="AC19" s="3">
        <v>166.8</v>
      </c>
      <c r="AD19" s="44">
        <v>0</v>
      </c>
      <c r="AE19" s="3"/>
      <c r="AF19" s="3"/>
      <c r="AG19" s="28" t="e">
        <f>AF19/AE19*100</f>
        <v>#DIV/0!</v>
      </c>
      <c r="AH19" s="3"/>
      <c r="AI19" s="3"/>
      <c r="AJ19" s="3">
        <f aca="true" t="shared" si="5" ref="AJ19:AK21">AB19+AE19+AH19</f>
        <v>114.7</v>
      </c>
      <c r="AK19" s="3">
        <f t="shared" si="5"/>
        <v>166.8</v>
      </c>
      <c r="AL19" s="28">
        <f>AK19/AJ19*100</f>
        <v>145.42284219703575</v>
      </c>
      <c r="AM19" s="3"/>
      <c r="AN19" s="3"/>
      <c r="AO19" s="3"/>
      <c r="AP19" s="3"/>
      <c r="AQ19" s="3"/>
      <c r="AR19" s="3"/>
      <c r="AS19" s="3">
        <f>M19+Y19+AJ19+AM19+AO19+AQ19</f>
        <v>2501.5</v>
      </c>
      <c r="AT19" s="3">
        <f>N19+Z19+AK19+AN19+AP19+AR19</f>
        <v>2509.4000000000005</v>
      </c>
      <c r="AU19" s="14">
        <f t="shared" si="4"/>
        <v>100.3158105136918</v>
      </c>
      <c r="AV19" s="14">
        <f>AS19-AT19</f>
        <v>-7.900000000000546</v>
      </c>
      <c r="AW19" s="4">
        <f>C19+AS19-AT19</f>
        <v>-7.900000000000546</v>
      </c>
    </row>
    <row r="20" spans="1:49" ht="24" customHeight="1">
      <c r="A20" s="6">
        <v>13</v>
      </c>
      <c r="B20" s="15" t="s">
        <v>108</v>
      </c>
      <c r="C20" s="2"/>
      <c r="D20" s="3"/>
      <c r="E20" s="3"/>
      <c r="F20" s="28"/>
      <c r="G20" s="21"/>
      <c r="H20" s="21"/>
      <c r="I20" s="14"/>
      <c r="J20" s="21"/>
      <c r="K20" s="21"/>
      <c r="L20" s="14"/>
      <c r="M20" s="3"/>
      <c r="N20" s="3"/>
      <c r="O20" s="14"/>
      <c r="P20" s="21"/>
      <c r="Q20" s="21"/>
      <c r="R20" s="14"/>
      <c r="S20" s="21"/>
      <c r="T20" s="21"/>
      <c r="U20" s="14"/>
      <c r="V20" s="21"/>
      <c r="W20" s="21"/>
      <c r="X20" s="14"/>
      <c r="Y20" s="3"/>
      <c r="Z20" s="3"/>
      <c r="AA20" s="14"/>
      <c r="AB20" s="21"/>
      <c r="AC20" s="21"/>
      <c r="AD20" s="3"/>
      <c r="AE20" s="21"/>
      <c r="AF20" s="21"/>
      <c r="AG20" s="28"/>
      <c r="AH20" s="21"/>
      <c r="AI20" s="21"/>
      <c r="AJ20" s="3"/>
      <c r="AK20" s="3"/>
      <c r="AL20" s="14"/>
      <c r="AM20" s="21"/>
      <c r="AN20" s="21"/>
      <c r="AO20" s="21"/>
      <c r="AP20" s="21"/>
      <c r="AQ20" s="21"/>
      <c r="AR20" s="21"/>
      <c r="AS20" s="3"/>
      <c r="AT20" s="3"/>
      <c r="AU20" s="14"/>
      <c r="AV20" s="14"/>
      <c r="AW20" s="4"/>
    </row>
    <row r="21" spans="1:49" ht="24" customHeight="1">
      <c r="A21" s="6">
        <v>14</v>
      </c>
      <c r="B21" s="15" t="s">
        <v>109</v>
      </c>
      <c r="C21" s="2">
        <v>-240.3</v>
      </c>
      <c r="D21" s="3">
        <v>649.1</v>
      </c>
      <c r="E21" s="3">
        <v>0</v>
      </c>
      <c r="F21" s="14">
        <f t="shared" si="0"/>
        <v>0</v>
      </c>
      <c r="G21" s="44">
        <v>598.8</v>
      </c>
      <c r="H21" s="44">
        <v>530</v>
      </c>
      <c r="I21" s="14">
        <f t="shared" si="2"/>
        <v>88.51035404141618</v>
      </c>
      <c r="J21" s="44">
        <v>560.9</v>
      </c>
      <c r="K21" s="44">
        <v>850</v>
      </c>
      <c r="L21" s="14">
        <f>K21/J21*100</f>
        <v>151.54216437867714</v>
      </c>
      <c r="M21" s="3">
        <f>D21+G21+J21</f>
        <v>1808.8000000000002</v>
      </c>
      <c r="N21" s="3">
        <f>E21+H21+K21</f>
        <v>1380</v>
      </c>
      <c r="O21" s="14">
        <f>N21/M21*100</f>
        <v>76.29367536488279</v>
      </c>
      <c r="P21" s="44">
        <v>146.8</v>
      </c>
      <c r="Q21" s="44">
        <v>346.3</v>
      </c>
      <c r="R21" s="14">
        <f>Q21/P21*100</f>
        <v>235.8991825613079</v>
      </c>
      <c r="S21" s="44">
        <v>150.2</v>
      </c>
      <c r="T21" s="44">
        <v>100</v>
      </c>
      <c r="U21" s="14">
        <f>T21/S21*100</f>
        <v>66.57789613848203</v>
      </c>
      <c r="V21" s="44">
        <v>138.6</v>
      </c>
      <c r="W21" s="44">
        <v>100</v>
      </c>
      <c r="X21" s="14">
        <f>W21/V21*100</f>
        <v>72.15007215007215</v>
      </c>
      <c r="Y21" s="3">
        <f>P21+S21+V21</f>
        <v>435.6</v>
      </c>
      <c r="Z21" s="3">
        <f>Q21+T21+W21</f>
        <v>546.3</v>
      </c>
      <c r="AA21" s="14">
        <f>Z21/Y21*100</f>
        <v>125.41322314049586</v>
      </c>
      <c r="AB21" s="44">
        <v>153.3</v>
      </c>
      <c r="AC21" s="44">
        <v>100</v>
      </c>
      <c r="AD21" s="3">
        <f>AC21/AB21*100</f>
        <v>65.23157208088715</v>
      </c>
      <c r="AE21" s="44"/>
      <c r="AF21" s="44"/>
      <c r="AG21" s="28"/>
      <c r="AH21" s="44"/>
      <c r="AI21" s="44"/>
      <c r="AJ21" s="3">
        <f t="shared" si="5"/>
        <v>153.3</v>
      </c>
      <c r="AK21" s="3">
        <f t="shared" si="5"/>
        <v>100</v>
      </c>
      <c r="AL21" s="14">
        <f>AK21/AJ21*100</f>
        <v>65.23157208088715</v>
      </c>
      <c r="AM21" s="44"/>
      <c r="AN21" s="44"/>
      <c r="AO21" s="44"/>
      <c r="AP21" s="44"/>
      <c r="AQ21" s="44"/>
      <c r="AR21" s="44"/>
      <c r="AS21" s="3">
        <f>M21+Y21+AJ21+AM21+AO21+AQ21</f>
        <v>2397.7000000000003</v>
      </c>
      <c r="AT21" s="3">
        <f>N21+Z21+AK21+AN21+AP21+AR21</f>
        <v>2026.3</v>
      </c>
      <c r="AU21" s="14">
        <f>AT21/AS21*100</f>
        <v>84.5101555657505</v>
      </c>
      <c r="AV21" s="14">
        <f>AS21-AT21</f>
        <v>371.4000000000003</v>
      </c>
      <c r="AW21" s="4">
        <f>C21+AS21-AT21</f>
        <v>131.10000000000014</v>
      </c>
    </row>
    <row r="22" spans="1:49" ht="27" customHeight="1">
      <c r="A22" s="6">
        <v>15</v>
      </c>
      <c r="B22" s="15" t="s">
        <v>110</v>
      </c>
      <c r="C22" s="78">
        <v>0</v>
      </c>
      <c r="D22" s="21"/>
      <c r="E22" s="21"/>
      <c r="F22" s="36" t="e">
        <f t="shared" si="0"/>
        <v>#DIV/0!</v>
      </c>
      <c r="G22" s="21"/>
      <c r="H22" s="21"/>
      <c r="I22" s="36" t="e">
        <f>H22/G22*100</f>
        <v>#DIV/0!</v>
      </c>
      <c r="J22" s="21"/>
      <c r="K22" s="21"/>
      <c r="L22" s="36" t="e">
        <f>K22/J22*100</f>
        <v>#DIV/0!</v>
      </c>
      <c r="M22" s="3"/>
      <c r="N22" s="3"/>
      <c r="O22" s="14"/>
      <c r="P22" s="21"/>
      <c r="Q22" s="21"/>
      <c r="R22" s="36" t="e">
        <f>Q22/P22*100</f>
        <v>#DIV/0!</v>
      </c>
      <c r="S22" s="21"/>
      <c r="T22" s="21"/>
      <c r="U22" s="36" t="e">
        <f>T22/S22*100</f>
        <v>#DIV/0!</v>
      </c>
      <c r="V22" s="21"/>
      <c r="W22" s="21"/>
      <c r="X22" s="36" t="e">
        <f>W22/V22*100</f>
        <v>#DIV/0!</v>
      </c>
      <c r="Y22" s="3"/>
      <c r="Z22" s="3"/>
      <c r="AA22" s="14"/>
      <c r="AB22" s="21"/>
      <c r="AC22" s="21"/>
      <c r="AD22" s="21" t="e">
        <f>AC22/AB22*100</f>
        <v>#DIV/0!</v>
      </c>
      <c r="AE22" s="21"/>
      <c r="AF22" s="21"/>
      <c r="AG22" s="28"/>
      <c r="AH22" s="21"/>
      <c r="AI22" s="21"/>
      <c r="AJ22" s="3"/>
      <c r="AK22" s="3"/>
      <c r="AL22" s="14"/>
      <c r="AM22" s="21"/>
      <c r="AN22" s="21"/>
      <c r="AO22" s="21"/>
      <c r="AP22" s="21"/>
      <c r="AQ22" s="21"/>
      <c r="AR22" s="21"/>
      <c r="AS22" s="3"/>
      <c r="AT22" s="3"/>
      <c r="AU22" s="36" t="e">
        <f t="shared" si="4"/>
        <v>#DIV/0!</v>
      </c>
      <c r="AV22" s="14"/>
      <c r="AW22" s="4"/>
    </row>
    <row r="23" spans="1:49" ht="24" customHeight="1">
      <c r="A23" s="6">
        <v>16</v>
      </c>
      <c r="B23" s="15" t="s">
        <v>29</v>
      </c>
      <c r="C23" s="2"/>
      <c r="D23" s="107"/>
      <c r="E23" s="108"/>
      <c r="F23" s="108"/>
      <c r="G23" s="108"/>
      <c r="H23" s="108"/>
      <c r="I23" s="108"/>
      <c r="J23" s="108"/>
      <c r="K23" s="108"/>
      <c r="L23" s="108"/>
      <c r="M23" s="3"/>
      <c r="N23" s="3"/>
      <c r="O23" s="14"/>
      <c r="P23" s="108"/>
      <c r="Q23" s="108"/>
      <c r="R23" s="108"/>
      <c r="S23" s="108"/>
      <c r="T23" s="108"/>
      <c r="U23" s="108"/>
      <c r="V23" s="108"/>
      <c r="W23" s="108"/>
      <c r="X23" s="108"/>
      <c r="Y23" s="3"/>
      <c r="Z23" s="3"/>
      <c r="AA23" s="14"/>
      <c r="AB23" s="108"/>
      <c r="AC23" s="108"/>
      <c r="AD23" s="112"/>
      <c r="AE23" s="90"/>
      <c r="AF23" s="90"/>
      <c r="AG23" s="110"/>
      <c r="AH23" s="90"/>
      <c r="AI23" s="90"/>
      <c r="AJ23" s="3"/>
      <c r="AK23" s="3"/>
      <c r="AL23" s="14"/>
      <c r="AM23" s="90"/>
      <c r="AN23" s="90"/>
      <c r="AO23" s="90"/>
      <c r="AP23" s="90"/>
      <c r="AQ23" s="90"/>
      <c r="AR23" s="90"/>
      <c r="AS23" s="3"/>
      <c r="AT23" s="3"/>
      <c r="AU23" s="108"/>
      <c r="AV23" s="14"/>
      <c r="AW23" s="4"/>
    </row>
    <row r="24" spans="1:49" ht="29.25" customHeight="1">
      <c r="A24" s="6">
        <v>17</v>
      </c>
      <c r="B24" s="15" t="s">
        <v>111</v>
      </c>
      <c r="C24" s="2">
        <v>-211.3</v>
      </c>
      <c r="D24" s="3">
        <v>593.2</v>
      </c>
      <c r="E24" s="3">
        <v>0</v>
      </c>
      <c r="F24" s="14">
        <f t="shared" si="0"/>
        <v>0</v>
      </c>
      <c r="G24" s="3">
        <v>688.2</v>
      </c>
      <c r="H24" s="3">
        <v>775</v>
      </c>
      <c r="I24" s="14">
        <f>H24/G24*100</f>
        <v>112.6126126126126</v>
      </c>
      <c r="J24" s="3">
        <v>549.9</v>
      </c>
      <c r="K24" s="3">
        <v>456.4</v>
      </c>
      <c r="L24" s="14">
        <f>K24/J24*100</f>
        <v>82.99690852882343</v>
      </c>
      <c r="M24" s="3">
        <f>D24+G24+J24</f>
        <v>1831.3000000000002</v>
      </c>
      <c r="N24" s="3">
        <f>E24+H24+K24</f>
        <v>1231.4</v>
      </c>
      <c r="O24" s="14">
        <f>N24/M24*100</f>
        <v>67.24185005187572</v>
      </c>
      <c r="P24" s="3">
        <v>41.1</v>
      </c>
      <c r="Q24" s="3">
        <v>416.6</v>
      </c>
      <c r="R24" s="33">
        <f>Q24/P24*100</f>
        <v>1013.6253041362531</v>
      </c>
      <c r="S24" s="3">
        <v>0</v>
      </c>
      <c r="T24" s="3">
        <v>8.8</v>
      </c>
      <c r="U24" s="28" t="e">
        <f>T24/S24*100</f>
        <v>#DIV/0!</v>
      </c>
      <c r="V24" s="3">
        <v>0</v>
      </c>
      <c r="W24" s="3">
        <v>4.3</v>
      </c>
      <c r="X24" s="28" t="e">
        <f>W24/V24*100</f>
        <v>#DIV/0!</v>
      </c>
      <c r="Y24" s="3">
        <f>P24+S24+V24</f>
        <v>41.1</v>
      </c>
      <c r="Z24" s="3">
        <f>Q24+T24+W24</f>
        <v>429.70000000000005</v>
      </c>
      <c r="AA24" s="28">
        <f>Z24/Y24*100</f>
        <v>1045.498783454988</v>
      </c>
      <c r="AB24" s="3">
        <v>0</v>
      </c>
      <c r="AC24" s="3">
        <v>0</v>
      </c>
      <c r="AD24" s="44">
        <v>0</v>
      </c>
      <c r="AE24" s="3"/>
      <c r="AF24" s="3"/>
      <c r="AG24" s="28" t="e">
        <f>AF24/AE24*100</f>
        <v>#DIV/0!</v>
      </c>
      <c r="AH24" s="3"/>
      <c r="AI24" s="3"/>
      <c r="AJ24" s="3">
        <f>AB24+AE24+AH24</f>
        <v>0</v>
      </c>
      <c r="AK24" s="3">
        <f>AC24+AF24+AI24</f>
        <v>0</v>
      </c>
      <c r="AL24" s="28" t="e">
        <f>AK24/AJ24*100</f>
        <v>#DIV/0!</v>
      </c>
      <c r="AM24" s="3"/>
      <c r="AN24" s="3"/>
      <c r="AO24" s="3"/>
      <c r="AP24" s="3"/>
      <c r="AQ24" s="3"/>
      <c r="AR24" s="3"/>
      <c r="AS24" s="3">
        <f>M24+Y24+AJ24+AM24+AO24+AQ24</f>
        <v>1872.4</v>
      </c>
      <c r="AT24" s="3">
        <f>N24+Z24+AK24+AN24+AP24+AR24</f>
        <v>1661.1000000000001</v>
      </c>
      <c r="AU24" s="14">
        <f>AT24/AS24*100</f>
        <v>88.71501815851313</v>
      </c>
      <c r="AV24" s="14">
        <f>AS24-AT24</f>
        <v>211.29999999999995</v>
      </c>
      <c r="AW24" s="4">
        <f>C24+AS24-AT24</f>
        <v>0</v>
      </c>
    </row>
    <row r="25" spans="1:49" ht="24" customHeight="1">
      <c r="A25" s="6">
        <v>18</v>
      </c>
      <c r="B25" s="1" t="s">
        <v>112</v>
      </c>
      <c r="C25" s="2">
        <v>-22.4</v>
      </c>
      <c r="D25" s="3">
        <v>165.7</v>
      </c>
      <c r="E25" s="3">
        <v>179.2</v>
      </c>
      <c r="F25" s="14">
        <f t="shared" si="0"/>
        <v>108.14725407362704</v>
      </c>
      <c r="G25" s="44">
        <v>168</v>
      </c>
      <c r="H25" s="44">
        <v>132.1</v>
      </c>
      <c r="I25" s="33">
        <f>H25/G25*100</f>
        <v>78.63095238095238</v>
      </c>
      <c r="J25" s="44">
        <v>134.4</v>
      </c>
      <c r="K25" s="44">
        <v>134.4</v>
      </c>
      <c r="L25" s="33">
        <f>K25/J25*100</f>
        <v>100</v>
      </c>
      <c r="M25" s="3">
        <f>D25+G25+J25</f>
        <v>468.1</v>
      </c>
      <c r="N25" s="3">
        <f>E25+H25+K25</f>
        <v>445.69999999999993</v>
      </c>
      <c r="O25" s="14">
        <f>N25/M25*100</f>
        <v>95.21469771416362</v>
      </c>
      <c r="P25" s="44">
        <v>82.9</v>
      </c>
      <c r="Q25" s="44">
        <v>82.9</v>
      </c>
      <c r="R25" s="33">
        <f>Q25/P25*100</f>
        <v>100</v>
      </c>
      <c r="S25" s="44">
        <v>0</v>
      </c>
      <c r="T25" s="44">
        <v>0</v>
      </c>
      <c r="U25" s="33" t="e">
        <f>T25/S25*100</f>
        <v>#DIV/0!</v>
      </c>
      <c r="V25" s="44">
        <v>0</v>
      </c>
      <c r="W25" s="44">
        <v>0</v>
      </c>
      <c r="X25" s="28" t="e">
        <f>W25/V25*100</f>
        <v>#DIV/0!</v>
      </c>
      <c r="Y25" s="3">
        <f>P25+S25+V25</f>
        <v>82.9</v>
      </c>
      <c r="Z25" s="3">
        <f>Q25+T25+W25</f>
        <v>82.9</v>
      </c>
      <c r="AA25" s="14">
        <f>Z25/Y25*100</f>
        <v>100</v>
      </c>
      <c r="AB25" s="44">
        <v>0</v>
      </c>
      <c r="AC25" s="44">
        <v>0</v>
      </c>
      <c r="AD25" s="44">
        <v>0</v>
      </c>
      <c r="AE25" s="44"/>
      <c r="AF25" s="44"/>
      <c r="AG25" s="44" t="e">
        <f>AF25/AE25*100</f>
        <v>#DIV/0!</v>
      </c>
      <c r="AH25" s="44"/>
      <c r="AI25" s="44"/>
      <c r="AJ25" s="3">
        <f>AB25+AE25+AH25</f>
        <v>0</v>
      </c>
      <c r="AK25" s="3">
        <f>AC25+AF25+AI25</f>
        <v>0</v>
      </c>
      <c r="AL25" s="14" t="e">
        <f>AK25/AJ25*100</f>
        <v>#DIV/0!</v>
      </c>
      <c r="AM25" s="44"/>
      <c r="AN25" s="44"/>
      <c r="AO25" s="44"/>
      <c r="AP25" s="44"/>
      <c r="AQ25" s="44"/>
      <c r="AR25" s="44"/>
      <c r="AS25" s="3">
        <f>M25+Y25+AJ25+AM25+AO25+AQ25</f>
        <v>551</v>
      </c>
      <c r="AT25" s="3">
        <f>N25+Z25+AK25+AN25+AP25+AR25</f>
        <v>528.5999999999999</v>
      </c>
      <c r="AU25" s="14">
        <f>AT25/AS25*100</f>
        <v>95.93466424682394</v>
      </c>
      <c r="AV25" s="14">
        <f>AS25-AT25</f>
        <v>22.40000000000009</v>
      </c>
      <c r="AW25" s="4">
        <f>C25+AS25-AT25</f>
        <v>0</v>
      </c>
    </row>
    <row r="26" spans="1:49" s="43" customFormat="1" ht="24" customHeight="1">
      <c r="A26" s="6">
        <v>19</v>
      </c>
      <c r="B26" s="15" t="s">
        <v>113</v>
      </c>
      <c r="C26" s="78">
        <v>0</v>
      </c>
      <c r="D26" s="21"/>
      <c r="E26" s="21"/>
      <c r="F26" s="36" t="e">
        <f t="shared" si="0"/>
        <v>#DIV/0!</v>
      </c>
      <c r="G26" s="3"/>
      <c r="H26" s="3"/>
      <c r="I26" s="14"/>
      <c r="J26" s="3"/>
      <c r="K26" s="3"/>
      <c r="L26" s="14"/>
      <c r="M26" s="3"/>
      <c r="N26" s="3"/>
      <c r="O26" s="14"/>
      <c r="P26" s="3"/>
      <c r="Q26" s="3"/>
      <c r="R26" s="14"/>
      <c r="S26" s="3"/>
      <c r="T26" s="3"/>
      <c r="U26" s="14"/>
      <c r="V26" s="3"/>
      <c r="W26" s="3"/>
      <c r="X26" s="14"/>
      <c r="Y26" s="3"/>
      <c r="Z26" s="3"/>
      <c r="AA26" s="14"/>
      <c r="AB26" s="3"/>
      <c r="AC26" s="3"/>
      <c r="AD26" s="3"/>
      <c r="AE26" s="3"/>
      <c r="AF26" s="3"/>
      <c r="AG26" s="28" t="e">
        <f>AF26/AE26*100</f>
        <v>#DIV/0!</v>
      </c>
      <c r="AH26" s="3"/>
      <c r="AI26" s="3"/>
      <c r="AJ26" s="3"/>
      <c r="AK26" s="3"/>
      <c r="AL26" s="14"/>
      <c r="AM26" s="3"/>
      <c r="AN26" s="3"/>
      <c r="AO26" s="3"/>
      <c r="AP26" s="3"/>
      <c r="AQ26" s="3"/>
      <c r="AR26" s="3"/>
      <c r="AS26" s="3"/>
      <c r="AT26" s="3"/>
      <c r="AU26" s="14"/>
      <c r="AV26" s="14"/>
      <c r="AW26" s="4"/>
    </row>
    <row r="27" spans="1:49" ht="31.5" customHeight="1">
      <c r="A27" s="6">
        <v>20</v>
      </c>
      <c r="B27" s="15" t="s">
        <v>114</v>
      </c>
      <c r="C27" s="78">
        <v>0</v>
      </c>
      <c r="D27" s="3"/>
      <c r="E27" s="3"/>
      <c r="F27" s="14"/>
      <c r="G27" s="3"/>
      <c r="H27" s="3"/>
      <c r="I27" s="14"/>
      <c r="J27" s="3"/>
      <c r="K27" s="3"/>
      <c r="L27" s="14"/>
      <c r="M27" s="3"/>
      <c r="N27" s="3"/>
      <c r="O27" s="14"/>
      <c r="P27" s="3"/>
      <c r="Q27" s="3"/>
      <c r="R27" s="14"/>
      <c r="S27" s="3"/>
      <c r="T27" s="3"/>
      <c r="U27" s="14"/>
      <c r="V27" s="3"/>
      <c r="W27" s="3"/>
      <c r="X27" s="14"/>
      <c r="Y27" s="3"/>
      <c r="Z27" s="3"/>
      <c r="AA27" s="14"/>
      <c r="AB27" s="3"/>
      <c r="AC27" s="3"/>
      <c r="AD27" s="3"/>
      <c r="AE27" s="3"/>
      <c r="AF27" s="3"/>
      <c r="AG27" s="28" t="e">
        <f>AF27/AE27*100</f>
        <v>#DIV/0!</v>
      </c>
      <c r="AH27" s="3"/>
      <c r="AI27" s="3"/>
      <c r="AJ27" s="3"/>
      <c r="AK27" s="3"/>
      <c r="AL27" s="14"/>
      <c r="AM27" s="3"/>
      <c r="AN27" s="3"/>
      <c r="AO27" s="3"/>
      <c r="AP27" s="3"/>
      <c r="AQ27" s="3"/>
      <c r="AR27" s="3"/>
      <c r="AS27" s="3"/>
      <c r="AT27" s="3"/>
      <c r="AU27" s="14"/>
      <c r="AV27" s="14"/>
      <c r="AW27" s="4"/>
    </row>
    <row r="28" spans="1:49" ht="31.5" customHeight="1">
      <c r="A28" s="6">
        <v>21</v>
      </c>
      <c r="B28" s="1" t="s">
        <v>97</v>
      </c>
      <c r="C28" s="78">
        <v>0</v>
      </c>
      <c r="D28" s="21"/>
      <c r="E28" s="21"/>
      <c r="F28" s="36" t="e">
        <f t="shared" si="0"/>
        <v>#DIV/0!</v>
      </c>
      <c r="G28" s="21"/>
      <c r="H28" s="21"/>
      <c r="I28" s="36" t="e">
        <f>H28/G28*100</f>
        <v>#DIV/0!</v>
      </c>
      <c r="J28" s="21"/>
      <c r="K28" s="21"/>
      <c r="L28" s="36" t="e">
        <f>K28/J28*100</f>
        <v>#DIV/0!</v>
      </c>
      <c r="M28" s="3"/>
      <c r="N28" s="3"/>
      <c r="O28" s="14"/>
      <c r="P28" s="21"/>
      <c r="Q28" s="21"/>
      <c r="R28" s="36" t="e">
        <f>Q28/P28*100</f>
        <v>#DIV/0!</v>
      </c>
      <c r="S28" s="21"/>
      <c r="T28" s="21"/>
      <c r="U28" s="36" t="e">
        <f>T28/S28*100</f>
        <v>#DIV/0!</v>
      </c>
      <c r="V28" s="21"/>
      <c r="W28" s="21"/>
      <c r="X28" s="36" t="e">
        <f>W28/V28*100</f>
        <v>#DIV/0!</v>
      </c>
      <c r="Y28" s="3"/>
      <c r="Z28" s="3"/>
      <c r="AA28" s="14"/>
      <c r="AB28" s="21"/>
      <c r="AC28" s="21"/>
      <c r="AD28" s="21" t="e">
        <f>AC28/AB28*100</f>
        <v>#DIV/0!</v>
      </c>
      <c r="AE28" s="21"/>
      <c r="AF28" s="21"/>
      <c r="AG28" s="28"/>
      <c r="AH28" s="21"/>
      <c r="AI28" s="21"/>
      <c r="AJ28" s="3"/>
      <c r="AK28" s="3"/>
      <c r="AL28" s="14"/>
      <c r="AM28" s="21"/>
      <c r="AN28" s="21"/>
      <c r="AO28" s="21"/>
      <c r="AP28" s="21"/>
      <c r="AQ28" s="21"/>
      <c r="AR28" s="21"/>
      <c r="AS28" s="3"/>
      <c r="AT28" s="3"/>
      <c r="AU28" s="14"/>
      <c r="AV28" s="14"/>
      <c r="AW28" s="4"/>
    </row>
    <row r="29" spans="1:49" ht="24" customHeight="1">
      <c r="A29" s="6">
        <v>22</v>
      </c>
      <c r="B29" s="1" t="s">
        <v>31</v>
      </c>
      <c r="C29" s="46"/>
      <c r="D29" s="35"/>
      <c r="E29" s="35"/>
      <c r="F29" s="35"/>
      <c r="G29" s="35"/>
      <c r="H29" s="35"/>
      <c r="I29" s="35"/>
      <c r="J29" s="35"/>
      <c r="K29" s="35"/>
      <c r="L29" s="35"/>
      <c r="M29" s="3"/>
      <c r="N29" s="3"/>
      <c r="O29" s="14"/>
      <c r="P29" s="35"/>
      <c r="Q29" s="35"/>
      <c r="R29" s="35"/>
      <c r="S29" s="35"/>
      <c r="T29" s="35"/>
      <c r="U29" s="35"/>
      <c r="V29" s="35"/>
      <c r="W29" s="35"/>
      <c r="X29" s="35"/>
      <c r="Y29" s="3"/>
      <c r="Z29" s="3"/>
      <c r="AA29" s="14"/>
      <c r="AB29" s="35"/>
      <c r="AC29" s="35"/>
      <c r="AD29" s="34"/>
      <c r="AE29" s="46"/>
      <c r="AF29" s="46"/>
      <c r="AG29" s="111"/>
      <c r="AH29" s="46"/>
      <c r="AI29" s="46"/>
      <c r="AJ29" s="3"/>
      <c r="AK29" s="3"/>
      <c r="AL29" s="14"/>
      <c r="AM29" s="46"/>
      <c r="AN29" s="46"/>
      <c r="AO29" s="46"/>
      <c r="AP29" s="46"/>
      <c r="AQ29" s="46"/>
      <c r="AR29" s="46"/>
      <c r="AS29" s="3"/>
      <c r="AT29" s="3"/>
      <c r="AU29" s="35"/>
      <c r="AV29" s="14"/>
      <c r="AW29" s="4"/>
    </row>
    <row r="30" spans="1:49" ht="24" customHeight="1">
      <c r="A30" s="6">
        <v>23</v>
      </c>
      <c r="B30" s="15" t="s">
        <v>32</v>
      </c>
      <c r="C30" s="47"/>
      <c r="D30" s="35"/>
      <c r="E30" s="35"/>
      <c r="F30" s="35"/>
      <c r="G30" s="35"/>
      <c r="H30" s="35"/>
      <c r="I30" s="35"/>
      <c r="J30" s="35"/>
      <c r="K30" s="35"/>
      <c r="L30" s="35"/>
      <c r="M30" s="3"/>
      <c r="N30" s="3"/>
      <c r="O30" s="14"/>
      <c r="P30" s="35"/>
      <c r="Q30" s="35"/>
      <c r="R30" s="35"/>
      <c r="S30" s="35"/>
      <c r="T30" s="35"/>
      <c r="U30" s="35"/>
      <c r="V30" s="35"/>
      <c r="W30" s="35"/>
      <c r="X30" s="35"/>
      <c r="Y30" s="3"/>
      <c r="Z30" s="3"/>
      <c r="AA30" s="14"/>
      <c r="AB30" s="35"/>
      <c r="AC30" s="35"/>
      <c r="AD30" s="34"/>
      <c r="AE30" s="46"/>
      <c r="AF30" s="46"/>
      <c r="AG30" s="111"/>
      <c r="AH30" s="46"/>
      <c r="AI30" s="46"/>
      <c r="AJ30" s="3"/>
      <c r="AK30" s="3"/>
      <c r="AL30" s="14"/>
      <c r="AM30" s="46"/>
      <c r="AN30" s="46"/>
      <c r="AO30" s="46"/>
      <c r="AP30" s="46"/>
      <c r="AQ30" s="46"/>
      <c r="AR30" s="46"/>
      <c r="AS30" s="3"/>
      <c r="AT30" s="3"/>
      <c r="AU30" s="35"/>
      <c r="AV30" s="14"/>
      <c r="AW30" s="4"/>
    </row>
    <row r="31" spans="1:49" ht="24" customHeight="1">
      <c r="A31" s="6">
        <v>24</v>
      </c>
      <c r="B31" s="15" t="s">
        <v>33</v>
      </c>
      <c r="C31" s="47"/>
      <c r="D31" s="35"/>
      <c r="E31" s="35"/>
      <c r="F31" s="35"/>
      <c r="G31" s="35"/>
      <c r="H31" s="35"/>
      <c r="I31" s="35"/>
      <c r="J31" s="35"/>
      <c r="K31" s="35"/>
      <c r="L31" s="35"/>
      <c r="M31" s="3"/>
      <c r="N31" s="3"/>
      <c r="O31" s="14"/>
      <c r="P31" s="35"/>
      <c r="Q31" s="35"/>
      <c r="R31" s="35"/>
      <c r="S31" s="35"/>
      <c r="T31" s="35"/>
      <c r="U31" s="35"/>
      <c r="V31" s="35"/>
      <c r="W31" s="35"/>
      <c r="X31" s="35"/>
      <c r="Y31" s="3"/>
      <c r="Z31" s="3"/>
      <c r="AA31" s="14"/>
      <c r="AB31" s="35"/>
      <c r="AC31" s="35"/>
      <c r="AD31" s="34"/>
      <c r="AE31" s="46"/>
      <c r="AF31" s="46"/>
      <c r="AG31" s="111"/>
      <c r="AH31" s="46"/>
      <c r="AI31" s="46"/>
      <c r="AJ31" s="3"/>
      <c r="AK31" s="3"/>
      <c r="AL31" s="14"/>
      <c r="AM31" s="46"/>
      <c r="AN31" s="46"/>
      <c r="AO31" s="46"/>
      <c r="AP31" s="46"/>
      <c r="AQ31" s="46"/>
      <c r="AR31" s="46"/>
      <c r="AS31" s="3"/>
      <c r="AT31" s="3"/>
      <c r="AU31" s="35"/>
      <c r="AV31" s="14"/>
      <c r="AW31" s="4"/>
    </row>
    <row r="32" spans="1:49" ht="24" customHeight="1">
      <c r="A32" s="6">
        <v>25</v>
      </c>
      <c r="B32" s="15" t="s">
        <v>34</v>
      </c>
      <c r="C32" s="2"/>
      <c r="D32" s="21"/>
      <c r="E32" s="21"/>
      <c r="F32" s="36" t="e">
        <f t="shared" si="0"/>
        <v>#DIV/0!</v>
      </c>
      <c r="G32" s="21"/>
      <c r="H32" s="21"/>
      <c r="I32" s="36"/>
      <c r="J32" s="21"/>
      <c r="K32" s="21"/>
      <c r="L32" s="36"/>
      <c r="M32" s="3"/>
      <c r="N32" s="3"/>
      <c r="O32" s="14"/>
      <c r="P32" s="21"/>
      <c r="Q32" s="21"/>
      <c r="R32" s="36"/>
      <c r="S32" s="21"/>
      <c r="T32" s="21"/>
      <c r="U32" s="36"/>
      <c r="V32" s="21"/>
      <c r="W32" s="21"/>
      <c r="X32" s="36"/>
      <c r="Y32" s="3"/>
      <c r="Z32" s="3"/>
      <c r="AA32" s="14"/>
      <c r="AB32" s="21"/>
      <c r="AC32" s="21"/>
      <c r="AD32" s="21"/>
      <c r="AE32" s="21"/>
      <c r="AF32" s="21"/>
      <c r="AG32" s="28"/>
      <c r="AH32" s="21"/>
      <c r="AI32" s="21"/>
      <c r="AJ32" s="3"/>
      <c r="AK32" s="3"/>
      <c r="AL32" s="14"/>
      <c r="AM32" s="21"/>
      <c r="AN32" s="21"/>
      <c r="AO32" s="21"/>
      <c r="AP32" s="21"/>
      <c r="AQ32" s="21"/>
      <c r="AR32" s="21"/>
      <c r="AS32" s="3"/>
      <c r="AT32" s="3"/>
      <c r="AU32" s="36"/>
      <c r="AV32" s="14"/>
      <c r="AW32" s="4"/>
    </row>
    <row r="33" spans="1:49" ht="24" customHeight="1">
      <c r="A33" s="6"/>
      <c r="B33" s="15" t="s">
        <v>115</v>
      </c>
      <c r="C33" s="2">
        <v>-536.5</v>
      </c>
      <c r="D33" s="3">
        <v>760.3</v>
      </c>
      <c r="E33" s="3">
        <v>450</v>
      </c>
      <c r="F33" s="14">
        <v>0</v>
      </c>
      <c r="G33" s="3">
        <v>691.4</v>
      </c>
      <c r="H33" s="3">
        <v>501.7</v>
      </c>
      <c r="I33" s="14">
        <f aca="true" t="shared" si="6" ref="I33:I47">H33/G33*100</f>
        <v>72.5629158229679</v>
      </c>
      <c r="J33" s="3">
        <v>812</v>
      </c>
      <c r="K33" s="3">
        <v>483.2</v>
      </c>
      <c r="L33" s="14">
        <f aca="true" t="shared" si="7" ref="L33:L42">K33/J33*100</f>
        <v>59.50738916256157</v>
      </c>
      <c r="M33" s="3">
        <f aca="true" t="shared" si="8" ref="M33:N41">D33+G33+J33</f>
        <v>2263.7</v>
      </c>
      <c r="N33" s="3">
        <f t="shared" si="8"/>
        <v>1434.9</v>
      </c>
      <c r="O33" s="14">
        <f>N33/M33*100</f>
        <v>63.387374652118226</v>
      </c>
      <c r="P33" s="3">
        <v>153.4</v>
      </c>
      <c r="Q33" s="3">
        <v>453.7</v>
      </c>
      <c r="R33" s="14">
        <f aca="true" t="shared" si="9" ref="R33:R42">Q33/P33*100</f>
        <v>295.76271186440675</v>
      </c>
      <c r="S33" s="3">
        <v>48.8</v>
      </c>
      <c r="T33" s="3">
        <v>138.7</v>
      </c>
      <c r="U33" s="14">
        <f aca="true" t="shared" si="10" ref="U33:U42">T33/S33*100</f>
        <v>284.22131147540983</v>
      </c>
      <c r="V33" s="3">
        <v>58.8</v>
      </c>
      <c r="W33" s="3">
        <v>64.8</v>
      </c>
      <c r="X33" s="14">
        <f>W33/V33*100</f>
        <v>110.20408163265307</v>
      </c>
      <c r="Y33" s="3">
        <f aca="true" t="shared" si="11" ref="Y33:Y41">P33+S33+V33</f>
        <v>261</v>
      </c>
      <c r="Z33" s="3">
        <f aca="true" t="shared" si="12" ref="Z33:Z41">Q33+T33+W33</f>
        <v>657.1999999999999</v>
      </c>
      <c r="AA33" s="14">
        <f aca="true" t="shared" si="13" ref="AA33:AA41">Z33/Y33*100</f>
        <v>251.80076628352487</v>
      </c>
      <c r="AB33" s="3">
        <v>51</v>
      </c>
      <c r="AC33" s="3">
        <v>0</v>
      </c>
      <c r="AD33" s="3">
        <f>AC33/AB33*100</f>
        <v>0</v>
      </c>
      <c r="AE33" s="3"/>
      <c r="AF33" s="3"/>
      <c r="AG33" s="28" t="e">
        <f>AF33/AE33*100</f>
        <v>#DIV/0!</v>
      </c>
      <c r="AH33" s="3"/>
      <c r="AI33" s="3"/>
      <c r="AJ33" s="3">
        <f aca="true" t="shared" si="14" ref="AJ33:AK41">AB33+AE33+AH33</f>
        <v>51</v>
      </c>
      <c r="AK33" s="3">
        <f t="shared" si="14"/>
        <v>0</v>
      </c>
      <c r="AL33" s="14">
        <f aca="true" t="shared" si="15" ref="AL33:AL41">AK33/AJ33*100</f>
        <v>0</v>
      </c>
      <c r="AM33" s="3"/>
      <c r="AN33" s="3"/>
      <c r="AO33" s="3"/>
      <c r="AP33" s="3"/>
      <c r="AQ33" s="3"/>
      <c r="AR33" s="3"/>
      <c r="AS33" s="3">
        <f aca="true" t="shared" si="16" ref="AS33:AT41">M33+Y33+AJ33+AM33+AO33+AQ33</f>
        <v>2575.7</v>
      </c>
      <c r="AT33" s="3">
        <f t="shared" si="16"/>
        <v>2092.1</v>
      </c>
      <c r="AU33" s="14">
        <f>AT33/AS33*100</f>
        <v>81.22452148930388</v>
      </c>
      <c r="AV33" s="14">
        <f aca="true" t="shared" si="17" ref="AV33:AV41">AS33-AT33</f>
        <v>483.5999999999999</v>
      </c>
      <c r="AW33" s="4">
        <f aca="true" t="shared" si="18" ref="AW33:AW41">C33+AS33-AT33</f>
        <v>-52.90000000000009</v>
      </c>
    </row>
    <row r="34" spans="1:49" ht="24" customHeight="1">
      <c r="A34" s="6"/>
      <c r="B34" s="15" t="s">
        <v>116</v>
      </c>
      <c r="C34" s="2"/>
      <c r="D34" s="3"/>
      <c r="E34" s="3"/>
      <c r="F34" s="14"/>
      <c r="G34" s="3"/>
      <c r="H34" s="3"/>
      <c r="I34" s="14"/>
      <c r="J34" s="3"/>
      <c r="K34" s="3"/>
      <c r="L34" s="14"/>
      <c r="M34" s="3"/>
      <c r="N34" s="3"/>
      <c r="O34" s="14"/>
      <c r="P34" s="3"/>
      <c r="Q34" s="3"/>
      <c r="R34" s="14"/>
      <c r="S34" s="3"/>
      <c r="T34" s="3"/>
      <c r="U34" s="14"/>
      <c r="V34" s="3"/>
      <c r="W34" s="3"/>
      <c r="X34" s="14"/>
      <c r="Y34" s="3"/>
      <c r="Z34" s="3"/>
      <c r="AA34" s="14"/>
      <c r="AB34" s="3"/>
      <c r="AC34" s="3"/>
      <c r="AD34" s="3"/>
      <c r="AE34" s="3"/>
      <c r="AF34" s="3"/>
      <c r="AG34" s="28"/>
      <c r="AH34" s="3"/>
      <c r="AI34" s="3"/>
      <c r="AJ34" s="3"/>
      <c r="AK34" s="3"/>
      <c r="AL34" s="14"/>
      <c r="AM34" s="3"/>
      <c r="AN34" s="3"/>
      <c r="AO34" s="3"/>
      <c r="AP34" s="3"/>
      <c r="AQ34" s="3"/>
      <c r="AR34" s="3"/>
      <c r="AS34" s="3"/>
      <c r="AT34" s="3"/>
      <c r="AU34" s="14"/>
      <c r="AV34" s="14">
        <f>AS34-AT34</f>
        <v>0</v>
      </c>
      <c r="AW34" s="4"/>
    </row>
    <row r="35" spans="1:49" ht="24" customHeight="1">
      <c r="A35" s="6"/>
      <c r="B35" s="15" t="s">
        <v>117</v>
      </c>
      <c r="C35" s="2"/>
      <c r="D35" s="3"/>
      <c r="E35" s="3"/>
      <c r="F35" s="14"/>
      <c r="G35" s="3"/>
      <c r="H35" s="3"/>
      <c r="I35" s="14"/>
      <c r="J35" s="3"/>
      <c r="K35" s="3"/>
      <c r="L35" s="14"/>
      <c r="M35" s="3"/>
      <c r="N35" s="3"/>
      <c r="O35" s="14"/>
      <c r="P35" s="3"/>
      <c r="Q35" s="3"/>
      <c r="R35" s="14"/>
      <c r="S35" s="3"/>
      <c r="T35" s="3"/>
      <c r="U35" s="14"/>
      <c r="V35" s="3"/>
      <c r="W35" s="3"/>
      <c r="X35" s="14"/>
      <c r="Y35" s="3"/>
      <c r="Z35" s="3"/>
      <c r="AA35" s="14"/>
      <c r="AB35" s="3"/>
      <c r="AC35" s="3"/>
      <c r="AD35" s="3"/>
      <c r="AE35" s="3"/>
      <c r="AF35" s="3"/>
      <c r="AG35" s="28"/>
      <c r="AH35" s="3"/>
      <c r="AI35" s="3"/>
      <c r="AJ35" s="3"/>
      <c r="AK35" s="3"/>
      <c r="AL35" s="14"/>
      <c r="AM35" s="3"/>
      <c r="AN35" s="3"/>
      <c r="AO35" s="3"/>
      <c r="AP35" s="3"/>
      <c r="AQ35" s="3"/>
      <c r="AR35" s="3"/>
      <c r="AS35" s="3"/>
      <c r="AT35" s="3"/>
      <c r="AU35" s="14"/>
      <c r="AV35" s="14">
        <f>AS35-AT35</f>
        <v>0</v>
      </c>
      <c r="AW35" s="4"/>
    </row>
    <row r="36" spans="1:49" ht="24.75" customHeight="1">
      <c r="A36" s="19"/>
      <c r="B36" s="15" t="s">
        <v>35</v>
      </c>
      <c r="C36" s="2">
        <v>0</v>
      </c>
      <c r="D36" s="3">
        <v>1455.5</v>
      </c>
      <c r="E36" s="3">
        <v>0</v>
      </c>
      <c r="F36" s="14">
        <f t="shared" si="0"/>
        <v>0</v>
      </c>
      <c r="G36" s="3">
        <v>770.3</v>
      </c>
      <c r="H36" s="3">
        <v>622</v>
      </c>
      <c r="I36" s="14">
        <f t="shared" si="6"/>
        <v>80.7477606127483</v>
      </c>
      <c r="J36" s="3">
        <v>1403.9</v>
      </c>
      <c r="K36" s="3">
        <v>833.5</v>
      </c>
      <c r="L36" s="14">
        <f t="shared" si="7"/>
        <v>59.370325521760805</v>
      </c>
      <c r="M36" s="3">
        <f t="shared" si="8"/>
        <v>3629.7000000000003</v>
      </c>
      <c r="N36" s="3">
        <f t="shared" si="8"/>
        <v>1455.5</v>
      </c>
      <c r="O36" s="14">
        <f aca="true" t="shared" si="19" ref="O36:O41">N36/M36*100</f>
        <v>40.09973276028322</v>
      </c>
      <c r="P36" s="3">
        <v>294.3</v>
      </c>
      <c r="Q36" s="3">
        <v>169</v>
      </c>
      <c r="R36" s="14">
        <f t="shared" si="9"/>
        <v>57.42439687393816</v>
      </c>
      <c r="S36" s="3">
        <v>43.1</v>
      </c>
      <c r="T36" s="3">
        <v>895.2</v>
      </c>
      <c r="U36" s="14">
        <f t="shared" si="10"/>
        <v>2077.0301624129934</v>
      </c>
      <c r="V36" s="3">
        <v>41</v>
      </c>
      <c r="W36" s="3">
        <v>1147.1</v>
      </c>
      <c r="X36" s="14">
        <f>W36/V36*100</f>
        <v>2797.80487804878</v>
      </c>
      <c r="Y36" s="3">
        <f t="shared" si="11"/>
        <v>378.40000000000003</v>
      </c>
      <c r="Z36" s="3">
        <f t="shared" si="12"/>
        <v>2211.3</v>
      </c>
      <c r="AA36" s="14">
        <f t="shared" si="13"/>
        <v>584.3816067653277</v>
      </c>
      <c r="AB36" s="3">
        <v>67.2</v>
      </c>
      <c r="AC36" s="3">
        <v>341.4</v>
      </c>
      <c r="AD36" s="3">
        <f>AC36/AB36*100</f>
        <v>508.0357142857142</v>
      </c>
      <c r="AE36" s="3"/>
      <c r="AF36" s="3"/>
      <c r="AG36" s="28"/>
      <c r="AH36" s="3"/>
      <c r="AI36" s="3"/>
      <c r="AJ36" s="3">
        <f t="shared" si="14"/>
        <v>67.2</v>
      </c>
      <c r="AK36" s="3">
        <f t="shared" si="14"/>
        <v>341.4</v>
      </c>
      <c r="AL36" s="14">
        <f t="shared" si="15"/>
        <v>508.0357142857142</v>
      </c>
      <c r="AM36" s="3"/>
      <c r="AN36" s="3"/>
      <c r="AO36" s="3"/>
      <c r="AP36" s="3"/>
      <c r="AQ36" s="3"/>
      <c r="AR36" s="3"/>
      <c r="AS36" s="3">
        <f t="shared" si="16"/>
        <v>4075.3</v>
      </c>
      <c r="AT36" s="3">
        <f t="shared" si="16"/>
        <v>4008.2000000000003</v>
      </c>
      <c r="AU36" s="14">
        <f>AT36/AS36*100</f>
        <v>98.35349544818787</v>
      </c>
      <c r="AV36" s="14">
        <f t="shared" si="17"/>
        <v>67.09999999999991</v>
      </c>
      <c r="AW36" s="4">
        <f t="shared" si="18"/>
        <v>67.09999999999991</v>
      </c>
    </row>
    <row r="37" spans="1:49" ht="30.75" customHeight="1">
      <c r="A37" s="6">
        <v>26</v>
      </c>
      <c r="B37" s="15" t="s">
        <v>118</v>
      </c>
      <c r="C37" s="2">
        <f>-13.5</f>
        <v>-13.5</v>
      </c>
      <c r="D37" s="3">
        <v>800.8</v>
      </c>
      <c r="E37" s="3">
        <v>0</v>
      </c>
      <c r="F37" s="14">
        <f t="shared" si="0"/>
        <v>0</v>
      </c>
      <c r="G37" s="3">
        <v>799.6</v>
      </c>
      <c r="H37" s="3">
        <v>925.2</v>
      </c>
      <c r="I37" s="14">
        <f t="shared" si="6"/>
        <v>115.70785392696348</v>
      </c>
      <c r="J37" s="3">
        <f>537.5+512.3</f>
        <v>1049.8</v>
      </c>
      <c r="K37" s="3">
        <f>255+172.3</f>
        <v>427.3</v>
      </c>
      <c r="L37" s="14">
        <f t="shared" si="7"/>
        <v>40.702991045913514</v>
      </c>
      <c r="M37" s="3">
        <f t="shared" si="8"/>
        <v>2650.2</v>
      </c>
      <c r="N37" s="3">
        <f t="shared" si="8"/>
        <v>1352.5</v>
      </c>
      <c r="O37" s="14">
        <f t="shared" si="19"/>
        <v>51.03388423515207</v>
      </c>
      <c r="P37" s="3">
        <v>133.3</v>
      </c>
      <c r="Q37" s="3">
        <v>86.2</v>
      </c>
      <c r="R37" s="14">
        <f t="shared" si="9"/>
        <v>64.6661665416354</v>
      </c>
      <c r="S37" s="3">
        <v>0</v>
      </c>
      <c r="T37" s="3">
        <v>850</v>
      </c>
      <c r="U37" s="28" t="e">
        <f t="shared" si="10"/>
        <v>#DIV/0!</v>
      </c>
      <c r="V37" s="3">
        <v>0</v>
      </c>
      <c r="W37" s="3">
        <v>481.3</v>
      </c>
      <c r="X37" s="28" t="e">
        <f>W37/V37*100</f>
        <v>#DIV/0!</v>
      </c>
      <c r="Y37" s="3">
        <f t="shared" si="11"/>
        <v>133.3</v>
      </c>
      <c r="Z37" s="3">
        <f t="shared" si="12"/>
        <v>1417.5</v>
      </c>
      <c r="AA37" s="28">
        <f t="shared" si="13"/>
        <v>1063.390847711928</v>
      </c>
      <c r="AB37" s="3">
        <v>0</v>
      </c>
      <c r="AC37" s="3">
        <v>0</v>
      </c>
      <c r="AD37" s="44">
        <v>0</v>
      </c>
      <c r="AE37" s="3"/>
      <c r="AF37" s="3"/>
      <c r="AG37" s="28" t="e">
        <f>AF37/AE37*100</f>
        <v>#DIV/0!</v>
      </c>
      <c r="AH37" s="3"/>
      <c r="AI37" s="3"/>
      <c r="AJ37" s="3">
        <f t="shared" si="14"/>
        <v>0</v>
      </c>
      <c r="AK37" s="3">
        <f t="shared" si="14"/>
        <v>0</v>
      </c>
      <c r="AL37" s="28" t="e">
        <f t="shared" si="15"/>
        <v>#DIV/0!</v>
      </c>
      <c r="AM37" s="3"/>
      <c r="AN37" s="3"/>
      <c r="AO37" s="3"/>
      <c r="AP37" s="3"/>
      <c r="AQ37" s="3"/>
      <c r="AR37" s="3"/>
      <c r="AS37" s="3">
        <f t="shared" si="16"/>
        <v>2783.5</v>
      </c>
      <c r="AT37" s="3">
        <f t="shared" si="16"/>
        <v>2770</v>
      </c>
      <c r="AU37" s="14">
        <f aca="true" t="shared" si="20" ref="AU37:AU46">AT37/AS37*100</f>
        <v>99.5149991018502</v>
      </c>
      <c r="AV37" s="14">
        <f t="shared" si="17"/>
        <v>13.5</v>
      </c>
      <c r="AW37" s="4">
        <f t="shared" si="18"/>
        <v>0</v>
      </c>
    </row>
    <row r="38" spans="1:49" ht="24" customHeight="1">
      <c r="A38" s="6">
        <v>27</v>
      </c>
      <c r="B38" s="1" t="s">
        <v>90</v>
      </c>
      <c r="C38" s="2">
        <f>-120.2+(-391.8)</f>
        <v>-512</v>
      </c>
      <c r="D38" s="3">
        <v>834.6</v>
      </c>
      <c r="E38" s="3">
        <v>0</v>
      </c>
      <c r="F38" s="14">
        <f t="shared" si="0"/>
        <v>0</v>
      </c>
      <c r="G38" s="3">
        <v>753.7</v>
      </c>
      <c r="H38" s="3">
        <v>1328.4</v>
      </c>
      <c r="I38" s="14">
        <f t="shared" si="6"/>
        <v>176.2504975454425</v>
      </c>
      <c r="J38" s="3">
        <v>761.3</v>
      </c>
      <c r="K38" s="3">
        <v>538.1</v>
      </c>
      <c r="L38" s="14">
        <f t="shared" si="7"/>
        <v>70.6817286220938</v>
      </c>
      <c r="M38" s="3">
        <f t="shared" si="8"/>
        <v>2349.6000000000004</v>
      </c>
      <c r="N38" s="3">
        <f t="shared" si="8"/>
        <v>1866.5</v>
      </c>
      <c r="O38" s="14">
        <f t="shared" si="19"/>
        <v>79.43905345590737</v>
      </c>
      <c r="P38" s="3">
        <v>115.1</v>
      </c>
      <c r="Q38" s="3">
        <v>165.2</v>
      </c>
      <c r="R38" s="14">
        <f t="shared" si="9"/>
        <v>143.52736750651607</v>
      </c>
      <c r="S38" s="3">
        <v>65.8</v>
      </c>
      <c r="T38" s="3">
        <v>50.1</v>
      </c>
      <c r="U38" s="14">
        <f t="shared" si="10"/>
        <v>76.13981762917933</v>
      </c>
      <c r="V38" s="3">
        <v>44.8</v>
      </c>
      <c r="W38" s="3">
        <v>65.8</v>
      </c>
      <c r="X38" s="14"/>
      <c r="Y38" s="3">
        <f t="shared" si="11"/>
        <v>225.7</v>
      </c>
      <c r="Z38" s="3">
        <f t="shared" si="12"/>
        <v>281.09999999999997</v>
      </c>
      <c r="AA38" s="14">
        <f t="shared" si="13"/>
        <v>124.54585733274257</v>
      </c>
      <c r="AB38" s="3">
        <v>35.3</v>
      </c>
      <c r="AC38" s="3">
        <v>44.8</v>
      </c>
      <c r="AD38" s="3">
        <v>0</v>
      </c>
      <c r="AE38" s="3"/>
      <c r="AF38" s="3"/>
      <c r="AG38" s="28">
        <v>0</v>
      </c>
      <c r="AH38" s="3"/>
      <c r="AI38" s="3"/>
      <c r="AJ38" s="3">
        <f t="shared" si="14"/>
        <v>35.3</v>
      </c>
      <c r="AK38" s="3">
        <f t="shared" si="14"/>
        <v>44.8</v>
      </c>
      <c r="AL38" s="14">
        <f t="shared" si="15"/>
        <v>126.91218130311614</v>
      </c>
      <c r="AM38" s="3"/>
      <c r="AN38" s="3"/>
      <c r="AO38" s="3"/>
      <c r="AP38" s="3"/>
      <c r="AQ38" s="3"/>
      <c r="AR38" s="3"/>
      <c r="AS38" s="3">
        <f t="shared" si="16"/>
        <v>2610.6000000000004</v>
      </c>
      <c r="AT38" s="3">
        <f t="shared" si="16"/>
        <v>2192.4</v>
      </c>
      <c r="AU38" s="14">
        <f t="shared" si="20"/>
        <v>83.98069409331187</v>
      </c>
      <c r="AV38" s="14">
        <f t="shared" si="17"/>
        <v>418.2000000000003</v>
      </c>
      <c r="AW38" s="4">
        <f t="shared" si="18"/>
        <v>-93.79999999999973</v>
      </c>
    </row>
    <row r="39" spans="1:49" ht="24" customHeight="1">
      <c r="A39" s="6">
        <v>28</v>
      </c>
      <c r="B39" s="15" t="s">
        <v>119</v>
      </c>
      <c r="C39" s="2">
        <f>-863.1-(-240.3)</f>
        <v>-622.8</v>
      </c>
      <c r="D39" s="3">
        <f>1234.8-649.1</f>
        <v>585.6999999999999</v>
      </c>
      <c r="E39" s="3">
        <v>0</v>
      </c>
      <c r="F39" s="14">
        <f t="shared" si="0"/>
        <v>0</v>
      </c>
      <c r="G39" s="3">
        <f>1144.1-598.8</f>
        <v>545.3</v>
      </c>
      <c r="H39" s="3">
        <f>643.7-530</f>
        <v>113.70000000000005</v>
      </c>
      <c r="I39" s="14">
        <f t="shared" si="6"/>
        <v>20.850907757197884</v>
      </c>
      <c r="J39" s="3">
        <f>1112.7-560.9</f>
        <v>551.8000000000001</v>
      </c>
      <c r="K39" s="3">
        <f>1551.9-850</f>
        <v>701.9000000000001</v>
      </c>
      <c r="L39" s="14">
        <f t="shared" si="7"/>
        <v>127.20188474084813</v>
      </c>
      <c r="M39" s="3">
        <f t="shared" si="8"/>
        <v>1682.8000000000002</v>
      </c>
      <c r="N39" s="3">
        <f t="shared" si="8"/>
        <v>815.6000000000001</v>
      </c>
      <c r="O39" s="14">
        <f t="shared" si="19"/>
        <v>48.46684097932019</v>
      </c>
      <c r="P39" s="3">
        <f>273.5-146.8</f>
        <v>126.69999999999999</v>
      </c>
      <c r="Q39" s="3">
        <f>548.4-346.3</f>
        <v>202.09999999999997</v>
      </c>
      <c r="R39" s="14">
        <f t="shared" si="9"/>
        <v>159.5106550907656</v>
      </c>
      <c r="S39" s="3">
        <v>76.8</v>
      </c>
      <c r="T39" s="3">
        <v>245.5</v>
      </c>
      <c r="U39" s="14">
        <f t="shared" si="10"/>
        <v>319.66145833333337</v>
      </c>
      <c r="V39" s="3">
        <f>215.8-138.6</f>
        <v>77.20000000000002</v>
      </c>
      <c r="W39" s="3">
        <f>267.6-100</f>
        <v>167.60000000000002</v>
      </c>
      <c r="X39" s="14">
        <f>W39/V39*100</f>
        <v>217.09844559585488</v>
      </c>
      <c r="Y39" s="3">
        <f t="shared" si="11"/>
        <v>280.70000000000005</v>
      </c>
      <c r="Z39" s="3">
        <f t="shared" si="12"/>
        <v>615.2</v>
      </c>
      <c r="AA39" s="14">
        <f t="shared" si="13"/>
        <v>219.1663697898112</v>
      </c>
      <c r="AB39" s="3">
        <f>235.8-153.3</f>
        <v>82.5</v>
      </c>
      <c r="AC39" s="3">
        <f>214.6-100</f>
        <v>114.6</v>
      </c>
      <c r="AD39" s="3">
        <f>AC39/AB39*100</f>
        <v>138.9090909090909</v>
      </c>
      <c r="AE39" s="3"/>
      <c r="AF39" s="3"/>
      <c r="AG39" s="28" t="e">
        <f aca="true" t="shared" si="21" ref="AG39:AG44">AF39/AE39*100</f>
        <v>#DIV/0!</v>
      </c>
      <c r="AH39" s="3"/>
      <c r="AI39" s="3"/>
      <c r="AJ39" s="3">
        <f t="shared" si="14"/>
        <v>82.5</v>
      </c>
      <c r="AK39" s="3">
        <f t="shared" si="14"/>
        <v>114.6</v>
      </c>
      <c r="AL39" s="14">
        <f t="shared" si="15"/>
        <v>138.9090909090909</v>
      </c>
      <c r="AM39" s="3"/>
      <c r="AN39" s="3"/>
      <c r="AO39" s="3"/>
      <c r="AP39" s="3"/>
      <c r="AQ39" s="3"/>
      <c r="AR39" s="3"/>
      <c r="AS39" s="3">
        <f t="shared" si="16"/>
        <v>2046.0000000000002</v>
      </c>
      <c r="AT39" s="3">
        <f t="shared" si="16"/>
        <v>1545.4</v>
      </c>
      <c r="AU39" s="14">
        <f t="shared" si="20"/>
        <v>75.5327468230694</v>
      </c>
      <c r="AV39" s="14">
        <f t="shared" si="17"/>
        <v>500.60000000000014</v>
      </c>
      <c r="AW39" s="4">
        <f t="shared" si="18"/>
        <v>-122.19999999999982</v>
      </c>
    </row>
    <row r="40" spans="1:49" ht="24" customHeight="1">
      <c r="A40" s="6">
        <v>29</v>
      </c>
      <c r="B40" s="15" t="s">
        <v>120</v>
      </c>
      <c r="C40" s="2">
        <f>-45.5+(-12.1)</f>
        <v>-57.6</v>
      </c>
      <c r="D40" s="3">
        <v>309.1</v>
      </c>
      <c r="E40" s="3">
        <v>210.8</v>
      </c>
      <c r="F40" s="14">
        <f t="shared" si="0"/>
        <v>68.19799417664186</v>
      </c>
      <c r="G40" s="3">
        <v>346.4</v>
      </c>
      <c r="H40" s="3">
        <v>231.3</v>
      </c>
      <c r="I40" s="14">
        <f t="shared" si="6"/>
        <v>66.77251732101618</v>
      </c>
      <c r="J40" s="3">
        <v>221</v>
      </c>
      <c r="K40" s="3">
        <v>368</v>
      </c>
      <c r="L40" s="14">
        <f t="shared" si="7"/>
        <v>166.5158371040724</v>
      </c>
      <c r="M40" s="3">
        <f t="shared" si="8"/>
        <v>876.5</v>
      </c>
      <c r="N40" s="3">
        <f t="shared" si="8"/>
        <v>810.1</v>
      </c>
      <c r="O40" s="14">
        <f t="shared" si="19"/>
        <v>92.42441528807758</v>
      </c>
      <c r="P40" s="3">
        <v>9.6</v>
      </c>
      <c r="Q40" s="3">
        <v>54.5</v>
      </c>
      <c r="R40" s="14">
        <f t="shared" si="9"/>
        <v>567.7083333333334</v>
      </c>
      <c r="S40" s="3">
        <v>0</v>
      </c>
      <c r="T40" s="3">
        <v>9.6</v>
      </c>
      <c r="U40" s="14" t="e">
        <f t="shared" si="10"/>
        <v>#DIV/0!</v>
      </c>
      <c r="V40" s="3"/>
      <c r="W40" s="3"/>
      <c r="X40" s="14"/>
      <c r="Y40" s="3">
        <f t="shared" si="11"/>
        <v>9.6</v>
      </c>
      <c r="Z40" s="3">
        <f t="shared" si="12"/>
        <v>64.1</v>
      </c>
      <c r="AA40" s="14">
        <f t="shared" si="13"/>
        <v>667.7083333333333</v>
      </c>
      <c r="AB40" s="3">
        <v>0</v>
      </c>
      <c r="AC40" s="3">
        <v>0</v>
      </c>
      <c r="AD40" s="3">
        <v>0</v>
      </c>
      <c r="AE40" s="3"/>
      <c r="AF40" s="3"/>
      <c r="AG40" s="28" t="e">
        <f t="shared" si="21"/>
        <v>#DIV/0!</v>
      </c>
      <c r="AH40" s="3"/>
      <c r="AI40" s="3"/>
      <c r="AJ40" s="3">
        <f t="shared" si="14"/>
        <v>0</v>
      </c>
      <c r="AK40" s="3">
        <f t="shared" si="14"/>
        <v>0</v>
      </c>
      <c r="AL40" s="14" t="e">
        <f t="shared" si="15"/>
        <v>#DIV/0!</v>
      </c>
      <c r="AM40" s="3"/>
      <c r="AN40" s="3"/>
      <c r="AO40" s="3"/>
      <c r="AP40" s="3"/>
      <c r="AQ40" s="3"/>
      <c r="AR40" s="3"/>
      <c r="AS40" s="3">
        <f t="shared" si="16"/>
        <v>886.1</v>
      </c>
      <c r="AT40" s="3">
        <f t="shared" si="16"/>
        <v>874.2</v>
      </c>
      <c r="AU40" s="14">
        <f t="shared" si="20"/>
        <v>98.65703645186774</v>
      </c>
      <c r="AV40" s="14">
        <f t="shared" si="17"/>
        <v>11.899999999999977</v>
      </c>
      <c r="AW40" s="4">
        <f t="shared" si="18"/>
        <v>-45.700000000000045</v>
      </c>
    </row>
    <row r="41" spans="1:49" s="43" customFormat="1" ht="27.75" customHeight="1">
      <c r="A41" s="6">
        <v>30</v>
      </c>
      <c r="B41" s="15" t="s">
        <v>121</v>
      </c>
      <c r="C41" s="2">
        <v>-433.8</v>
      </c>
      <c r="D41" s="3">
        <v>1118.9</v>
      </c>
      <c r="E41" s="3">
        <v>232.2</v>
      </c>
      <c r="F41" s="119">
        <f t="shared" si="0"/>
        <v>20.752524801143977</v>
      </c>
      <c r="G41" s="3">
        <v>1148.5</v>
      </c>
      <c r="H41" s="3">
        <v>868.7</v>
      </c>
      <c r="I41" s="14">
        <f t="shared" si="6"/>
        <v>75.63778841967785</v>
      </c>
      <c r="J41" s="3">
        <v>1034.1</v>
      </c>
      <c r="K41" s="3">
        <v>954.5</v>
      </c>
      <c r="L41" s="14">
        <f t="shared" si="7"/>
        <v>92.3024852528769</v>
      </c>
      <c r="M41" s="3">
        <f t="shared" si="8"/>
        <v>3301.5</v>
      </c>
      <c r="N41" s="3">
        <f t="shared" si="8"/>
        <v>2055.4</v>
      </c>
      <c r="O41" s="14">
        <f t="shared" si="19"/>
        <v>62.25655005300621</v>
      </c>
      <c r="P41" s="3">
        <v>191.4</v>
      </c>
      <c r="Q41" s="3">
        <v>649.4</v>
      </c>
      <c r="R41" s="14">
        <f t="shared" si="9"/>
        <v>339.28944618599786</v>
      </c>
      <c r="S41" s="3">
        <v>0</v>
      </c>
      <c r="T41" s="3">
        <v>142.5</v>
      </c>
      <c r="U41" s="14" t="e">
        <f t="shared" si="10"/>
        <v>#DIV/0!</v>
      </c>
      <c r="V41" s="3">
        <v>0</v>
      </c>
      <c r="W41" s="3">
        <v>159.8</v>
      </c>
      <c r="X41" s="28" t="e">
        <f>W41/V41*100</f>
        <v>#DIV/0!</v>
      </c>
      <c r="Y41" s="3">
        <f t="shared" si="11"/>
        <v>191.4</v>
      </c>
      <c r="Z41" s="3">
        <f t="shared" si="12"/>
        <v>951.7</v>
      </c>
      <c r="AA41" s="14">
        <f t="shared" si="13"/>
        <v>497.23092998955065</v>
      </c>
      <c r="AB41" s="3">
        <v>0</v>
      </c>
      <c r="AC41" s="3">
        <v>0</v>
      </c>
      <c r="AD41" s="113" t="e">
        <f>AC41/AB41*100</f>
        <v>#DIV/0!</v>
      </c>
      <c r="AE41" s="3"/>
      <c r="AF41" s="3"/>
      <c r="AG41" s="28" t="e">
        <f t="shared" si="21"/>
        <v>#DIV/0!</v>
      </c>
      <c r="AH41" s="3"/>
      <c r="AI41" s="3"/>
      <c r="AJ41" s="3">
        <f t="shared" si="14"/>
        <v>0</v>
      </c>
      <c r="AK41" s="3">
        <f t="shared" si="14"/>
        <v>0</v>
      </c>
      <c r="AL41" s="14" t="e">
        <f t="shared" si="15"/>
        <v>#DIV/0!</v>
      </c>
      <c r="AM41" s="3"/>
      <c r="AN41" s="3"/>
      <c r="AO41" s="3"/>
      <c r="AP41" s="3"/>
      <c r="AQ41" s="3"/>
      <c r="AR41" s="3"/>
      <c r="AS41" s="3">
        <f t="shared" si="16"/>
        <v>3492.9</v>
      </c>
      <c r="AT41" s="3">
        <f t="shared" si="16"/>
        <v>3007.1000000000004</v>
      </c>
      <c r="AU41" s="119">
        <f t="shared" si="20"/>
        <v>86.09178619485243</v>
      </c>
      <c r="AV41" s="14">
        <f t="shared" si="17"/>
        <v>485.7999999999997</v>
      </c>
      <c r="AW41" s="4">
        <f t="shared" si="18"/>
        <v>51.999999999999545</v>
      </c>
    </row>
    <row r="42" spans="1:49" ht="24.75" customHeight="1">
      <c r="A42" s="6">
        <v>31</v>
      </c>
      <c r="B42" s="15" t="s">
        <v>122</v>
      </c>
      <c r="C42" s="78">
        <v>0</v>
      </c>
      <c r="D42" s="21"/>
      <c r="E42" s="21"/>
      <c r="F42" s="36" t="e">
        <f t="shared" si="0"/>
        <v>#DIV/0!</v>
      </c>
      <c r="G42" s="3"/>
      <c r="H42" s="3"/>
      <c r="I42" s="28" t="e">
        <f t="shared" si="6"/>
        <v>#DIV/0!</v>
      </c>
      <c r="J42" s="3"/>
      <c r="K42" s="3"/>
      <c r="L42" s="28" t="e">
        <f t="shared" si="7"/>
        <v>#DIV/0!</v>
      </c>
      <c r="M42" s="3"/>
      <c r="N42" s="3"/>
      <c r="O42" s="14"/>
      <c r="P42" s="3"/>
      <c r="Q42" s="3"/>
      <c r="R42" s="28" t="e">
        <f t="shared" si="9"/>
        <v>#DIV/0!</v>
      </c>
      <c r="S42" s="3"/>
      <c r="T42" s="3"/>
      <c r="U42" s="28" t="e">
        <f t="shared" si="10"/>
        <v>#DIV/0!</v>
      </c>
      <c r="V42" s="3"/>
      <c r="W42" s="3"/>
      <c r="X42" s="28" t="e">
        <f>W42/V42*100</f>
        <v>#DIV/0!</v>
      </c>
      <c r="Y42" s="3"/>
      <c r="Z42" s="3"/>
      <c r="AA42" s="14"/>
      <c r="AB42" s="3"/>
      <c r="AC42" s="3"/>
      <c r="AD42" s="113" t="e">
        <f>AC42/AB42*100</f>
        <v>#DIV/0!</v>
      </c>
      <c r="AE42" s="3"/>
      <c r="AF42" s="3"/>
      <c r="AG42" s="28" t="e">
        <f t="shared" si="21"/>
        <v>#DIV/0!</v>
      </c>
      <c r="AH42" s="3"/>
      <c r="AI42" s="3"/>
      <c r="AJ42" s="3"/>
      <c r="AK42" s="3"/>
      <c r="AL42" s="14"/>
      <c r="AM42" s="3"/>
      <c r="AN42" s="3"/>
      <c r="AO42" s="3"/>
      <c r="AP42" s="3"/>
      <c r="AQ42" s="3"/>
      <c r="AR42" s="3"/>
      <c r="AS42" s="3"/>
      <c r="AT42" s="3"/>
      <c r="AU42" s="14"/>
      <c r="AV42" s="14"/>
      <c r="AW42" s="4"/>
    </row>
    <row r="43" spans="1:49" s="43" customFormat="1" ht="27" customHeight="1">
      <c r="A43" s="6">
        <v>32</v>
      </c>
      <c r="B43" s="1" t="s">
        <v>123</v>
      </c>
      <c r="C43" s="78"/>
      <c r="D43" s="21"/>
      <c r="E43" s="21"/>
      <c r="F43" s="36" t="e">
        <f t="shared" si="0"/>
        <v>#DIV/0!</v>
      </c>
      <c r="G43" s="3"/>
      <c r="H43" s="3"/>
      <c r="I43" s="14"/>
      <c r="J43" s="3"/>
      <c r="K43" s="3"/>
      <c r="L43" s="14"/>
      <c r="M43" s="3"/>
      <c r="N43" s="3"/>
      <c r="O43" s="14"/>
      <c r="P43" s="3"/>
      <c r="Q43" s="3"/>
      <c r="R43" s="14"/>
      <c r="S43" s="3"/>
      <c r="T43" s="3"/>
      <c r="U43" s="14"/>
      <c r="V43" s="3"/>
      <c r="W43" s="3"/>
      <c r="X43" s="14"/>
      <c r="Y43" s="3"/>
      <c r="Z43" s="3"/>
      <c r="AA43" s="14"/>
      <c r="AB43" s="3"/>
      <c r="AC43" s="3"/>
      <c r="AD43" s="3"/>
      <c r="AE43" s="3"/>
      <c r="AF43" s="3"/>
      <c r="AG43" s="28" t="e">
        <f t="shared" si="21"/>
        <v>#DIV/0!</v>
      </c>
      <c r="AH43" s="3"/>
      <c r="AI43" s="3"/>
      <c r="AJ43" s="3"/>
      <c r="AK43" s="3"/>
      <c r="AL43" s="14"/>
      <c r="AM43" s="3"/>
      <c r="AN43" s="3"/>
      <c r="AO43" s="3"/>
      <c r="AP43" s="3"/>
      <c r="AQ43" s="3"/>
      <c r="AR43" s="3"/>
      <c r="AS43" s="3"/>
      <c r="AT43" s="3"/>
      <c r="AU43" s="14"/>
      <c r="AV43" s="14"/>
      <c r="AW43" s="4"/>
    </row>
    <row r="44" spans="1:49" s="43" customFormat="1" ht="24" customHeight="1">
      <c r="A44" s="6">
        <v>33</v>
      </c>
      <c r="B44" s="15" t="s">
        <v>124</v>
      </c>
      <c r="C44" s="2">
        <v>-293.2</v>
      </c>
      <c r="D44" s="3">
        <v>650.1</v>
      </c>
      <c r="E44" s="3">
        <v>0</v>
      </c>
      <c r="F44" s="14">
        <f t="shared" si="0"/>
        <v>0</v>
      </c>
      <c r="G44" s="3">
        <v>612.5</v>
      </c>
      <c r="H44" s="3">
        <v>624.9</v>
      </c>
      <c r="I44" s="14">
        <f t="shared" si="6"/>
        <v>102.02448979591836</v>
      </c>
      <c r="J44" s="3">
        <v>617.3</v>
      </c>
      <c r="K44" s="3">
        <v>785.3</v>
      </c>
      <c r="L44" s="14">
        <f>K44/J44*100</f>
        <v>127.21529240239755</v>
      </c>
      <c r="M44" s="3">
        <f>D44+G44+J44</f>
        <v>1879.8999999999999</v>
      </c>
      <c r="N44" s="3">
        <f>E44+H44+K44</f>
        <v>1410.1999999999998</v>
      </c>
      <c r="O44" s="14">
        <f>N44/M44*100</f>
        <v>75.01462843768284</v>
      </c>
      <c r="P44" s="3">
        <v>124.2</v>
      </c>
      <c r="Q44" s="3">
        <v>72.2</v>
      </c>
      <c r="R44" s="14">
        <f>Q44/P44*100</f>
        <v>58.132045088566834</v>
      </c>
      <c r="S44" s="3">
        <v>47</v>
      </c>
      <c r="T44" s="3">
        <v>182.5</v>
      </c>
      <c r="U44" s="14"/>
      <c r="V44" s="3">
        <v>50.4</v>
      </c>
      <c r="W44" s="3">
        <v>3.4</v>
      </c>
      <c r="X44" s="14"/>
      <c r="Y44" s="3">
        <f>P44+S44+V44</f>
        <v>221.6</v>
      </c>
      <c r="Z44" s="3">
        <f>Q44+T44+W44</f>
        <v>258.09999999999997</v>
      </c>
      <c r="AA44" s="14">
        <f>Z44/Y44*100</f>
        <v>116.47111913357399</v>
      </c>
      <c r="AB44" s="3">
        <v>50.6</v>
      </c>
      <c r="AC44" s="3">
        <v>133.7</v>
      </c>
      <c r="AD44" s="3">
        <v>0</v>
      </c>
      <c r="AE44" s="3"/>
      <c r="AF44" s="3"/>
      <c r="AG44" s="28" t="e">
        <f t="shared" si="21"/>
        <v>#DIV/0!</v>
      </c>
      <c r="AH44" s="3"/>
      <c r="AI44" s="3"/>
      <c r="AJ44" s="3">
        <f>AB44+AE44+AH44</f>
        <v>50.6</v>
      </c>
      <c r="AK44" s="3">
        <f>AC44+AF44+AI44</f>
        <v>133.7</v>
      </c>
      <c r="AL44" s="14">
        <f>AK44/AJ44*100</f>
        <v>264.2292490118577</v>
      </c>
      <c r="AM44" s="3"/>
      <c r="AN44" s="3"/>
      <c r="AO44" s="3"/>
      <c r="AP44" s="3"/>
      <c r="AQ44" s="3"/>
      <c r="AR44" s="3"/>
      <c r="AS44" s="3">
        <f>M44+Y44+AJ44+AM44+AO44+AQ44</f>
        <v>2152.1</v>
      </c>
      <c r="AT44" s="3">
        <f>N44+Z44+AK44+AN44+AP44+AR44</f>
        <v>1801.9999999999998</v>
      </c>
      <c r="AU44" s="14">
        <f t="shared" si="20"/>
        <v>83.73216857952697</v>
      </c>
      <c r="AV44" s="14">
        <f>AS44-AT44</f>
        <v>350.10000000000014</v>
      </c>
      <c r="AW44" s="4">
        <f>C44+AS44-AT44</f>
        <v>56.90000000000009</v>
      </c>
    </row>
    <row r="45" spans="1:49" s="8" customFormat="1" ht="24.75" customHeight="1">
      <c r="A45" s="38">
        <v>34</v>
      </c>
      <c r="B45" s="16" t="s">
        <v>40</v>
      </c>
      <c r="C45" s="48">
        <f>C46+C47</f>
        <v>-3372.7</v>
      </c>
      <c r="D45" s="48">
        <f>D46+D47</f>
        <v>17077.4</v>
      </c>
      <c r="E45" s="48">
        <f>E46+E47</f>
        <v>773</v>
      </c>
      <c r="F45" s="14">
        <f t="shared" si="0"/>
        <v>4.526450162202677</v>
      </c>
      <c r="G45" s="48">
        <f>G46+G47</f>
        <v>19909.7</v>
      </c>
      <c r="H45" s="48">
        <f>H46+H47</f>
        <v>11300.4</v>
      </c>
      <c r="I45" s="14">
        <f>H45/G45*100</f>
        <v>56.75826355997328</v>
      </c>
      <c r="J45" s="48">
        <f>J46+J47</f>
        <v>20003.9</v>
      </c>
      <c r="K45" s="48">
        <f>K46+K47</f>
        <v>15501.9</v>
      </c>
      <c r="L45" s="14">
        <f>K45/J45*100</f>
        <v>77.49438859422412</v>
      </c>
      <c r="M45" s="48">
        <f>M46+M47</f>
        <v>56991</v>
      </c>
      <c r="N45" s="48">
        <f>N46+N47</f>
        <v>27575.3</v>
      </c>
      <c r="O45" s="14">
        <f>N45/M45*100</f>
        <v>48.38535909178642</v>
      </c>
      <c r="P45" s="48">
        <f>P46+P47</f>
        <v>10636.8</v>
      </c>
      <c r="Q45" s="48">
        <f>Q46+Q47</f>
        <v>11317.9</v>
      </c>
      <c r="R45" s="14">
        <f>Q45/P45*100</f>
        <v>106.40324157641396</v>
      </c>
      <c r="S45" s="48">
        <f>S46+S47</f>
        <v>1082.4</v>
      </c>
      <c r="T45" s="48">
        <f>T46+T47</f>
        <v>12628</v>
      </c>
      <c r="U45" s="14">
        <f>T45/S45*100</f>
        <v>1166.6666666666665</v>
      </c>
      <c r="V45" s="48">
        <f>V46+V47</f>
        <v>-596.6</v>
      </c>
      <c r="W45" s="48">
        <f>W46+W47</f>
        <v>10863.1</v>
      </c>
      <c r="X45" s="14">
        <f>W45/V45*100</f>
        <v>-1820.8347301374456</v>
      </c>
      <c r="Y45" s="48">
        <f>Y46+Y47</f>
        <v>11122.6</v>
      </c>
      <c r="Z45" s="48">
        <f>Z46+Z47</f>
        <v>34809</v>
      </c>
      <c r="AA45" s="14">
        <f>Z45/Y45*100</f>
        <v>312.95740204628413</v>
      </c>
      <c r="AB45" s="48">
        <f>AB46+AB47</f>
        <v>428.7</v>
      </c>
      <c r="AC45" s="48">
        <f>AC46+AC47</f>
        <v>4568</v>
      </c>
      <c r="AD45" s="14">
        <f>AC45/AB45*100</f>
        <v>1065.547002565897</v>
      </c>
      <c r="AE45" s="48">
        <f>AE46+AE47</f>
        <v>0</v>
      </c>
      <c r="AF45" s="48">
        <f>AF46+AF47</f>
        <v>0</v>
      </c>
      <c r="AG45" s="28" t="e">
        <f>AF45/AE45*100</f>
        <v>#DIV/0!</v>
      </c>
      <c r="AH45" s="48">
        <f>AH46+AH47</f>
        <v>0</v>
      </c>
      <c r="AI45" s="48">
        <f>AI46+AI47</f>
        <v>0</v>
      </c>
      <c r="AJ45" s="48">
        <f>AJ46+AJ47</f>
        <v>428.7</v>
      </c>
      <c r="AK45" s="48">
        <f>AK46+AK47</f>
        <v>4568</v>
      </c>
      <c r="AL45" s="14">
        <f>AK45/AJ45*100</f>
        <v>1065.547002565897</v>
      </c>
      <c r="AM45" s="48">
        <f aca="true" t="shared" si="22" ref="AM45:AT45">AM46+AM47</f>
        <v>0</v>
      </c>
      <c r="AN45" s="48">
        <f t="shared" si="22"/>
        <v>0</v>
      </c>
      <c r="AO45" s="48">
        <f t="shared" si="22"/>
        <v>0</v>
      </c>
      <c r="AP45" s="48">
        <f t="shared" si="22"/>
        <v>0</v>
      </c>
      <c r="AQ45" s="48">
        <f>AQ46+AQ47</f>
        <v>0</v>
      </c>
      <c r="AR45" s="48">
        <f>AR46+AR47</f>
        <v>0</v>
      </c>
      <c r="AS45" s="48">
        <f t="shared" si="22"/>
        <v>68542.3</v>
      </c>
      <c r="AT45" s="48">
        <f t="shared" si="22"/>
        <v>66952.3</v>
      </c>
      <c r="AU45" s="14">
        <f t="shared" si="20"/>
        <v>97.68026459573139</v>
      </c>
      <c r="AV45" s="49">
        <f>AV46+AV47</f>
        <v>1590</v>
      </c>
      <c r="AW45" s="49">
        <f>AW46+AW47</f>
        <v>-1782.6999999999998</v>
      </c>
    </row>
    <row r="46" spans="1:49" s="8" customFormat="1" ht="24.75" customHeight="1">
      <c r="A46" s="38"/>
      <c r="B46" s="1" t="s">
        <v>41</v>
      </c>
      <c r="C46" s="2">
        <v>-3427</v>
      </c>
      <c r="D46" s="3">
        <v>15734</v>
      </c>
      <c r="E46" s="3">
        <v>773</v>
      </c>
      <c r="F46" s="14">
        <f t="shared" si="0"/>
        <v>4.912927418329732</v>
      </c>
      <c r="G46" s="3">
        <v>18481</v>
      </c>
      <c r="H46" s="3">
        <v>10157</v>
      </c>
      <c r="I46" s="14">
        <f t="shared" si="6"/>
        <v>54.95914723229263</v>
      </c>
      <c r="J46" s="3">
        <v>18737</v>
      </c>
      <c r="K46" s="3">
        <v>14441</v>
      </c>
      <c r="L46" s="14">
        <f>K46/J46*100</f>
        <v>77.07210332497199</v>
      </c>
      <c r="M46" s="3">
        <f>D46+G46+J46</f>
        <v>52952</v>
      </c>
      <c r="N46" s="3">
        <f>E46+H46+K46</f>
        <v>25371</v>
      </c>
      <c r="O46" s="14">
        <f>N46/M46*100</f>
        <v>47.91320441154253</v>
      </c>
      <c r="P46" s="3">
        <v>9858</v>
      </c>
      <c r="Q46" s="3">
        <v>10275</v>
      </c>
      <c r="R46" s="14">
        <f>Q46/P46*100</f>
        <v>104.23006695069994</v>
      </c>
      <c r="S46" s="3">
        <v>935</v>
      </c>
      <c r="T46" s="3">
        <v>11575</v>
      </c>
      <c r="U46" s="14">
        <f>T46/S46*100</f>
        <v>1237.9679144385027</v>
      </c>
      <c r="V46" s="3">
        <v>-683</v>
      </c>
      <c r="W46" s="3">
        <v>10251</v>
      </c>
      <c r="X46" s="14">
        <f>W46/V46*100</f>
        <v>-1500.8784773060029</v>
      </c>
      <c r="Y46" s="3">
        <f>P46+S46+V46</f>
        <v>10110</v>
      </c>
      <c r="Z46" s="3">
        <f>Q46+T46+W46</f>
        <v>32101</v>
      </c>
      <c r="AA46" s="14">
        <f>Z46/Y46*100</f>
        <v>317.5173095944609</v>
      </c>
      <c r="AB46" s="3">
        <v>314</v>
      </c>
      <c r="AC46" s="3">
        <v>4371</v>
      </c>
      <c r="AD46" s="3">
        <f>AC46/AB46*100</f>
        <v>1392.0382165605097</v>
      </c>
      <c r="AE46" s="44"/>
      <c r="AF46" s="44"/>
      <c r="AG46" s="28" t="e">
        <f>AF46/AE46*100</f>
        <v>#DIV/0!</v>
      </c>
      <c r="AH46" s="44"/>
      <c r="AI46" s="44"/>
      <c r="AJ46" s="3">
        <f>AB46+AE46+AH46</f>
        <v>314</v>
      </c>
      <c r="AK46" s="3">
        <f>AC46+AF46+AI46</f>
        <v>4371</v>
      </c>
      <c r="AL46" s="14">
        <f>AK46/AJ46*100</f>
        <v>1392.0382165605097</v>
      </c>
      <c r="AM46" s="44"/>
      <c r="AN46" s="44"/>
      <c r="AO46" s="44"/>
      <c r="AP46" s="44"/>
      <c r="AQ46" s="44"/>
      <c r="AR46" s="44"/>
      <c r="AS46" s="3">
        <f>M46+Y46+AJ46+AM46+AO46+AQ46</f>
        <v>63376</v>
      </c>
      <c r="AT46" s="3">
        <f>N46+Z46+AK46+AN46+AP46+AR46</f>
        <v>61843</v>
      </c>
      <c r="AU46" s="3">
        <f t="shared" si="20"/>
        <v>97.58110325675334</v>
      </c>
      <c r="AV46" s="14">
        <f>AS46-AT46</f>
        <v>1533</v>
      </c>
      <c r="AW46" s="4">
        <f>C46+AS46-AT46</f>
        <v>-1894</v>
      </c>
    </row>
    <row r="47" spans="1:49" s="8" customFormat="1" ht="24.75" customHeight="1">
      <c r="A47" s="38"/>
      <c r="B47" s="1" t="s">
        <v>35</v>
      </c>
      <c r="C47" s="2">
        <v>54.3</v>
      </c>
      <c r="D47" s="3">
        <v>1343.4</v>
      </c>
      <c r="E47" s="3">
        <v>0</v>
      </c>
      <c r="F47" s="14">
        <f>E47/D47*100</f>
        <v>0</v>
      </c>
      <c r="G47" s="44">
        <v>1428.7</v>
      </c>
      <c r="H47" s="44">
        <v>1143.4</v>
      </c>
      <c r="I47" s="14">
        <f t="shared" si="6"/>
        <v>80.03079722824947</v>
      </c>
      <c r="J47" s="44">
        <v>1266.9</v>
      </c>
      <c r="K47" s="44">
        <v>1060.9</v>
      </c>
      <c r="L47" s="14">
        <f>K47/J47*100</f>
        <v>83.73983739837398</v>
      </c>
      <c r="M47" s="3">
        <f>D47+G47+J47</f>
        <v>4039.0000000000005</v>
      </c>
      <c r="N47" s="3">
        <f>E47+H47+K47</f>
        <v>2204.3</v>
      </c>
      <c r="O47" s="14">
        <f>N47/M47*100</f>
        <v>54.575389948006936</v>
      </c>
      <c r="P47" s="44">
        <v>778.8</v>
      </c>
      <c r="Q47" s="44">
        <v>1042.9</v>
      </c>
      <c r="R47" s="14">
        <f>Q47/P47*100</f>
        <v>133.91114535182334</v>
      </c>
      <c r="S47" s="44">
        <v>147.4</v>
      </c>
      <c r="T47" s="44">
        <v>1053</v>
      </c>
      <c r="U47" s="14">
        <f>T47/S47*100</f>
        <v>714.3826322930801</v>
      </c>
      <c r="V47" s="44">
        <v>86.4</v>
      </c>
      <c r="W47" s="44">
        <v>612.1</v>
      </c>
      <c r="X47" s="14">
        <f>W47/V47*100</f>
        <v>708.449074074074</v>
      </c>
      <c r="Y47" s="3">
        <f>P47+S47+V47</f>
        <v>1012.5999999999999</v>
      </c>
      <c r="Z47" s="3">
        <f>Q47+T47+W47</f>
        <v>2708</v>
      </c>
      <c r="AA47" s="14">
        <f>Z47/Y47*100</f>
        <v>267.4303772466917</v>
      </c>
      <c r="AB47" s="44">
        <v>114.7</v>
      </c>
      <c r="AC47" s="44">
        <v>197</v>
      </c>
      <c r="AD47" s="3">
        <f>AC47/AB47*100</f>
        <v>171.75239755884917</v>
      </c>
      <c r="AE47" s="44"/>
      <c r="AF47" s="44"/>
      <c r="AG47" s="36" t="e">
        <f>AF47/AE47*100</f>
        <v>#DIV/0!</v>
      </c>
      <c r="AH47" s="44"/>
      <c r="AI47" s="44"/>
      <c r="AJ47" s="3">
        <f>AB47+AE47+AH47</f>
        <v>114.7</v>
      </c>
      <c r="AK47" s="3">
        <f>AC47+AF47+AI47</f>
        <v>197</v>
      </c>
      <c r="AL47" s="14">
        <f>AK47/AJ47*100</f>
        <v>171.75239755884917</v>
      </c>
      <c r="AM47" s="44"/>
      <c r="AN47" s="44"/>
      <c r="AO47" s="44"/>
      <c r="AP47" s="44"/>
      <c r="AQ47" s="44"/>
      <c r="AR47" s="44"/>
      <c r="AS47" s="3">
        <f>M47+Y47+AJ47+AM47+AO47+AQ47</f>
        <v>5166.3</v>
      </c>
      <c r="AT47" s="3">
        <f>N47+Z47+AK47+AN47+AP47+AR47</f>
        <v>5109.3</v>
      </c>
      <c r="AU47" s="3">
        <f>AT47/AS47*100</f>
        <v>98.89669589454736</v>
      </c>
      <c r="AV47" s="14">
        <f>AS47-AT47</f>
        <v>57</v>
      </c>
      <c r="AW47" s="4">
        <f>C47+AS47-AT47</f>
        <v>111.30000000000018</v>
      </c>
    </row>
    <row r="48" spans="1:51" s="8" customFormat="1" ht="24.75" customHeight="1">
      <c r="A48" s="38"/>
      <c r="B48" s="16" t="s">
        <v>42</v>
      </c>
      <c r="C48" s="48">
        <f>C7+C45</f>
        <v>-6545</v>
      </c>
      <c r="D48" s="4">
        <f>D7+D45</f>
        <v>26824.4</v>
      </c>
      <c r="E48" s="4">
        <f>E7+E45</f>
        <v>2273.4</v>
      </c>
      <c r="F48" s="14">
        <f>E48/D48*100</f>
        <v>8.475119667168697</v>
      </c>
      <c r="G48" s="4">
        <f>G7+G45</f>
        <v>29470</v>
      </c>
      <c r="H48" s="4">
        <f>H7+H45</f>
        <v>19733.9</v>
      </c>
      <c r="I48" s="14">
        <f>H48/G48*100</f>
        <v>66.96267390566678</v>
      </c>
      <c r="J48" s="4">
        <f>J7+J45</f>
        <v>29683.100000000002</v>
      </c>
      <c r="K48" s="4">
        <f>K7+K45</f>
        <v>24863.6</v>
      </c>
      <c r="L48" s="14">
        <f>K48/J48*100</f>
        <v>83.76348831489972</v>
      </c>
      <c r="M48" s="4">
        <f>M7+M45</f>
        <v>85977.5</v>
      </c>
      <c r="N48" s="4">
        <f>N7+N45</f>
        <v>46870.9</v>
      </c>
      <c r="O48" s="14">
        <f>N48/M48*100</f>
        <v>54.515309237882</v>
      </c>
      <c r="P48" s="4">
        <f>P7+P45</f>
        <v>12489</v>
      </c>
      <c r="Q48" s="4">
        <f>Q7+Q45</f>
        <v>14708.199999999999</v>
      </c>
      <c r="R48" s="14">
        <f>Q48/P48*100</f>
        <v>117.76923692849708</v>
      </c>
      <c r="S48" s="4">
        <f>S7+S45</f>
        <v>1596.2</v>
      </c>
      <c r="T48" s="4">
        <f>T7+T45</f>
        <v>15834</v>
      </c>
      <c r="U48" s="14">
        <f>T48/S48*100</f>
        <v>991.9809547675729</v>
      </c>
      <c r="V48" s="4">
        <f>V7+V45</f>
        <v>-99.20000000000005</v>
      </c>
      <c r="W48" s="4">
        <f>W7+W45</f>
        <v>13385.6</v>
      </c>
      <c r="X48" s="14">
        <f>W48/V48*100</f>
        <v>-13493.54838709677</v>
      </c>
      <c r="Y48" s="4">
        <f>Y7+Y45</f>
        <v>13986</v>
      </c>
      <c r="Z48" s="4">
        <f>Z7+Z45</f>
        <v>43927.8</v>
      </c>
      <c r="AA48" s="14">
        <f>Z48/Y48*100</f>
        <v>314.0840840840841</v>
      </c>
      <c r="AB48" s="4">
        <f>AB7+AB45</f>
        <v>983.3</v>
      </c>
      <c r="AC48" s="4">
        <f>AC7+AC45</f>
        <v>5477.3</v>
      </c>
      <c r="AD48" s="14">
        <f>AC48/AB48*100</f>
        <v>557.0324417776874</v>
      </c>
      <c r="AE48" s="4">
        <f>AE7+AE45</f>
        <v>0</v>
      </c>
      <c r="AF48" s="4">
        <f>AF7+AF45</f>
        <v>0</v>
      </c>
      <c r="AG48" s="14" t="e">
        <f>AF48/AE48*100</f>
        <v>#DIV/0!</v>
      </c>
      <c r="AH48" s="4">
        <f>AH7+AH45</f>
        <v>0</v>
      </c>
      <c r="AI48" s="4">
        <f>AI7+AI45</f>
        <v>0</v>
      </c>
      <c r="AJ48" s="4">
        <f>AJ7+AJ45</f>
        <v>983.3</v>
      </c>
      <c r="AK48" s="4">
        <f>AK7+AK45</f>
        <v>5477.3</v>
      </c>
      <c r="AL48" s="14">
        <f>AK48/AJ48*100</f>
        <v>557.0324417776874</v>
      </c>
      <c r="AM48" s="4">
        <f aca="true" t="shared" si="23" ref="AM48:AT48">AM7+AM45</f>
        <v>0</v>
      </c>
      <c r="AN48" s="4">
        <f t="shared" si="23"/>
        <v>0</v>
      </c>
      <c r="AO48" s="4">
        <f t="shared" si="23"/>
        <v>0</v>
      </c>
      <c r="AP48" s="4">
        <f t="shared" si="23"/>
        <v>0</v>
      </c>
      <c r="AQ48" s="4">
        <f>AQ7+AQ45</f>
        <v>0</v>
      </c>
      <c r="AR48" s="4">
        <f>AR7+AR45</f>
        <v>0</v>
      </c>
      <c r="AS48" s="4">
        <f t="shared" si="23"/>
        <v>100946.8</v>
      </c>
      <c r="AT48" s="4">
        <f t="shared" si="23"/>
        <v>96276</v>
      </c>
      <c r="AU48" s="14">
        <f>AT48/AS48*100</f>
        <v>95.3730083568771</v>
      </c>
      <c r="AV48" s="49">
        <f>AV7+AV45</f>
        <v>4670.8</v>
      </c>
      <c r="AW48" s="49">
        <f>AW7+AW45</f>
        <v>-1874.2000000000003</v>
      </c>
      <c r="AX48" s="20">
        <f>AS48-AT48</f>
        <v>4670.800000000003</v>
      </c>
      <c r="AY48" s="18">
        <f>C48+AS48-AT48</f>
        <v>-1874.199999999997</v>
      </c>
    </row>
    <row r="49" spans="1:49" s="8" customFormat="1" ht="24.75" customHeight="1">
      <c r="A49" s="79"/>
      <c r="B49" s="80"/>
      <c r="C49" s="81"/>
      <c r="D49" s="75"/>
      <c r="E49" s="17"/>
      <c r="F49" s="17"/>
      <c r="G49" s="27"/>
      <c r="H49" s="27"/>
      <c r="I49" s="65"/>
      <c r="J49" s="27"/>
      <c r="K49" s="27"/>
      <c r="L49" s="65"/>
      <c r="M49" s="65"/>
      <c r="N49" s="65"/>
      <c r="O49" s="65"/>
      <c r="P49" s="27"/>
      <c r="Q49" s="27"/>
      <c r="R49" s="65"/>
      <c r="S49" s="27"/>
      <c r="T49" s="27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5"/>
      <c r="AK49" s="65"/>
      <c r="AL49" s="65"/>
      <c r="AM49" s="65"/>
      <c r="AN49" s="65"/>
      <c r="AO49" s="65"/>
      <c r="AP49" s="65"/>
      <c r="AQ49" s="65"/>
      <c r="AR49" s="65"/>
      <c r="AS49" s="27"/>
      <c r="AT49" s="27"/>
      <c r="AU49" s="65"/>
      <c r="AV49" s="27"/>
      <c r="AW49" s="27"/>
    </row>
    <row r="50" spans="1:49" s="8" customFormat="1" ht="18.75" customHeight="1" hidden="1">
      <c r="A50" s="38"/>
      <c r="B50" s="8" t="s">
        <v>45</v>
      </c>
      <c r="C50" s="81"/>
      <c r="D50" s="17"/>
      <c r="E50" s="17"/>
      <c r="F50" s="17"/>
      <c r="G50" s="27"/>
      <c r="H50" s="27"/>
      <c r="I50" s="65"/>
      <c r="J50" s="27"/>
      <c r="K50" s="27"/>
      <c r="L50" s="65"/>
      <c r="M50" s="65"/>
      <c r="N50" s="65"/>
      <c r="O50" s="65"/>
      <c r="P50" s="27"/>
      <c r="Q50" s="27"/>
      <c r="R50" s="65"/>
      <c r="S50" s="27"/>
      <c r="T50" s="27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65"/>
      <c r="AJ50" s="65"/>
      <c r="AK50" s="65"/>
      <c r="AL50" s="65"/>
      <c r="AM50" s="65"/>
      <c r="AN50" s="65"/>
      <c r="AO50" s="65"/>
      <c r="AP50" s="65"/>
      <c r="AQ50" s="65"/>
      <c r="AR50" s="65"/>
      <c r="AS50" s="27"/>
      <c r="AT50" s="27"/>
      <c r="AU50" s="65"/>
      <c r="AV50" s="27"/>
      <c r="AW50" s="27"/>
    </row>
    <row r="51" spans="1:49" s="8" customFormat="1" ht="15.75" customHeight="1" hidden="1">
      <c r="A51" s="79"/>
      <c r="C51" s="81"/>
      <c r="D51" s="73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8"/>
    </row>
    <row r="52" spans="1:49" s="8" customFormat="1" ht="18.75" customHeight="1" hidden="1">
      <c r="A52" s="38"/>
      <c r="B52" s="8" t="s">
        <v>46</v>
      </c>
      <c r="C52" s="81"/>
      <c r="D52" s="73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8"/>
    </row>
    <row r="53" spans="1:49" s="64" customFormat="1" ht="43.5" customHeight="1">
      <c r="A53" s="59"/>
      <c r="B53" s="150" t="s">
        <v>61</v>
      </c>
      <c r="C53" s="150"/>
      <c r="D53" s="150"/>
      <c r="E53" s="60"/>
      <c r="F53" s="61"/>
      <c r="G53" s="31"/>
      <c r="H53" s="31"/>
      <c r="I53" s="55"/>
      <c r="J53" s="31"/>
      <c r="K53" s="31"/>
      <c r="L53" s="55"/>
      <c r="M53" s="55"/>
      <c r="N53" s="55"/>
      <c r="O53" s="55"/>
      <c r="P53" s="31"/>
      <c r="Q53" s="31"/>
      <c r="R53" s="55"/>
      <c r="S53" s="31"/>
      <c r="T53" s="31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31"/>
      <c r="AT53" s="31"/>
      <c r="AU53" s="55"/>
      <c r="AV53" s="31"/>
      <c r="AW53" s="31"/>
    </row>
    <row r="54" spans="2:49" ht="42" customHeight="1" hidden="1">
      <c r="B54" s="159" t="s">
        <v>10</v>
      </c>
      <c r="C54" s="159"/>
      <c r="D54" s="8"/>
      <c r="E54" s="8"/>
      <c r="G54" s="62"/>
      <c r="H54" s="62"/>
      <c r="I54" s="61"/>
      <c r="J54" s="62"/>
      <c r="K54" s="62"/>
      <c r="L54" s="61"/>
      <c r="M54" s="61"/>
      <c r="N54" s="61"/>
      <c r="O54" s="61"/>
      <c r="P54" s="62"/>
      <c r="Q54" s="62"/>
      <c r="R54" s="61"/>
      <c r="S54" s="62"/>
      <c r="T54" s="62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55"/>
      <c r="AF54" s="55"/>
      <c r="AG54" s="55"/>
      <c r="AH54" s="55"/>
      <c r="AI54" s="55"/>
      <c r="AJ54" s="61"/>
      <c r="AK54" s="61"/>
      <c r="AL54" s="61"/>
      <c r="AM54" s="55"/>
      <c r="AN54" s="55"/>
      <c r="AO54" s="55"/>
      <c r="AP54" s="55"/>
      <c r="AQ54" s="55"/>
      <c r="AR54" s="55"/>
      <c r="AS54" s="60"/>
      <c r="AT54" s="60"/>
      <c r="AU54" s="61"/>
      <c r="AV54" s="62"/>
      <c r="AW54" s="63" t="s">
        <v>60</v>
      </c>
    </row>
    <row r="55" spans="1:53" ht="73.5" customHeight="1" hidden="1">
      <c r="A55" s="151" t="s">
        <v>59</v>
      </c>
      <c r="B55" s="151"/>
      <c r="C55" s="151"/>
      <c r="D55" s="56"/>
      <c r="E55" s="56"/>
      <c r="F55" s="55"/>
      <c r="G55" s="27"/>
      <c r="H55" s="27"/>
      <c r="I55" s="65"/>
      <c r="J55" s="27"/>
      <c r="K55" s="27"/>
      <c r="L55" s="65"/>
      <c r="M55" s="65"/>
      <c r="N55" s="65"/>
      <c r="O55" s="65"/>
      <c r="P55" s="27"/>
      <c r="Q55" s="27"/>
      <c r="R55" s="65"/>
      <c r="S55" s="27"/>
      <c r="T55" s="27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1"/>
      <c r="AF55" s="61"/>
      <c r="AG55" s="61"/>
      <c r="AH55" s="61"/>
      <c r="AI55" s="61"/>
      <c r="AJ55" s="65"/>
      <c r="AK55" s="65"/>
      <c r="AL55" s="65"/>
      <c r="AM55" s="61"/>
      <c r="AN55" s="61"/>
      <c r="AO55" s="61"/>
      <c r="AP55" s="61"/>
      <c r="AQ55" s="61"/>
      <c r="AR55" s="61"/>
      <c r="AS55" s="27"/>
      <c r="AT55" s="27"/>
      <c r="AU55" s="65"/>
      <c r="AV55" s="27"/>
      <c r="AW55" s="27"/>
      <c r="AX55" s="31"/>
      <c r="AY55" s="31"/>
      <c r="AZ55" s="55"/>
      <c r="BA55" s="57" t="s">
        <v>57</v>
      </c>
    </row>
    <row r="56" spans="3:49" ht="45" customHeight="1">
      <c r="C56" s="82"/>
      <c r="D56" s="83"/>
      <c r="E56" s="83"/>
      <c r="F56" s="84"/>
      <c r="G56" s="3">
        <v>142.7</v>
      </c>
      <c r="H56" s="3">
        <v>103.3</v>
      </c>
      <c r="I56" s="14"/>
      <c r="J56" s="3">
        <v>142.7</v>
      </c>
      <c r="K56" s="3">
        <v>103.3</v>
      </c>
      <c r="L56" s="14"/>
      <c r="M56" s="14"/>
      <c r="N56" s="14"/>
      <c r="O56" s="14"/>
      <c r="P56" s="3">
        <v>142.7</v>
      </c>
      <c r="Q56" s="3">
        <v>103.3</v>
      </c>
      <c r="R56" s="14"/>
      <c r="S56" s="3">
        <v>142.7</v>
      </c>
      <c r="T56" s="3">
        <v>103.3</v>
      </c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65"/>
      <c r="AF56" s="65"/>
      <c r="AG56" s="65"/>
      <c r="AH56" s="65"/>
      <c r="AI56" s="65"/>
      <c r="AJ56" s="14"/>
      <c r="AK56" s="14"/>
      <c r="AL56" s="14"/>
      <c r="AM56" s="65"/>
      <c r="AN56" s="65"/>
      <c r="AO56" s="65"/>
      <c r="AP56" s="65"/>
      <c r="AQ56" s="65"/>
      <c r="AR56" s="65"/>
      <c r="AS56" s="3">
        <v>1154.2</v>
      </c>
      <c r="AT56" s="3">
        <v>1213.3</v>
      </c>
      <c r="AU56" s="14"/>
      <c r="AV56" s="3"/>
      <c r="AW56" s="4">
        <f>C56+D56-E56</f>
        <v>0</v>
      </c>
    </row>
    <row r="57" spans="2:49" ht="18.75">
      <c r="B57" s="5" t="s">
        <v>11</v>
      </c>
      <c r="C57" s="77">
        <v>0</v>
      </c>
      <c r="D57" s="3"/>
      <c r="E57" s="3"/>
      <c r="F57" s="14"/>
      <c r="G57" s="27"/>
      <c r="H57" s="27"/>
      <c r="I57" s="65"/>
      <c r="J57" s="27"/>
      <c r="K57" s="27"/>
      <c r="L57" s="65"/>
      <c r="M57" s="65"/>
      <c r="N57" s="65"/>
      <c r="O57" s="65"/>
      <c r="P57" s="27"/>
      <c r="Q57" s="27"/>
      <c r="R57" s="65"/>
      <c r="S57" s="27"/>
      <c r="T57" s="27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14"/>
      <c r="AF57" s="14"/>
      <c r="AG57" s="14"/>
      <c r="AH57" s="17"/>
      <c r="AI57" s="17"/>
      <c r="AJ57" s="65"/>
      <c r="AK57" s="65"/>
      <c r="AL57" s="65"/>
      <c r="AM57" s="17"/>
      <c r="AN57" s="17"/>
      <c r="AO57" s="17"/>
      <c r="AP57" s="17"/>
      <c r="AQ57" s="17"/>
      <c r="AR57" s="17"/>
      <c r="AS57" s="27">
        <v>1415.7</v>
      </c>
      <c r="AT57" s="27">
        <v>1436.1</v>
      </c>
      <c r="AU57" s="65"/>
      <c r="AV57" s="27"/>
      <c r="AW57" s="4">
        <f>C57+D57-E57</f>
        <v>0</v>
      </c>
    </row>
    <row r="58" spans="2:49" ht="18.75">
      <c r="B58" s="5" t="s">
        <v>12</v>
      </c>
      <c r="C58" s="66">
        <v>-3.7</v>
      </c>
      <c r="D58" s="31">
        <v>552.6</v>
      </c>
      <c r="E58" s="31">
        <v>564.7</v>
      </c>
      <c r="F58" s="55"/>
      <c r="G58" s="27"/>
      <c r="H58" s="27"/>
      <c r="I58" s="65"/>
      <c r="J58" s="27"/>
      <c r="K58" s="27"/>
      <c r="L58" s="65"/>
      <c r="M58" s="65"/>
      <c r="N58" s="65"/>
      <c r="O58" s="65"/>
      <c r="P58" s="27"/>
      <c r="Q58" s="27"/>
      <c r="R58" s="65"/>
      <c r="S58" s="27"/>
      <c r="T58" s="27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5"/>
      <c r="AI58" s="65"/>
      <c r="AJ58" s="65"/>
      <c r="AK58" s="65"/>
      <c r="AL58" s="65"/>
      <c r="AM58" s="65"/>
      <c r="AN58" s="65"/>
      <c r="AO58" s="65"/>
      <c r="AP58" s="65"/>
      <c r="AQ58" s="65"/>
      <c r="AR58" s="65"/>
      <c r="AS58" s="27"/>
      <c r="AT58" s="27"/>
      <c r="AU58" s="65"/>
      <c r="AV58" s="27"/>
      <c r="AW58" s="27"/>
    </row>
    <row r="59" spans="3:49" ht="24.75" customHeight="1">
      <c r="C59" s="66"/>
      <c r="D59" s="31"/>
      <c r="E59" s="31"/>
      <c r="F59" s="55"/>
      <c r="G59" s="27"/>
      <c r="H59" s="27"/>
      <c r="I59" s="65"/>
      <c r="J59" s="27"/>
      <c r="K59" s="27"/>
      <c r="L59" s="65"/>
      <c r="M59" s="65"/>
      <c r="N59" s="65"/>
      <c r="O59" s="65"/>
      <c r="P59" s="27"/>
      <c r="Q59" s="27"/>
      <c r="R59" s="65"/>
      <c r="S59" s="27"/>
      <c r="T59" s="27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O59" s="65"/>
      <c r="AP59" s="65"/>
      <c r="AQ59" s="65"/>
      <c r="AR59" s="65"/>
      <c r="AS59" s="27"/>
      <c r="AT59" s="27"/>
      <c r="AU59" s="65"/>
      <c r="AV59" s="27"/>
      <c r="AW59" s="27"/>
    </row>
    <row r="60" spans="3:49" ht="24.75" customHeight="1">
      <c r="C60" s="66"/>
      <c r="D60" s="31"/>
      <c r="E60" s="31"/>
      <c r="F60" s="55"/>
      <c r="G60" s="27"/>
      <c r="H60" s="27"/>
      <c r="I60" s="65"/>
      <c r="J60" s="27"/>
      <c r="K60" s="27"/>
      <c r="L60" s="65"/>
      <c r="M60" s="65"/>
      <c r="N60" s="65"/>
      <c r="O60" s="65"/>
      <c r="P60" s="27"/>
      <c r="Q60" s="27"/>
      <c r="R60" s="65"/>
      <c r="S60" s="27"/>
      <c r="T60" s="27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65"/>
      <c r="AL60" s="65"/>
      <c r="AM60" s="65"/>
      <c r="AN60" s="65"/>
      <c r="AO60" s="65"/>
      <c r="AP60" s="65"/>
      <c r="AQ60" s="65"/>
      <c r="AR60" s="65"/>
      <c r="AS60" s="27"/>
      <c r="AT60" s="27"/>
      <c r="AU60" s="65"/>
      <c r="AV60" s="27"/>
      <c r="AW60" s="27">
        <f>AW9+AW17+AW20+AW26+AW38+AW40+AW42</f>
        <v>-214.19999999999982</v>
      </c>
    </row>
    <row r="61" spans="2:49" ht="18.75">
      <c r="B61" s="5" t="s">
        <v>13</v>
      </c>
      <c r="C61" s="66">
        <f>C9+C17+C20+C26+C38+C40+C42</f>
        <v>-795.8000000000001</v>
      </c>
      <c r="D61" s="31"/>
      <c r="E61" s="31"/>
      <c r="F61" s="55"/>
      <c r="G61" s="27"/>
      <c r="H61" s="27"/>
      <c r="I61" s="65"/>
      <c r="J61" s="27"/>
      <c r="K61" s="27"/>
      <c r="L61" s="65"/>
      <c r="M61" s="65"/>
      <c r="N61" s="65"/>
      <c r="O61" s="65"/>
      <c r="P61" s="27"/>
      <c r="Q61" s="27"/>
      <c r="R61" s="65"/>
      <c r="S61" s="27"/>
      <c r="T61" s="27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65"/>
      <c r="AJ61" s="65"/>
      <c r="AK61" s="65"/>
      <c r="AL61" s="65"/>
      <c r="AM61" s="65"/>
      <c r="AN61" s="65"/>
      <c r="AO61" s="65"/>
      <c r="AP61" s="65"/>
      <c r="AQ61" s="65"/>
      <c r="AR61" s="65"/>
      <c r="AS61" s="27"/>
      <c r="AT61" s="27"/>
      <c r="AU61" s="65"/>
      <c r="AV61" s="27"/>
      <c r="AW61" s="27">
        <f>AW11+AW13+AW14+AW16+AW18+AW19+AW25</f>
        <v>-7.800000000000551</v>
      </c>
    </row>
    <row r="62" spans="2:49" ht="18.75">
      <c r="B62" s="5" t="s">
        <v>14</v>
      </c>
      <c r="C62" s="66">
        <f>C11+C13+C14+C16+C18+C19+C25</f>
        <v>-13.299999999999999</v>
      </c>
      <c r="D62" s="31"/>
      <c r="E62" s="31"/>
      <c r="F62" s="55"/>
      <c r="G62" s="27"/>
      <c r="H62" s="27"/>
      <c r="I62" s="65"/>
      <c r="J62" s="27"/>
      <c r="K62" s="27"/>
      <c r="L62" s="65"/>
      <c r="M62" s="65"/>
      <c r="N62" s="65"/>
      <c r="O62" s="65"/>
      <c r="P62" s="27"/>
      <c r="Q62" s="27"/>
      <c r="R62" s="65"/>
      <c r="S62" s="27"/>
      <c r="T62" s="27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65"/>
      <c r="AH62" s="65"/>
      <c r="AI62" s="65"/>
      <c r="AJ62" s="65"/>
      <c r="AK62" s="65"/>
      <c r="AL62" s="65"/>
      <c r="AM62" s="65"/>
      <c r="AN62" s="65"/>
      <c r="AO62" s="65"/>
      <c r="AP62" s="65"/>
      <c r="AQ62" s="65"/>
      <c r="AR62" s="65"/>
      <c r="AS62" s="27"/>
      <c r="AT62" s="27"/>
      <c r="AU62" s="65"/>
      <c r="AV62" s="27"/>
      <c r="AW62" s="27"/>
    </row>
    <row r="63" spans="7:49" ht="24.75" customHeight="1">
      <c r="G63" s="27"/>
      <c r="H63" s="27"/>
      <c r="I63" s="65"/>
      <c r="J63" s="27"/>
      <c r="K63" s="27"/>
      <c r="L63" s="65"/>
      <c r="M63" s="65"/>
      <c r="N63" s="65"/>
      <c r="O63" s="65"/>
      <c r="P63" s="27"/>
      <c r="Q63" s="27"/>
      <c r="R63" s="65"/>
      <c r="S63" s="27"/>
      <c r="T63" s="27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  <c r="AH63" s="65"/>
      <c r="AI63" s="65"/>
      <c r="AJ63" s="65"/>
      <c r="AK63" s="65"/>
      <c r="AL63" s="65"/>
      <c r="AM63" s="65"/>
      <c r="AN63" s="65"/>
      <c r="AO63" s="65"/>
      <c r="AP63" s="65"/>
      <c r="AQ63" s="65"/>
      <c r="AR63" s="65"/>
      <c r="AS63" s="27"/>
      <c r="AT63" s="27"/>
      <c r="AU63" s="65"/>
      <c r="AV63" s="27"/>
      <c r="AW63" s="27"/>
    </row>
    <row r="64" spans="7:49" ht="24.75" customHeight="1">
      <c r="G64" s="27"/>
      <c r="H64" s="27"/>
      <c r="I64" s="65"/>
      <c r="J64" s="27"/>
      <c r="K64" s="27"/>
      <c r="L64" s="65"/>
      <c r="M64" s="65"/>
      <c r="N64" s="65"/>
      <c r="O64" s="65"/>
      <c r="P64" s="27"/>
      <c r="Q64" s="27"/>
      <c r="R64" s="65"/>
      <c r="S64" s="27"/>
      <c r="T64" s="27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5"/>
      <c r="AI64" s="65"/>
      <c r="AJ64" s="65"/>
      <c r="AK64" s="65"/>
      <c r="AL64" s="65"/>
      <c r="AM64" s="65"/>
      <c r="AN64" s="65"/>
      <c r="AO64" s="65"/>
      <c r="AP64" s="65"/>
      <c r="AQ64" s="65"/>
      <c r="AR64" s="65"/>
      <c r="AS64" s="27"/>
      <c r="AT64" s="27"/>
      <c r="AU64" s="65"/>
      <c r="AV64" s="27"/>
      <c r="AW64" s="27"/>
    </row>
    <row r="65" spans="7:49" ht="24.75" customHeight="1">
      <c r="G65" s="27"/>
      <c r="H65" s="27"/>
      <c r="I65" s="65"/>
      <c r="J65" s="27"/>
      <c r="K65" s="27"/>
      <c r="L65" s="65"/>
      <c r="M65" s="65"/>
      <c r="N65" s="65"/>
      <c r="O65" s="65"/>
      <c r="P65" s="27"/>
      <c r="Q65" s="27"/>
      <c r="R65" s="65"/>
      <c r="S65" s="27"/>
      <c r="T65" s="27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5"/>
      <c r="AG65" s="65"/>
      <c r="AH65" s="65"/>
      <c r="AI65" s="65"/>
      <c r="AJ65" s="65"/>
      <c r="AK65" s="65"/>
      <c r="AL65" s="65"/>
      <c r="AM65" s="65"/>
      <c r="AN65" s="65"/>
      <c r="AO65" s="65"/>
      <c r="AP65" s="65"/>
      <c r="AQ65" s="65"/>
      <c r="AR65" s="65"/>
      <c r="AS65" s="27"/>
      <c r="AT65" s="27"/>
      <c r="AU65" s="65"/>
      <c r="AV65" s="27"/>
      <c r="AW65" s="27"/>
    </row>
    <row r="66" spans="7:49" ht="24.75" customHeight="1">
      <c r="G66" s="27"/>
      <c r="H66" s="27"/>
      <c r="I66" s="65"/>
      <c r="J66" s="27"/>
      <c r="K66" s="27"/>
      <c r="L66" s="65"/>
      <c r="M66" s="65"/>
      <c r="N66" s="65"/>
      <c r="O66" s="65"/>
      <c r="P66" s="27"/>
      <c r="Q66" s="27"/>
      <c r="R66" s="65"/>
      <c r="S66" s="27"/>
      <c r="T66" s="27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5"/>
      <c r="AH66" s="65"/>
      <c r="AI66" s="65"/>
      <c r="AJ66" s="65"/>
      <c r="AK66" s="65"/>
      <c r="AL66" s="65"/>
      <c r="AM66" s="65"/>
      <c r="AN66" s="65"/>
      <c r="AO66" s="65"/>
      <c r="AP66" s="65"/>
      <c r="AQ66" s="65"/>
      <c r="AR66" s="65"/>
      <c r="AS66" s="27"/>
      <c r="AT66" s="27"/>
      <c r="AU66" s="65"/>
      <c r="AV66" s="27"/>
      <c r="AW66" s="27"/>
    </row>
    <row r="67" spans="7:49" ht="24.75" customHeight="1">
      <c r="G67" s="27"/>
      <c r="H67" s="27"/>
      <c r="I67" s="65"/>
      <c r="J67" s="27"/>
      <c r="K67" s="27"/>
      <c r="L67" s="65"/>
      <c r="M67" s="65"/>
      <c r="N67" s="65"/>
      <c r="O67" s="65"/>
      <c r="P67" s="27"/>
      <c r="Q67" s="27"/>
      <c r="R67" s="65"/>
      <c r="S67" s="27"/>
      <c r="T67" s="27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5"/>
      <c r="AF67" s="65"/>
      <c r="AG67" s="65"/>
      <c r="AH67" s="65"/>
      <c r="AI67" s="65"/>
      <c r="AJ67" s="65"/>
      <c r="AK67" s="65"/>
      <c r="AL67" s="65"/>
      <c r="AM67" s="65"/>
      <c r="AN67" s="65"/>
      <c r="AO67" s="65"/>
      <c r="AP67" s="65"/>
      <c r="AQ67" s="65"/>
      <c r="AR67" s="65"/>
      <c r="AS67" s="27"/>
      <c r="AT67" s="27"/>
      <c r="AU67" s="65"/>
      <c r="AV67" s="27"/>
      <c r="AW67" s="27"/>
    </row>
    <row r="68" spans="7:49" ht="24.75" customHeight="1">
      <c r="G68" s="27"/>
      <c r="H68" s="27"/>
      <c r="I68" s="65"/>
      <c r="J68" s="27"/>
      <c r="K68" s="27"/>
      <c r="L68" s="65"/>
      <c r="M68" s="65"/>
      <c r="N68" s="65"/>
      <c r="O68" s="65"/>
      <c r="P68" s="27"/>
      <c r="Q68" s="27"/>
      <c r="R68" s="65"/>
      <c r="S68" s="27"/>
      <c r="T68" s="27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  <c r="AG68" s="65"/>
      <c r="AH68" s="65"/>
      <c r="AI68" s="65"/>
      <c r="AJ68" s="65"/>
      <c r="AK68" s="65"/>
      <c r="AL68" s="65"/>
      <c r="AM68" s="65"/>
      <c r="AN68" s="65"/>
      <c r="AO68" s="65"/>
      <c r="AP68" s="65"/>
      <c r="AQ68" s="65"/>
      <c r="AR68" s="65"/>
      <c r="AS68" s="27"/>
      <c r="AT68" s="27"/>
      <c r="AU68" s="65"/>
      <c r="AV68" s="27"/>
      <c r="AW68" s="27"/>
    </row>
    <row r="69" spans="7:49" ht="24.75" customHeight="1">
      <c r="G69" s="27"/>
      <c r="H69" s="27"/>
      <c r="I69" s="65"/>
      <c r="J69" s="27"/>
      <c r="K69" s="27"/>
      <c r="L69" s="65"/>
      <c r="M69" s="65"/>
      <c r="N69" s="65"/>
      <c r="O69" s="65"/>
      <c r="P69" s="27"/>
      <c r="Q69" s="27"/>
      <c r="R69" s="65"/>
      <c r="S69" s="27"/>
      <c r="T69" s="27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  <c r="AG69" s="65"/>
      <c r="AH69" s="65"/>
      <c r="AI69" s="65"/>
      <c r="AJ69" s="65"/>
      <c r="AK69" s="65"/>
      <c r="AL69" s="65"/>
      <c r="AM69" s="65"/>
      <c r="AN69" s="65"/>
      <c r="AO69" s="65"/>
      <c r="AP69" s="65"/>
      <c r="AQ69" s="65"/>
      <c r="AR69" s="65"/>
      <c r="AS69" s="27"/>
      <c r="AT69" s="27"/>
      <c r="AU69" s="65"/>
      <c r="AV69" s="27"/>
      <c r="AW69" s="27"/>
    </row>
    <row r="70" spans="7:49" ht="24.75" customHeight="1">
      <c r="G70" s="27"/>
      <c r="H70" s="27"/>
      <c r="I70" s="65"/>
      <c r="J70" s="27"/>
      <c r="K70" s="27"/>
      <c r="L70" s="65"/>
      <c r="M70" s="65"/>
      <c r="N70" s="65"/>
      <c r="O70" s="65"/>
      <c r="P70" s="27"/>
      <c r="Q70" s="27"/>
      <c r="R70" s="65"/>
      <c r="S70" s="27"/>
      <c r="T70" s="27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  <c r="AG70" s="65"/>
      <c r="AH70" s="65"/>
      <c r="AI70" s="65"/>
      <c r="AJ70" s="65"/>
      <c r="AK70" s="65"/>
      <c r="AL70" s="65"/>
      <c r="AM70" s="65"/>
      <c r="AN70" s="65"/>
      <c r="AO70" s="65"/>
      <c r="AP70" s="65"/>
      <c r="AQ70" s="65"/>
      <c r="AR70" s="65"/>
      <c r="AS70" s="27"/>
      <c r="AT70" s="27"/>
      <c r="AU70" s="65"/>
      <c r="AV70" s="27"/>
      <c r="AW70" s="27"/>
    </row>
    <row r="71" spans="7:49" ht="24.75" customHeight="1">
      <c r="G71" s="27"/>
      <c r="H71" s="27"/>
      <c r="I71" s="65"/>
      <c r="J71" s="27"/>
      <c r="K71" s="27"/>
      <c r="L71" s="65"/>
      <c r="M71" s="65"/>
      <c r="N71" s="65"/>
      <c r="O71" s="65"/>
      <c r="P71" s="27"/>
      <c r="Q71" s="27"/>
      <c r="R71" s="65"/>
      <c r="S71" s="27"/>
      <c r="T71" s="27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65"/>
      <c r="AH71" s="65"/>
      <c r="AI71" s="65"/>
      <c r="AJ71" s="65"/>
      <c r="AK71" s="65"/>
      <c r="AL71" s="65"/>
      <c r="AM71" s="65"/>
      <c r="AN71" s="65"/>
      <c r="AO71" s="65"/>
      <c r="AP71" s="65"/>
      <c r="AQ71" s="65"/>
      <c r="AR71" s="65"/>
      <c r="AS71" s="27"/>
      <c r="AT71" s="27"/>
      <c r="AU71" s="65"/>
      <c r="AV71" s="27"/>
      <c r="AW71" s="27"/>
    </row>
    <row r="72" spans="7:49" ht="24.75" customHeight="1">
      <c r="G72" s="27"/>
      <c r="H72" s="27"/>
      <c r="I72" s="65"/>
      <c r="J72" s="27"/>
      <c r="K72" s="27"/>
      <c r="L72" s="65"/>
      <c r="M72" s="65"/>
      <c r="N72" s="65"/>
      <c r="O72" s="65"/>
      <c r="P72" s="27"/>
      <c r="Q72" s="27"/>
      <c r="R72" s="65"/>
      <c r="S72" s="27"/>
      <c r="T72" s="27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  <c r="AG72" s="65"/>
      <c r="AH72" s="65"/>
      <c r="AI72" s="65"/>
      <c r="AJ72" s="65"/>
      <c r="AK72" s="65"/>
      <c r="AL72" s="65"/>
      <c r="AM72" s="65"/>
      <c r="AN72" s="65"/>
      <c r="AO72" s="65"/>
      <c r="AP72" s="65"/>
      <c r="AQ72" s="65"/>
      <c r="AR72" s="65"/>
      <c r="AS72" s="27"/>
      <c r="AT72" s="27"/>
      <c r="AU72" s="65"/>
      <c r="AV72" s="27"/>
      <c r="AW72" s="27"/>
    </row>
    <row r="73" spans="7:49" ht="24.75" customHeight="1">
      <c r="G73" s="27"/>
      <c r="H73" s="27"/>
      <c r="I73" s="65"/>
      <c r="J73" s="27"/>
      <c r="K73" s="27"/>
      <c r="L73" s="65"/>
      <c r="M73" s="65"/>
      <c r="N73" s="65"/>
      <c r="O73" s="65"/>
      <c r="P73" s="27"/>
      <c r="Q73" s="27"/>
      <c r="R73" s="65"/>
      <c r="S73" s="27"/>
      <c r="T73" s="27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5"/>
      <c r="AG73" s="65"/>
      <c r="AH73" s="65"/>
      <c r="AI73" s="65"/>
      <c r="AJ73" s="65"/>
      <c r="AK73" s="65"/>
      <c r="AL73" s="65"/>
      <c r="AM73" s="65"/>
      <c r="AN73" s="65"/>
      <c r="AO73" s="65"/>
      <c r="AP73" s="65"/>
      <c r="AQ73" s="65"/>
      <c r="AR73" s="65"/>
      <c r="AS73" s="27"/>
      <c r="AT73" s="27"/>
      <c r="AU73" s="65"/>
      <c r="AV73" s="27"/>
      <c r="AW73" s="27"/>
    </row>
    <row r="74" spans="7:49" ht="24.75" customHeight="1">
      <c r="G74" s="27"/>
      <c r="H74" s="27"/>
      <c r="I74" s="65"/>
      <c r="J74" s="27"/>
      <c r="K74" s="27"/>
      <c r="L74" s="65"/>
      <c r="M74" s="65"/>
      <c r="N74" s="65"/>
      <c r="O74" s="65"/>
      <c r="P74" s="27"/>
      <c r="Q74" s="27"/>
      <c r="R74" s="65"/>
      <c r="S74" s="27"/>
      <c r="T74" s="27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5"/>
      <c r="AH74" s="65"/>
      <c r="AI74" s="65"/>
      <c r="AJ74" s="65"/>
      <c r="AK74" s="65"/>
      <c r="AL74" s="65"/>
      <c r="AM74" s="65"/>
      <c r="AN74" s="65"/>
      <c r="AO74" s="65"/>
      <c r="AP74" s="65"/>
      <c r="AQ74" s="65"/>
      <c r="AR74" s="65"/>
      <c r="AS74" s="27"/>
      <c r="AT74" s="27"/>
      <c r="AU74" s="65"/>
      <c r="AV74" s="27"/>
      <c r="AW74" s="27"/>
    </row>
    <row r="75" spans="7:49" ht="24.75" customHeight="1">
      <c r="G75" s="27"/>
      <c r="H75" s="27"/>
      <c r="I75" s="65"/>
      <c r="J75" s="27"/>
      <c r="K75" s="27"/>
      <c r="L75" s="65"/>
      <c r="M75" s="65"/>
      <c r="N75" s="65"/>
      <c r="O75" s="65"/>
      <c r="P75" s="27"/>
      <c r="Q75" s="27"/>
      <c r="R75" s="65"/>
      <c r="S75" s="27"/>
      <c r="T75" s="27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  <c r="AM75" s="65"/>
      <c r="AN75" s="65"/>
      <c r="AO75" s="65"/>
      <c r="AP75" s="65"/>
      <c r="AQ75" s="65"/>
      <c r="AR75" s="65"/>
      <c r="AS75" s="27"/>
      <c r="AT75" s="27"/>
      <c r="AU75" s="65"/>
      <c r="AV75" s="27"/>
      <c r="AW75" s="27"/>
    </row>
    <row r="76" spans="7:49" ht="24.75" customHeight="1">
      <c r="G76" s="27"/>
      <c r="H76" s="27"/>
      <c r="I76" s="65"/>
      <c r="J76" s="27"/>
      <c r="K76" s="27"/>
      <c r="L76" s="65"/>
      <c r="M76" s="65"/>
      <c r="N76" s="65"/>
      <c r="O76" s="65"/>
      <c r="P76" s="27"/>
      <c r="Q76" s="27"/>
      <c r="R76" s="65"/>
      <c r="S76" s="27"/>
      <c r="T76" s="27"/>
      <c r="U76" s="65"/>
      <c r="V76" s="65"/>
      <c r="W76" s="65"/>
      <c r="X76" s="65"/>
      <c r="Y76" s="65"/>
      <c r="Z76" s="65"/>
      <c r="AA76" s="65"/>
      <c r="AB76" s="65"/>
      <c r="AC76" s="65"/>
      <c r="AD76" s="65"/>
      <c r="AE76" s="65"/>
      <c r="AF76" s="65"/>
      <c r="AG76" s="65"/>
      <c r="AH76" s="65"/>
      <c r="AI76" s="65"/>
      <c r="AJ76" s="65"/>
      <c r="AK76" s="65"/>
      <c r="AL76" s="65"/>
      <c r="AM76" s="65"/>
      <c r="AN76" s="65"/>
      <c r="AO76" s="65"/>
      <c r="AP76" s="65"/>
      <c r="AQ76" s="65"/>
      <c r="AR76" s="65"/>
      <c r="AS76" s="27"/>
      <c r="AT76" s="27"/>
      <c r="AU76" s="65"/>
      <c r="AV76" s="27"/>
      <c r="AW76" s="27"/>
    </row>
    <row r="77" spans="7:49" ht="24.75" customHeight="1">
      <c r="G77" s="27"/>
      <c r="H77" s="27"/>
      <c r="I77" s="65"/>
      <c r="J77" s="27"/>
      <c r="K77" s="27"/>
      <c r="L77" s="65"/>
      <c r="M77" s="65"/>
      <c r="N77" s="65"/>
      <c r="O77" s="65"/>
      <c r="P77" s="27"/>
      <c r="Q77" s="27"/>
      <c r="R77" s="65"/>
      <c r="S77" s="27"/>
      <c r="T77" s="27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5"/>
      <c r="AR77" s="65"/>
      <c r="AS77" s="27"/>
      <c r="AT77" s="27"/>
      <c r="AU77" s="65"/>
      <c r="AV77" s="27"/>
      <c r="AW77" s="27"/>
    </row>
    <row r="78" spans="7:49" ht="24.75" customHeight="1">
      <c r="G78" s="27"/>
      <c r="H78" s="27"/>
      <c r="I78" s="65"/>
      <c r="J78" s="27"/>
      <c r="K78" s="27"/>
      <c r="L78" s="65"/>
      <c r="M78" s="65"/>
      <c r="N78" s="65"/>
      <c r="O78" s="65"/>
      <c r="P78" s="27"/>
      <c r="Q78" s="27"/>
      <c r="R78" s="65"/>
      <c r="S78" s="27"/>
      <c r="T78" s="27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5"/>
      <c r="AG78" s="65"/>
      <c r="AH78" s="65"/>
      <c r="AI78" s="65"/>
      <c r="AJ78" s="65"/>
      <c r="AK78" s="65"/>
      <c r="AL78" s="65"/>
      <c r="AM78" s="65"/>
      <c r="AN78" s="65"/>
      <c r="AO78" s="65"/>
      <c r="AP78" s="65"/>
      <c r="AQ78" s="65"/>
      <c r="AR78" s="65"/>
      <c r="AS78" s="27"/>
      <c r="AT78" s="27"/>
      <c r="AU78" s="65"/>
      <c r="AV78" s="27"/>
      <c r="AW78" s="27"/>
    </row>
    <row r="79" spans="7:49" ht="24.75" customHeight="1">
      <c r="G79" s="27"/>
      <c r="H79" s="27"/>
      <c r="I79" s="65"/>
      <c r="J79" s="27"/>
      <c r="K79" s="27"/>
      <c r="L79" s="65"/>
      <c r="M79" s="65"/>
      <c r="N79" s="65"/>
      <c r="O79" s="65"/>
      <c r="P79" s="27"/>
      <c r="Q79" s="27"/>
      <c r="R79" s="65"/>
      <c r="S79" s="27"/>
      <c r="T79" s="27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65"/>
      <c r="AG79" s="65"/>
      <c r="AH79" s="65"/>
      <c r="AI79" s="65"/>
      <c r="AJ79" s="65"/>
      <c r="AK79" s="65"/>
      <c r="AL79" s="65"/>
      <c r="AM79" s="65"/>
      <c r="AN79" s="65"/>
      <c r="AO79" s="65"/>
      <c r="AP79" s="65"/>
      <c r="AQ79" s="65"/>
      <c r="AR79" s="65"/>
      <c r="AS79" s="27"/>
      <c r="AT79" s="27"/>
      <c r="AU79" s="65"/>
      <c r="AV79" s="27"/>
      <c r="AW79" s="27"/>
    </row>
    <row r="80" spans="7:49" ht="24.75" customHeight="1">
      <c r="G80" s="27"/>
      <c r="H80" s="27"/>
      <c r="I80" s="65"/>
      <c r="J80" s="27"/>
      <c r="K80" s="27"/>
      <c r="L80" s="65"/>
      <c r="M80" s="65"/>
      <c r="N80" s="65"/>
      <c r="O80" s="65"/>
      <c r="P80" s="27"/>
      <c r="Q80" s="27"/>
      <c r="R80" s="65"/>
      <c r="S80" s="27"/>
      <c r="T80" s="27"/>
      <c r="U80" s="65"/>
      <c r="V80" s="65"/>
      <c r="W80" s="65"/>
      <c r="X80" s="65"/>
      <c r="Y80" s="65"/>
      <c r="Z80" s="65"/>
      <c r="AA80" s="65"/>
      <c r="AB80" s="65"/>
      <c r="AC80" s="65"/>
      <c r="AD80" s="65"/>
      <c r="AE80" s="65"/>
      <c r="AF80" s="65"/>
      <c r="AG80" s="65"/>
      <c r="AH80" s="65"/>
      <c r="AI80" s="65"/>
      <c r="AJ80" s="65"/>
      <c r="AK80" s="65"/>
      <c r="AL80" s="65"/>
      <c r="AM80" s="65"/>
      <c r="AN80" s="65"/>
      <c r="AO80" s="65"/>
      <c r="AP80" s="65"/>
      <c r="AQ80" s="65"/>
      <c r="AR80" s="65"/>
      <c r="AS80" s="27"/>
      <c r="AT80" s="27"/>
      <c r="AU80" s="65"/>
      <c r="AV80" s="27"/>
      <c r="AW80" s="27"/>
    </row>
    <row r="81" spans="7:49" ht="24.75" customHeight="1">
      <c r="G81" s="27"/>
      <c r="H81" s="27"/>
      <c r="I81" s="65"/>
      <c r="J81" s="27"/>
      <c r="K81" s="27"/>
      <c r="L81" s="65"/>
      <c r="M81" s="65"/>
      <c r="N81" s="65"/>
      <c r="O81" s="65"/>
      <c r="P81" s="27"/>
      <c r="Q81" s="27"/>
      <c r="R81" s="65"/>
      <c r="S81" s="27"/>
      <c r="T81" s="27"/>
      <c r="U81" s="65"/>
      <c r="V81" s="65"/>
      <c r="W81" s="65"/>
      <c r="X81" s="65"/>
      <c r="Y81" s="65"/>
      <c r="Z81" s="65"/>
      <c r="AA81" s="65"/>
      <c r="AB81" s="65"/>
      <c r="AC81" s="65"/>
      <c r="AD81" s="65"/>
      <c r="AE81" s="65"/>
      <c r="AF81" s="65"/>
      <c r="AG81" s="65"/>
      <c r="AH81" s="65"/>
      <c r="AI81" s="65"/>
      <c r="AJ81" s="65"/>
      <c r="AK81" s="65"/>
      <c r="AL81" s="65"/>
      <c r="AM81" s="65"/>
      <c r="AN81" s="65"/>
      <c r="AO81" s="65"/>
      <c r="AP81" s="65"/>
      <c r="AQ81" s="65"/>
      <c r="AR81" s="65"/>
      <c r="AS81" s="27"/>
      <c r="AT81" s="27"/>
      <c r="AU81" s="65"/>
      <c r="AV81" s="27"/>
      <c r="AW81" s="27"/>
    </row>
    <row r="82" spans="7:49" ht="24.75" customHeight="1">
      <c r="G82" s="27"/>
      <c r="H82" s="27"/>
      <c r="I82" s="65"/>
      <c r="J82" s="27"/>
      <c r="K82" s="27"/>
      <c r="L82" s="65"/>
      <c r="M82" s="65"/>
      <c r="N82" s="65"/>
      <c r="O82" s="65"/>
      <c r="P82" s="27"/>
      <c r="Q82" s="27"/>
      <c r="R82" s="65"/>
      <c r="S82" s="27"/>
      <c r="T82" s="27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5"/>
      <c r="AI82" s="65"/>
      <c r="AJ82" s="65"/>
      <c r="AK82" s="65"/>
      <c r="AL82" s="65"/>
      <c r="AM82" s="65"/>
      <c r="AN82" s="65"/>
      <c r="AO82" s="65"/>
      <c r="AP82" s="65"/>
      <c r="AQ82" s="65"/>
      <c r="AR82" s="65"/>
      <c r="AS82" s="27"/>
      <c r="AT82" s="27"/>
      <c r="AU82" s="65"/>
      <c r="AV82" s="27"/>
      <c r="AW82" s="27"/>
    </row>
    <row r="83" spans="7:49" ht="24.75" customHeight="1">
      <c r="G83" s="27"/>
      <c r="H83" s="27"/>
      <c r="I83" s="65"/>
      <c r="J83" s="27"/>
      <c r="K83" s="27"/>
      <c r="L83" s="65"/>
      <c r="M83" s="65"/>
      <c r="N83" s="65"/>
      <c r="O83" s="65"/>
      <c r="P83" s="27"/>
      <c r="Q83" s="27"/>
      <c r="R83" s="65"/>
      <c r="S83" s="27"/>
      <c r="T83" s="27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5"/>
      <c r="AL83" s="65"/>
      <c r="AM83" s="65"/>
      <c r="AN83" s="65"/>
      <c r="AO83" s="65"/>
      <c r="AP83" s="65"/>
      <c r="AQ83" s="65"/>
      <c r="AR83" s="65"/>
      <c r="AS83" s="27"/>
      <c r="AT83" s="27"/>
      <c r="AU83" s="65"/>
      <c r="AV83" s="27"/>
      <c r="AW83" s="27"/>
    </row>
    <row r="84" spans="7:49" ht="24.75" customHeight="1">
      <c r="G84" s="27"/>
      <c r="H84" s="27"/>
      <c r="I84" s="65"/>
      <c r="J84" s="27"/>
      <c r="K84" s="27"/>
      <c r="L84" s="65"/>
      <c r="M84" s="65"/>
      <c r="N84" s="65"/>
      <c r="O84" s="65"/>
      <c r="P84" s="27"/>
      <c r="Q84" s="27"/>
      <c r="R84" s="65"/>
      <c r="S84" s="27"/>
      <c r="T84" s="27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  <c r="AM84" s="65"/>
      <c r="AN84" s="65"/>
      <c r="AO84" s="65"/>
      <c r="AP84" s="65"/>
      <c r="AQ84" s="65"/>
      <c r="AR84" s="65"/>
      <c r="AS84" s="27"/>
      <c r="AT84" s="27"/>
      <c r="AU84" s="65"/>
      <c r="AV84" s="27"/>
      <c r="AW84" s="27"/>
    </row>
    <row r="85" spans="7:49" ht="24.75" customHeight="1">
      <c r="G85" s="27"/>
      <c r="H85" s="27"/>
      <c r="I85" s="65"/>
      <c r="J85" s="27"/>
      <c r="K85" s="27"/>
      <c r="L85" s="65"/>
      <c r="M85" s="65"/>
      <c r="N85" s="65"/>
      <c r="O85" s="65"/>
      <c r="P85" s="27"/>
      <c r="Q85" s="27"/>
      <c r="R85" s="65"/>
      <c r="S85" s="27"/>
      <c r="T85" s="27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5"/>
      <c r="AL85" s="65"/>
      <c r="AM85" s="65"/>
      <c r="AN85" s="65"/>
      <c r="AO85" s="65"/>
      <c r="AP85" s="65"/>
      <c r="AQ85" s="65"/>
      <c r="AR85" s="65"/>
      <c r="AS85" s="27"/>
      <c r="AT85" s="27"/>
      <c r="AU85" s="65"/>
      <c r="AV85" s="27"/>
      <c r="AW85" s="27"/>
    </row>
    <row r="86" spans="7:49" ht="24.75" customHeight="1">
      <c r="G86" s="27"/>
      <c r="H86" s="27"/>
      <c r="I86" s="65"/>
      <c r="J86" s="27"/>
      <c r="K86" s="27"/>
      <c r="L86" s="65"/>
      <c r="M86" s="65"/>
      <c r="N86" s="65"/>
      <c r="O86" s="65"/>
      <c r="P86" s="27"/>
      <c r="Q86" s="27"/>
      <c r="R86" s="65"/>
      <c r="S86" s="27"/>
      <c r="T86" s="27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5"/>
      <c r="AL86" s="65"/>
      <c r="AM86" s="65"/>
      <c r="AN86" s="65"/>
      <c r="AO86" s="65"/>
      <c r="AP86" s="65"/>
      <c r="AQ86" s="65"/>
      <c r="AR86" s="65"/>
      <c r="AS86" s="27"/>
      <c r="AT86" s="27"/>
      <c r="AU86" s="65"/>
      <c r="AV86" s="27"/>
      <c r="AW86" s="27"/>
    </row>
    <row r="87" spans="7:49" ht="24.75" customHeight="1">
      <c r="G87" s="27"/>
      <c r="H87" s="27"/>
      <c r="I87" s="65"/>
      <c r="J87" s="27"/>
      <c r="K87" s="27"/>
      <c r="L87" s="65"/>
      <c r="M87" s="65"/>
      <c r="N87" s="65"/>
      <c r="O87" s="65"/>
      <c r="P87" s="27"/>
      <c r="Q87" s="27"/>
      <c r="R87" s="65"/>
      <c r="S87" s="27"/>
      <c r="T87" s="27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  <c r="AG87" s="65"/>
      <c r="AH87" s="65"/>
      <c r="AI87" s="65"/>
      <c r="AJ87" s="65"/>
      <c r="AK87" s="65"/>
      <c r="AL87" s="65"/>
      <c r="AM87" s="65"/>
      <c r="AN87" s="65"/>
      <c r="AO87" s="65"/>
      <c r="AP87" s="65"/>
      <c r="AQ87" s="65"/>
      <c r="AR87" s="65"/>
      <c r="AS87" s="27"/>
      <c r="AT87" s="27"/>
      <c r="AU87" s="65"/>
      <c r="AV87" s="27"/>
      <c r="AW87" s="27"/>
    </row>
    <row r="88" spans="7:49" ht="24.75" customHeight="1">
      <c r="G88" s="27"/>
      <c r="H88" s="27"/>
      <c r="I88" s="65"/>
      <c r="J88" s="27"/>
      <c r="K88" s="27"/>
      <c r="L88" s="65"/>
      <c r="M88" s="65"/>
      <c r="N88" s="65"/>
      <c r="O88" s="65"/>
      <c r="P88" s="27"/>
      <c r="Q88" s="27"/>
      <c r="R88" s="65"/>
      <c r="S88" s="27"/>
      <c r="T88" s="27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65"/>
      <c r="AF88" s="65"/>
      <c r="AG88" s="65"/>
      <c r="AH88" s="65"/>
      <c r="AI88" s="65"/>
      <c r="AJ88" s="65"/>
      <c r="AK88" s="65"/>
      <c r="AL88" s="65"/>
      <c r="AM88" s="65"/>
      <c r="AN88" s="65"/>
      <c r="AO88" s="65"/>
      <c r="AP88" s="65"/>
      <c r="AQ88" s="65"/>
      <c r="AR88" s="65"/>
      <c r="AS88" s="27"/>
      <c r="AT88" s="27"/>
      <c r="AU88" s="65"/>
      <c r="AV88" s="27"/>
      <c r="AW88" s="27"/>
    </row>
    <row r="89" spans="7:49" ht="24.75" customHeight="1">
      <c r="G89" s="27"/>
      <c r="H89" s="27"/>
      <c r="I89" s="65"/>
      <c r="J89" s="27"/>
      <c r="K89" s="27"/>
      <c r="L89" s="65"/>
      <c r="M89" s="65"/>
      <c r="N89" s="65"/>
      <c r="O89" s="65"/>
      <c r="P89" s="27"/>
      <c r="Q89" s="27"/>
      <c r="R89" s="65"/>
      <c r="S89" s="27"/>
      <c r="T89" s="27"/>
      <c r="U89" s="65"/>
      <c r="V89" s="65"/>
      <c r="W89" s="65"/>
      <c r="X89" s="65"/>
      <c r="Y89" s="65"/>
      <c r="Z89" s="65"/>
      <c r="AA89" s="65"/>
      <c r="AB89" s="65"/>
      <c r="AC89" s="65"/>
      <c r="AD89" s="65"/>
      <c r="AE89" s="65"/>
      <c r="AF89" s="65"/>
      <c r="AG89" s="65"/>
      <c r="AH89" s="65"/>
      <c r="AI89" s="65"/>
      <c r="AJ89" s="65"/>
      <c r="AK89" s="65"/>
      <c r="AL89" s="65"/>
      <c r="AM89" s="65"/>
      <c r="AN89" s="65"/>
      <c r="AO89" s="65"/>
      <c r="AP89" s="65"/>
      <c r="AQ89" s="65"/>
      <c r="AR89" s="65"/>
      <c r="AS89" s="27"/>
      <c r="AT89" s="27"/>
      <c r="AU89" s="65"/>
      <c r="AV89" s="27"/>
      <c r="AW89" s="27"/>
    </row>
    <row r="90" spans="7:49" ht="24.75" customHeight="1">
      <c r="G90" s="27"/>
      <c r="H90" s="27"/>
      <c r="I90" s="65"/>
      <c r="J90" s="27"/>
      <c r="K90" s="27"/>
      <c r="L90" s="65"/>
      <c r="M90" s="65"/>
      <c r="N90" s="65"/>
      <c r="O90" s="65"/>
      <c r="P90" s="27"/>
      <c r="Q90" s="27"/>
      <c r="R90" s="65"/>
      <c r="S90" s="27"/>
      <c r="T90" s="27"/>
      <c r="U90" s="65"/>
      <c r="V90" s="65"/>
      <c r="W90" s="65"/>
      <c r="X90" s="65"/>
      <c r="Y90" s="65"/>
      <c r="Z90" s="65"/>
      <c r="AA90" s="65"/>
      <c r="AB90" s="65"/>
      <c r="AC90" s="65"/>
      <c r="AD90" s="65"/>
      <c r="AE90" s="65"/>
      <c r="AF90" s="65"/>
      <c r="AG90" s="65"/>
      <c r="AH90" s="65"/>
      <c r="AI90" s="65"/>
      <c r="AJ90" s="65"/>
      <c r="AK90" s="65"/>
      <c r="AL90" s="65"/>
      <c r="AM90" s="65"/>
      <c r="AN90" s="65"/>
      <c r="AO90" s="65"/>
      <c r="AP90" s="65"/>
      <c r="AQ90" s="65"/>
      <c r="AR90" s="65"/>
      <c r="AS90" s="27"/>
      <c r="AT90" s="27"/>
      <c r="AU90" s="65"/>
      <c r="AV90" s="27"/>
      <c r="AW90" s="27"/>
    </row>
    <row r="91" spans="7:49" ht="24.75" customHeight="1">
      <c r="G91" s="27"/>
      <c r="H91" s="27"/>
      <c r="I91" s="65"/>
      <c r="J91" s="27"/>
      <c r="K91" s="27"/>
      <c r="L91" s="65"/>
      <c r="M91" s="65"/>
      <c r="N91" s="65"/>
      <c r="O91" s="65"/>
      <c r="P91" s="27"/>
      <c r="Q91" s="27"/>
      <c r="R91" s="65"/>
      <c r="S91" s="27"/>
      <c r="T91" s="27"/>
      <c r="U91" s="65"/>
      <c r="V91" s="65"/>
      <c r="W91" s="65"/>
      <c r="X91" s="65"/>
      <c r="Y91" s="65"/>
      <c r="Z91" s="65"/>
      <c r="AA91" s="65"/>
      <c r="AB91" s="65"/>
      <c r="AC91" s="65"/>
      <c r="AD91" s="65"/>
      <c r="AE91" s="65"/>
      <c r="AF91" s="65"/>
      <c r="AG91" s="65"/>
      <c r="AH91" s="65"/>
      <c r="AI91" s="65"/>
      <c r="AJ91" s="65"/>
      <c r="AK91" s="65"/>
      <c r="AL91" s="65"/>
      <c r="AM91" s="65"/>
      <c r="AN91" s="65"/>
      <c r="AO91" s="65"/>
      <c r="AP91" s="65"/>
      <c r="AQ91" s="65"/>
      <c r="AR91" s="65"/>
      <c r="AS91" s="27"/>
      <c r="AT91" s="27"/>
      <c r="AU91" s="65"/>
      <c r="AV91" s="27"/>
      <c r="AW91" s="27"/>
    </row>
    <row r="92" spans="7:49" ht="24.75" customHeight="1">
      <c r="G92" s="27"/>
      <c r="H92" s="27"/>
      <c r="I92" s="65"/>
      <c r="J92" s="27"/>
      <c r="K92" s="27"/>
      <c r="L92" s="65"/>
      <c r="M92" s="65"/>
      <c r="N92" s="65"/>
      <c r="O92" s="65"/>
      <c r="P92" s="27"/>
      <c r="Q92" s="27"/>
      <c r="R92" s="65"/>
      <c r="S92" s="27"/>
      <c r="T92" s="27"/>
      <c r="U92" s="65"/>
      <c r="V92" s="65"/>
      <c r="W92" s="65"/>
      <c r="X92" s="65"/>
      <c r="Y92" s="65"/>
      <c r="Z92" s="65"/>
      <c r="AA92" s="65"/>
      <c r="AB92" s="65"/>
      <c r="AC92" s="65"/>
      <c r="AD92" s="65"/>
      <c r="AE92" s="65"/>
      <c r="AF92" s="65"/>
      <c r="AG92" s="65"/>
      <c r="AH92" s="65"/>
      <c r="AI92" s="65"/>
      <c r="AJ92" s="65"/>
      <c r="AK92" s="65"/>
      <c r="AL92" s="65"/>
      <c r="AM92" s="65"/>
      <c r="AN92" s="65"/>
      <c r="AO92" s="65"/>
      <c r="AP92" s="65"/>
      <c r="AQ92" s="65"/>
      <c r="AR92" s="65"/>
      <c r="AS92" s="27"/>
      <c r="AT92" s="27"/>
      <c r="AU92" s="65"/>
      <c r="AV92" s="27"/>
      <c r="AW92" s="27"/>
    </row>
    <row r="93" spans="7:49" ht="24.75" customHeight="1">
      <c r="G93" s="27"/>
      <c r="H93" s="27"/>
      <c r="I93" s="65"/>
      <c r="J93" s="27"/>
      <c r="K93" s="27"/>
      <c r="L93" s="65"/>
      <c r="M93" s="65"/>
      <c r="N93" s="65"/>
      <c r="O93" s="65"/>
      <c r="P93" s="27"/>
      <c r="Q93" s="27"/>
      <c r="R93" s="65"/>
      <c r="S93" s="27"/>
      <c r="T93" s="27"/>
      <c r="U93" s="65"/>
      <c r="V93" s="65"/>
      <c r="W93" s="65"/>
      <c r="X93" s="65"/>
      <c r="Y93" s="65"/>
      <c r="Z93" s="65"/>
      <c r="AA93" s="65"/>
      <c r="AB93" s="65"/>
      <c r="AC93" s="65"/>
      <c r="AD93" s="65"/>
      <c r="AE93" s="65"/>
      <c r="AF93" s="65"/>
      <c r="AG93" s="65"/>
      <c r="AH93" s="65"/>
      <c r="AI93" s="65"/>
      <c r="AJ93" s="65"/>
      <c r="AK93" s="65"/>
      <c r="AL93" s="65"/>
      <c r="AM93" s="65"/>
      <c r="AN93" s="65"/>
      <c r="AO93" s="65"/>
      <c r="AP93" s="65"/>
      <c r="AQ93" s="65"/>
      <c r="AR93" s="65"/>
      <c r="AS93" s="27"/>
      <c r="AT93" s="27"/>
      <c r="AU93" s="65"/>
      <c r="AV93" s="27"/>
      <c r="AW93" s="27"/>
    </row>
    <row r="94" spans="7:49" ht="24.75" customHeight="1">
      <c r="G94" s="27"/>
      <c r="H94" s="27"/>
      <c r="I94" s="65"/>
      <c r="J94" s="27"/>
      <c r="K94" s="27"/>
      <c r="L94" s="65"/>
      <c r="M94" s="65"/>
      <c r="N94" s="65"/>
      <c r="O94" s="65"/>
      <c r="P94" s="27"/>
      <c r="Q94" s="27"/>
      <c r="R94" s="65"/>
      <c r="S94" s="27"/>
      <c r="T94" s="27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/>
      <c r="AF94" s="65"/>
      <c r="AG94" s="65"/>
      <c r="AH94" s="65"/>
      <c r="AI94" s="65"/>
      <c r="AJ94" s="65"/>
      <c r="AK94" s="65"/>
      <c r="AL94" s="65"/>
      <c r="AM94" s="65"/>
      <c r="AN94" s="65"/>
      <c r="AO94" s="65"/>
      <c r="AP94" s="65"/>
      <c r="AQ94" s="65"/>
      <c r="AR94" s="65"/>
      <c r="AS94" s="27"/>
      <c r="AT94" s="27"/>
      <c r="AU94" s="65"/>
      <c r="AV94" s="27"/>
      <c r="AW94" s="27"/>
    </row>
    <row r="95" spans="7:49" ht="24.75" customHeight="1">
      <c r="G95" s="27"/>
      <c r="H95" s="27"/>
      <c r="I95" s="65"/>
      <c r="J95" s="27"/>
      <c r="K95" s="27"/>
      <c r="L95" s="65"/>
      <c r="M95" s="65"/>
      <c r="N95" s="65"/>
      <c r="O95" s="65"/>
      <c r="P95" s="27"/>
      <c r="Q95" s="27"/>
      <c r="R95" s="65"/>
      <c r="S95" s="27"/>
      <c r="T95" s="27"/>
      <c r="U95" s="65"/>
      <c r="V95" s="65"/>
      <c r="W95" s="65"/>
      <c r="X95" s="65"/>
      <c r="Y95" s="65"/>
      <c r="Z95" s="65"/>
      <c r="AA95" s="65"/>
      <c r="AB95" s="65"/>
      <c r="AC95" s="65"/>
      <c r="AD95" s="65"/>
      <c r="AE95" s="65"/>
      <c r="AF95" s="65"/>
      <c r="AG95" s="65"/>
      <c r="AH95" s="65"/>
      <c r="AI95" s="65"/>
      <c r="AJ95" s="65"/>
      <c r="AK95" s="65"/>
      <c r="AL95" s="65"/>
      <c r="AM95" s="65"/>
      <c r="AN95" s="65"/>
      <c r="AO95" s="65"/>
      <c r="AP95" s="65"/>
      <c r="AQ95" s="65"/>
      <c r="AR95" s="65"/>
      <c r="AS95" s="27"/>
      <c r="AT95" s="27"/>
      <c r="AU95" s="65"/>
      <c r="AV95" s="27"/>
      <c r="AW95" s="27"/>
    </row>
    <row r="96" spans="7:49" ht="24.75" customHeight="1">
      <c r="G96" s="27"/>
      <c r="H96" s="27"/>
      <c r="I96" s="65"/>
      <c r="J96" s="27"/>
      <c r="K96" s="27"/>
      <c r="L96" s="65"/>
      <c r="M96" s="65"/>
      <c r="N96" s="65"/>
      <c r="O96" s="65"/>
      <c r="P96" s="27"/>
      <c r="Q96" s="27"/>
      <c r="R96" s="65"/>
      <c r="S96" s="27"/>
      <c r="T96" s="27"/>
      <c r="U96" s="65"/>
      <c r="V96" s="65"/>
      <c r="W96" s="65"/>
      <c r="X96" s="65"/>
      <c r="Y96" s="65"/>
      <c r="Z96" s="65"/>
      <c r="AA96" s="65"/>
      <c r="AB96" s="65"/>
      <c r="AC96" s="65"/>
      <c r="AD96" s="65"/>
      <c r="AE96" s="65"/>
      <c r="AF96" s="65"/>
      <c r="AG96" s="65"/>
      <c r="AH96" s="65"/>
      <c r="AI96" s="65"/>
      <c r="AJ96" s="65"/>
      <c r="AK96" s="65"/>
      <c r="AL96" s="65"/>
      <c r="AM96" s="65"/>
      <c r="AN96" s="65"/>
      <c r="AO96" s="65"/>
      <c r="AP96" s="65"/>
      <c r="AQ96" s="65"/>
      <c r="AR96" s="65"/>
      <c r="AS96" s="27"/>
      <c r="AT96" s="27"/>
      <c r="AU96" s="65"/>
      <c r="AV96" s="27"/>
      <c r="AW96" s="27"/>
    </row>
    <row r="97" spans="7:49" ht="18.75">
      <c r="G97" s="27"/>
      <c r="H97" s="27"/>
      <c r="I97" s="65"/>
      <c r="J97" s="27"/>
      <c r="K97" s="27"/>
      <c r="L97" s="65"/>
      <c r="M97" s="65"/>
      <c r="N97" s="65"/>
      <c r="O97" s="65"/>
      <c r="P97" s="27"/>
      <c r="Q97" s="27"/>
      <c r="R97" s="65"/>
      <c r="S97" s="27"/>
      <c r="T97" s="27"/>
      <c r="U97" s="65"/>
      <c r="V97" s="65"/>
      <c r="W97" s="65"/>
      <c r="X97" s="65"/>
      <c r="Y97" s="65"/>
      <c r="Z97" s="65"/>
      <c r="AA97" s="65"/>
      <c r="AB97" s="65"/>
      <c r="AC97" s="65"/>
      <c r="AD97" s="65"/>
      <c r="AE97" s="65"/>
      <c r="AF97" s="65"/>
      <c r="AG97" s="65"/>
      <c r="AH97" s="65"/>
      <c r="AI97" s="65"/>
      <c r="AJ97" s="65"/>
      <c r="AK97" s="65"/>
      <c r="AL97" s="65"/>
      <c r="AM97" s="65"/>
      <c r="AN97" s="65"/>
      <c r="AO97" s="65"/>
      <c r="AP97" s="65"/>
      <c r="AQ97" s="65"/>
      <c r="AR97" s="65"/>
      <c r="AS97" s="27"/>
      <c r="AT97" s="27"/>
      <c r="AU97" s="65"/>
      <c r="AV97" s="27"/>
      <c r="AW97" s="27"/>
    </row>
    <row r="98" spans="7:49" ht="18.75">
      <c r="G98" s="27"/>
      <c r="H98" s="27"/>
      <c r="I98" s="65"/>
      <c r="J98" s="27"/>
      <c r="K98" s="27"/>
      <c r="L98" s="65"/>
      <c r="M98" s="65"/>
      <c r="N98" s="65"/>
      <c r="O98" s="65"/>
      <c r="P98" s="27"/>
      <c r="Q98" s="27"/>
      <c r="R98" s="65"/>
      <c r="S98" s="27"/>
      <c r="T98" s="27"/>
      <c r="U98" s="65"/>
      <c r="V98" s="65"/>
      <c r="W98" s="65"/>
      <c r="X98" s="65"/>
      <c r="Y98" s="65"/>
      <c r="Z98" s="65"/>
      <c r="AA98" s="65"/>
      <c r="AB98" s="65"/>
      <c r="AC98" s="65"/>
      <c r="AD98" s="65"/>
      <c r="AE98" s="65"/>
      <c r="AF98" s="65"/>
      <c r="AG98" s="65"/>
      <c r="AH98" s="65"/>
      <c r="AI98" s="65"/>
      <c r="AJ98" s="65"/>
      <c r="AK98" s="65"/>
      <c r="AL98" s="65"/>
      <c r="AM98" s="65"/>
      <c r="AN98" s="65"/>
      <c r="AO98" s="65"/>
      <c r="AP98" s="65"/>
      <c r="AQ98" s="65"/>
      <c r="AR98" s="65"/>
      <c r="AS98" s="27"/>
      <c r="AT98" s="27"/>
      <c r="AU98" s="65"/>
      <c r="AV98" s="27"/>
      <c r="AW98" s="27"/>
    </row>
    <row r="99" spans="7:49" ht="18.75">
      <c r="G99" s="27"/>
      <c r="H99" s="27"/>
      <c r="I99" s="65"/>
      <c r="J99" s="27"/>
      <c r="K99" s="27"/>
      <c r="L99" s="65"/>
      <c r="M99" s="65"/>
      <c r="N99" s="65"/>
      <c r="O99" s="65"/>
      <c r="P99" s="27"/>
      <c r="Q99" s="27"/>
      <c r="R99" s="65"/>
      <c r="S99" s="27"/>
      <c r="T99" s="27"/>
      <c r="U99" s="65"/>
      <c r="V99" s="65"/>
      <c r="W99" s="65"/>
      <c r="X99" s="65"/>
      <c r="Y99" s="65"/>
      <c r="Z99" s="65"/>
      <c r="AA99" s="65"/>
      <c r="AB99" s="65"/>
      <c r="AC99" s="65"/>
      <c r="AD99" s="65"/>
      <c r="AE99" s="65"/>
      <c r="AF99" s="65"/>
      <c r="AG99" s="65"/>
      <c r="AH99" s="65"/>
      <c r="AI99" s="65"/>
      <c r="AJ99" s="65"/>
      <c r="AK99" s="65"/>
      <c r="AL99" s="65"/>
      <c r="AM99" s="65"/>
      <c r="AN99" s="65"/>
      <c r="AO99" s="65"/>
      <c r="AP99" s="65"/>
      <c r="AQ99" s="65"/>
      <c r="AR99" s="65"/>
      <c r="AS99" s="27"/>
      <c r="AT99" s="27"/>
      <c r="AU99" s="65"/>
      <c r="AV99" s="27"/>
      <c r="AW99" s="27"/>
    </row>
    <row r="100" spans="7:49" ht="18.75">
      <c r="G100" s="27"/>
      <c r="H100" s="27"/>
      <c r="I100" s="65"/>
      <c r="J100" s="27"/>
      <c r="K100" s="27"/>
      <c r="L100" s="65"/>
      <c r="M100" s="65"/>
      <c r="N100" s="65"/>
      <c r="O100" s="65"/>
      <c r="P100" s="27"/>
      <c r="Q100" s="27"/>
      <c r="R100" s="65"/>
      <c r="S100" s="27"/>
      <c r="T100" s="27"/>
      <c r="U100" s="65"/>
      <c r="V100" s="65"/>
      <c r="W100" s="65"/>
      <c r="X100" s="65"/>
      <c r="Y100" s="65"/>
      <c r="Z100" s="65"/>
      <c r="AA100" s="65"/>
      <c r="AB100" s="65"/>
      <c r="AC100" s="65"/>
      <c r="AD100" s="65"/>
      <c r="AE100" s="65"/>
      <c r="AF100" s="65"/>
      <c r="AG100" s="65"/>
      <c r="AH100" s="65"/>
      <c r="AI100" s="65"/>
      <c r="AJ100" s="65"/>
      <c r="AK100" s="65"/>
      <c r="AL100" s="65"/>
      <c r="AM100" s="65"/>
      <c r="AN100" s="65"/>
      <c r="AO100" s="65"/>
      <c r="AP100" s="65"/>
      <c r="AQ100" s="65"/>
      <c r="AR100" s="65"/>
      <c r="AS100" s="27"/>
      <c r="AT100" s="27"/>
      <c r="AU100" s="65"/>
      <c r="AV100" s="27"/>
      <c r="AW100" s="27"/>
    </row>
    <row r="101" spans="7:49" ht="18.75">
      <c r="G101" s="27"/>
      <c r="H101" s="27"/>
      <c r="I101" s="65"/>
      <c r="J101" s="27"/>
      <c r="K101" s="27"/>
      <c r="L101" s="65"/>
      <c r="M101" s="65"/>
      <c r="N101" s="65"/>
      <c r="O101" s="65"/>
      <c r="P101" s="27"/>
      <c r="Q101" s="27"/>
      <c r="R101" s="65"/>
      <c r="S101" s="27"/>
      <c r="T101" s="27"/>
      <c r="U101" s="65"/>
      <c r="V101" s="65"/>
      <c r="W101" s="65"/>
      <c r="X101" s="65"/>
      <c r="Y101" s="65"/>
      <c r="Z101" s="65"/>
      <c r="AA101" s="65"/>
      <c r="AB101" s="65"/>
      <c r="AC101" s="65"/>
      <c r="AD101" s="65"/>
      <c r="AE101" s="65"/>
      <c r="AF101" s="65"/>
      <c r="AG101" s="65"/>
      <c r="AH101" s="65"/>
      <c r="AI101" s="65"/>
      <c r="AJ101" s="65"/>
      <c r="AK101" s="65"/>
      <c r="AL101" s="65"/>
      <c r="AM101" s="65"/>
      <c r="AN101" s="65"/>
      <c r="AO101" s="65"/>
      <c r="AP101" s="65"/>
      <c r="AQ101" s="65"/>
      <c r="AR101" s="65"/>
      <c r="AS101" s="27"/>
      <c r="AT101" s="27"/>
      <c r="AU101" s="65"/>
      <c r="AV101" s="27"/>
      <c r="AW101" s="27"/>
    </row>
    <row r="102" spans="7:49" ht="18.75">
      <c r="G102" s="27"/>
      <c r="H102" s="27"/>
      <c r="I102" s="65"/>
      <c r="J102" s="27"/>
      <c r="K102" s="27"/>
      <c r="L102" s="65"/>
      <c r="M102" s="65"/>
      <c r="N102" s="65"/>
      <c r="O102" s="65"/>
      <c r="P102" s="27"/>
      <c r="Q102" s="27"/>
      <c r="R102" s="65"/>
      <c r="S102" s="27"/>
      <c r="T102" s="27"/>
      <c r="U102" s="65"/>
      <c r="V102" s="65"/>
      <c r="W102" s="65"/>
      <c r="X102" s="65"/>
      <c r="Y102" s="65"/>
      <c r="Z102" s="65"/>
      <c r="AA102" s="65"/>
      <c r="AB102" s="65"/>
      <c r="AC102" s="65"/>
      <c r="AD102" s="65"/>
      <c r="AE102" s="65"/>
      <c r="AF102" s="65"/>
      <c r="AG102" s="65"/>
      <c r="AH102" s="65"/>
      <c r="AI102" s="65"/>
      <c r="AJ102" s="65"/>
      <c r="AK102" s="65"/>
      <c r="AL102" s="65"/>
      <c r="AM102" s="65"/>
      <c r="AN102" s="65"/>
      <c r="AO102" s="65"/>
      <c r="AP102" s="65"/>
      <c r="AQ102" s="65"/>
      <c r="AR102" s="65"/>
      <c r="AS102" s="27"/>
      <c r="AT102" s="27"/>
      <c r="AU102" s="65"/>
      <c r="AV102" s="27"/>
      <c r="AW102" s="27"/>
    </row>
    <row r="103" spans="7:49" ht="18.75">
      <c r="G103" s="27"/>
      <c r="H103" s="27"/>
      <c r="I103" s="65"/>
      <c r="J103" s="27"/>
      <c r="K103" s="27"/>
      <c r="L103" s="65"/>
      <c r="M103" s="65"/>
      <c r="N103" s="65"/>
      <c r="O103" s="65"/>
      <c r="P103" s="27"/>
      <c r="Q103" s="27"/>
      <c r="R103" s="65"/>
      <c r="S103" s="27"/>
      <c r="T103" s="27"/>
      <c r="U103" s="65"/>
      <c r="V103" s="65"/>
      <c r="W103" s="65"/>
      <c r="X103" s="65"/>
      <c r="Y103" s="65"/>
      <c r="Z103" s="65"/>
      <c r="AA103" s="65"/>
      <c r="AB103" s="65"/>
      <c r="AC103" s="65"/>
      <c r="AD103" s="65"/>
      <c r="AE103" s="65"/>
      <c r="AF103" s="65"/>
      <c r="AG103" s="65"/>
      <c r="AH103" s="65"/>
      <c r="AI103" s="65"/>
      <c r="AJ103" s="65"/>
      <c r="AK103" s="65"/>
      <c r="AL103" s="65"/>
      <c r="AM103" s="65"/>
      <c r="AN103" s="65"/>
      <c r="AO103" s="65"/>
      <c r="AP103" s="65"/>
      <c r="AQ103" s="65"/>
      <c r="AR103" s="65"/>
      <c r="AS103" s="27"/>
      <c r="AT103" s="27"/>
      <c r="AU103" s="65"/>
      <c r="AV103" s="27"/>
      <c r="AW103" s="27"/>
    </row>
    <row r="104" spans="31:44" ht="18.75">
      <c r="AE104" s="65"/>
      <c r="AF104" s="65"/>
      <c r="AG104" s="65"/>
      <c r="AH104" s="65"/>
      <c r="AI104" s="65"/>
      <c r="AM104" s="65"/>
      <c r="AN104" s="65"/>
      <c r="AO104" s="65"/>
      <c r="AP104" s="65"/>
      <c r="AQ104" s="65"/>
      <c r="AR104" s="65"/>
    </row>
  </sheetData>
  <sheetProtection/>
  <mergeCells count="25">
    <mergeCell ref="AV5:AV6"/>
    <mergeCell ref="G5:I5"/>
    <mergeCell ref="AQ5:AR5"/>
    <mergeCell ref="M5:O5"/>
    <mergeCell ref="Y5:AA5"/>
    <mergeCell ref="P5:R5"/>
    <mergeCell ref="AJ5:AL5"/>
    <mergeCell ref="A55:C55"/>
    <mergeCell ref="B54:C54"/>
    <mergeCell ref="AO5:AP5"/>
    <mergeCell ref="AS5:AU5"/>
    <mergeCell ref="B53:D53"/>
    <mergeCell ref="J5:L5"/>
    <mergeCell ref="AH5:AI5"/>
    <mergeCell ref="AE5:AG5"/>
    <mergeCell ref="D1:AW1"/>
    <mergeCell ref="B2:AW2"/>
    <mergeCell ref="B3:AW3"/>
    <mergeCell ref="B4:C4"/>
    <mergeCell ref="D5:F5"/>
    <mergeCell ref="V5:X5"/>
    <mergeCell ref="AM5:AN5"/>
    <mergeCell ref="AB5:AD5"/>
    <mergeCell ref="S5:U5"/>
    <mergeCell ref="AW5:AW6"/>
  </mergeCells>
  <printOptions horizontalCentered="1"/>
  <pageMargins left="0" right="0" top="0" bottom="0" header="0" footer="0"/>
  <pageSetup fitToHeight="1" fitToWidth="1" horizontalDpi="600" verticalDpi="600" orientation="landscape" paperSize="9" scale="4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Y104"/>
  <sheetViews>
    <sheetView view="pageBreakPreview" zoomScale="68" zoomScaleNormal="75" zoomScaleSheetLayoutView="68" zoomScalePageLayoutView="0" workbookViewId="0" topLeftCell="A1">
      <pane xSplit="6" ySplit="9" topLeftCell="M13" activePane="bottomRight" state="frozen"/>
      <selection pane="topLeft" activeCell="A1" sqref="A1"/>
      <selection pane="topRight" activeCell="G1" sqref="G1"/>
      <selection pane="bottomLeft" activeCell="A10" sqref="A10"/>
      <selection pane="bottomRight" activeCell="A16" sqref="A16:IV16"/>
    </sheetView>
  </sheetViews>
  <sheetFormatPr defaultColWidth="7.875" defaultRowHeight="12.75"/>
  <cols>
    <col min="1" max="1" width="6.75390625" style="7" customWidth="1"/>
    <col min="2" max="2" width="61.25390625" style="5" customWidth="1"/>
    <col min="3" max="3" width="16.75390625" style="39" customWidth="1"/>
    <col min="4" max="4" width="19.75390625" style="5" hidden="1" customWidth="1"/>
    <col min="5" max="5" width="19.875" style="5" hidden="1" customWidth="1"/>
    <col min="6" max="6" width="16.875" style="8" hidden="1" customWidth="1"/>
    <col min="7" max="8" width="14.75390625" style="5" hidden="1" customWidth="1"/>
    <col min="9" max="9" width="11.875" style="8" hidden="1" customWidth="1"/>
    <col min="10" max="11" width="14.75390625" style="5" hidden="1" customWidth="1"/>
    <col min="12" max="12" width="11.875" style="8" hidden="1" customWidth="1"/>
    <col min="13" max="13" width="14.125" style="8" customWidth="1"/>
    <col min="14" max="14" width="12.75390625" style="8" customWidth="1"/>
    <col min="15" max="15" width="11.875" style="8" customWidth="1"/>
    <col min="16" max="17" width="14.75390625" style="5" hidden="1" customWidth="1"/>
    <col min="18" max="18" width="11.875" style="8" hidden="1" customWidth="1"/>
    <col min="19" max="20" width="14.75390625" style="5" hidden="1" customWidth="1"/>
    <col min="21" max="21" width="11.875" style="8" hidden="1" customWidth="1"/>
    <col min="22" max="22" width="14.625" style="8" hidden="1" customWidth="1"/>
    <col min="23" max="23" width="14.125" style="8" hidden="1" customWidth="1"/>
    <col min="24" max="24" width="11.875" style="8" hidden="1" customWidth="1"/>
    <col min="25" max="25" width="14.125" style="8" customWidth="1"/>
    <col min="26" max="26" width="12.75390625" style="8" customWidth="1"/>
    <col min="27" max="27" width="11.875" style="8" hidden="1" customWidth="1"/>
    <col min="28" max="28" width="14.625" style="8" customWidth="1"/>
    <col min="29" max="29" width="14.125" style="8" customWidth="1"/>
    <col min="30" max="30" width="11.875" style="8" hidden="1" customWidth="1"/>
    <col min="31" max="31" width="14.625" style="8" hidden="1" customWidth="1"/>
    <col min="32" max="32" width="14.25390625" style="8" hidden="1" customWidth="1"/>
    <col min="33" max="33" width="11.875" style="8" hidden="1" customWidth="1"/>
    <col min="34" max="34" width="14.625" style="8" hidden="1" customWidth="1"/>
    <col min="35" max="35" width="13.625" style="8" hidden="1" customWidth="1"/>
    <col min="36" max="36" width="14.125" style="8" hidden="1" customWidth="1"/>
    <col min="37" max="37" width="12.75390625" style="8" hidden="1" customWidth="1"/>
    <col min="38" max="38" width="11.875" style="8" hidden="1" customWidth="1"/>
    <col min="39" max="39" width="14.625" style="8" hidden="1" customWidth="1"/>
    <col min="40" max="40" width="13.625" style="8" hidden="1" customWidth="1"/>
    <col min="41" max="41" width="14.625" style="8" hidden="1" customWidth="1"/>
    <col min="42" max="42" width="13.625" style="8" hidden="1" customWidth="1"/>
    <col min="43" max="43" width="14.625" style="8" hidden="1" customWidth="1"/>
    <col min="44" max="44" width="13.625" style="8" hidden="1" customWidth="1"/>
    <col min="45" max="45" width="15.25390625" style="5" customWidth="1"/>
    <col min="46" max="46" width="14.875" style="5" customWidth="1"/>
    <col min="47" max="47" width="13.75390625" style="8" customWidth="1"/>
    <col min="48" max="48" width="19.75390625" style="5" customWidth="1"/>
    <col min="49" max="49" width="22.625" style="5" customWidth="1"/>
    <col min="50" max="50" width="12.75390625" style="5" customWidth="1"/>
    <col min="51" max="51" width="18.125" style="5" customWidth="1"/>
    <col min="52" max="16384" width="7.875" style="5" customWidth="1"/>
  </cols>
  <sheetData>
    <row r="1" spans="2:49" ht="42" customHeight="1">
      <c r="B1" s="146" t="s">
        <v>50</v>
      </c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  <c r="AI1" s="146"/>
      <c r="AJ1" s="146"/>
      <c r="AK1" s="146"/>
      <c r="AL1" s="146"/>
      <c r="AM1" s="146"/>
      <c r="AN1" s="146"/>
      <c r="AO1" s="146"/>
      <c r="AP1" s="146"/>
      <c r="AQ1" s="146"/>
      <c r="AR1" s="146"/>
      <c r="AS1" s="146"/>
      <c r="AT1" s="146"/>
      <c r="AU1" s="146"/>
      <c r="AV1" s="146"/>
      <c r="AW1" s="146"/>
    </row>
    <row r="2" spans="1:49" s="30" customFormat="1" ht="42" customHeight="1">
      <c r="A2" s="29"/>
      <c r="B2" s="146" t="s">
        <v>126</v>
      </c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146"/>
      <c r="AP2" s="146"/>
      <c r="AQ2" s="146"/>
      <c r="AR2" s="146"/>
      <c r="AS2" s="146"/>
      <c r="AT2" s="146"/>
      <c r="AU2" s="146"/>
      <c r="AV2" s="146"/>
      <c r="AW2" s="146"/>
    </row>
    <row r="3" spans="2:49" ht="18.75">
      <c r="B3" s="85"/>
      <c r="C3" s="86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7"/>
    </row>
    <row r="4" spans="2:49" ht="12.75" customHeight="1">
      <c r="B4" s="147"/>
      <c r="C4" s="147"/>
      <c r="AW4" s="11" t="s">
        <v>20</v>
      </c>
    </row>
    <row r="5" spans="1:49" ht="36.75" customHeight="1">
      <c r="A5" s="22" t="s">
        <v>8</v>
      </c>
      <c r="B5" s="23"/>
      <c r="C5" s="24" t="s">
        <v>1</v>
      </c>
      <c r="D5" s="143" t="s">
        <v>64</v>
      </c>
      <c r="E5" s="144"/>
      <c r="F5" s="145"/>
      <c r="G5" s="140" t="s">
        <v>66</v>
      </c>
      <c r="H5" s="141"/>
      <c r="I5" s="142"/>
      <c r="J5" s="140" t="s">
        <v>68</v>
      </c>
      <c r="K5" s="141"/>
      <c r="L5" s="142"/>
      <c r="M5" s="140" t="s">
        <v>81</v>
      </c>
      <c r="N5" s="141"/>
      <c r="O5" s="142"/>
      <c r="P5" s="140" t="s">
        <v>69</v>
      </c>
      <c r="Q5" s="141"/>
      <c r="R5" s="142"/>
      <c r="S5" s="140" t="s">
        <v>70</v>
      </c>
      <c r="T5" s="141"/>
      <c r="U5" s="142"/>
      <c r="V5" s="140" t="s">
        <v>71</v>
      </c>
      <c r="W5" s="141"/>
      <c r="X5" s="142"/>
      <c r="Y5" s="140" t="s">
        <v>72</v>
      </c>
      <c r="Z5" s="141"/>
      <c r="AA5" s="142"/>
      <c r="AB5" s="140" t="s">
        <v>73</v>
      </c>
      <c r="AC5" s="141"/>
      <c r="AD5" s="142"/>
      <c r="AE5" s="140" t="s">
        <v>74</v>
      </c>
      <c r="AF5" s="141"/>
      <c r="AG5" s="142"/>
      <c r="AH5" s="140" t="s">
        <v>75</v>
      </c>
      <c r="AI5" s="142"/>
      <c r="AJ5" s="140" t="s">
        <v>77</v>
      </c>
      <c r="AK5" s="141"/>
      <c r="AL5" s="142"/>
      <c r="AM5" s="140" t="s">
        <v>76</v>
      </c>
      <c r="AN5" s="142"/>
      <c r="AO5" s="140" t="s">
        <v>78</v>
      </c>
      <c r="AP5" s="142"/>
      <c r="AQ5" s="140" t="s">
        <v>79</v>
      </c>
      <c r="AR5" s="142"/>
      <c r="AS5" s="143" t="s">
        <v>82</v>
      </c>
      <c r="AT5" s="144"/>
      <c r="AU5" s="145"/>
      <c r="AV5" s="148" t="s">
        <v>127</v>
      </c>
      <c r="AW5" s="148" t="s">
        <v>128</v>
      </c>
    </row>
    <row r="6" spans="1:49" ht="57.75" customHeight="1">
      <c r="A6" s="25" t="s">
        <v>5</v>
      </c>
      <c r="B6" s="40" t="s">
        <v>18</v>
      </c>
      <c r="C6" s="117" t="s">
        <v>80</v>
      </c>
      <c r="D6" s="26" t="s">
        <v>65</v>
      </c>
      <c r="E6" s="26" t="s">
        <v>19</v>
      </c>
      <c r="F6" s="12" t="s">
        <v>0</v>
      </c>
      <c r="G6" s="26" t="s">
        <v>65</v>
      </c>
      <c r="H6" s="26" t="s">
        <v>19</v>
      </c>
      <c r="I6" s="12" t="s">
        <v>0</v>
      </c>
      <c r="J6" s="26" t="s">
        <v>65</v>
      </c>
      <c r="K6" s="26" t="s">
        <v>19</v>
      </c>
      <c r="L6" s="12" t="s">
        <v>0</v>
      </c>
      <c r="M6" s="26" t="s">
        <v>65</v>
      </c>
      <c r="N6" s="26" t="s">
        <v>19</v>
      </c>
      <c r="O6" s="12" t="s">
        <v>0</v>
      </c>
      <c r="P6" s="26" t="s">
        <v>65</v>
      </c>
      <c r="Q6" s="26" t="s">
        <v>19</v>
      </c>
      <c r="R6" s="12" t="s">
        <v>0</v>
      </c>
      <c r="S6" s="26" t="s">
        <v>65</v>
      </c>
      <c r="T6" s="26" t="s">
        <v>19</v>
      </c>
      <c r="U6" s="12" t="s">
        <v>0</v>
      </c>
      <c r="V6" s="26" t="s">
        <v>65</v>
      </c>
      <c r="W6" s="26" t="s">
        <v>19</v>
      </c>
      <c r="X6" s="12" t="s">
        <v>0</v>
      </c>
      <c r="Y6" s="26" t="s">
        <v>65</v>
      </c>
      <c r="Z6" s="26" t="s">
        <v>19</v>
      </c>
      <c r="AA6" s="12" t="s">
        <v>0</v>
      </c>
      <c r="AB6" s="26" t="s">
        <v>65</v>
      </c>
      <c r="AC6" s="26" t="s">
        <v>19</v>
      </c>
      <c r="AD6" s="12" t="s">
        <v>0</v>
      </c>
      <c r="AE6" s="26" t="s">
        <v>65</v>
      </c>
      <c r="AF6" s="26" t="s">
        <v>19</v>
      </c>
      <c r="AG6" s="12" t="s">
        <v>0</v>
      </c>
      <c r="AH6" s="26" t="s">
        <v>65</v>
      </c>
      <c r="AI6" s="26" t="s">
        <v>19</v>
      </c>
      <c r="AJ6" s="26" t="s">
        <v>65</v>
      </c>
      <c r="AK6" s="26" t="s">
        <v>19</v>
      </c>
      <c r="AL6" s="12" t="s">
        <v>0</v>
      </c>
      <c r="AM6" s="26" t="s">
        <v>65</v>
      </c>
      <c r="AN6" s="26" t="s">
        <v>19</v>
      </c>
      <c r="AO6" s="26" t="s">
        <v>65</v>
      </c>
      <c r="AP6" s="26" t="s">
        <v>19</v>
      </c>
      <c r="AQ6" s="26" t="s">
        <v>65</v>
      </c>
      <c r="AR6" s="26" t="s">
        <v>19</v>
      </c>
      <c r="AS6" s="26" t="s">
        <v>65</v>
      </c>
      <c r="AT6" s="26" t="s">
        <v>19</v>
      </c>
      <c r="AU6" s="12" t="s">
        <v>0</v>
      </c>
      <c r="AV6" s="149"/>
      <c r="AW6" s="149"/>
    </row>
    <row r="7" spans="1:51" s="8" customFormat="1" ht="36" customHeight="1">
      <c r="A7" s="38"/>
      <c r="B7" s="13" t="s">
        <v>21</v>
      </c>
      <c r="C7" s="41">
        <f>SUM(C8:C44)</f>
        <v>7791.900000000001</v>
      </c>
      <c r="D7" s="14">
        <f>SUM(D8:D44)</f>
        <v>7116.600000000001</v>
      </c>
      <c r="E7" s="14">
        <f>SUM(E8:E44)</f>
        <v>4379.3</v>
      </c>
      <c r="F7" s="14">
        <f aca="true" t="shared" si="0" ref="F7:F28">E7/D7*100</f>
        <v>61.5364078352022</v>
      </c>
      <c r="G7" s="14">
        <f>SUM(G8:G44)</f>
        <v>6776.400000000001</v>
      </c>
      <c r="H7" s="14">
        <f>SUM(H8:H44)</f>
        <v>6339.099999999999</v>
      </c>
      <c r="I7" s="14">
        <f>H7/G7*100</f>
        <v>93.5467209727879</v>
      </c>
      <c r="J7" s="14">
        <f>SUM(J8:J44)</f>
        <v>6628.7</v>
      </c>
      <c r="K7" s="14">
        <f>SUM(K8:K44)</f>
        <v>5823.900000000001</v>
      </c>
      <c r="L7" s="14">
        <f>K7/J7*100</f>
        <v>87.85885618597916</v>
      </c>
      <c r="M7" s="14">
        <f>SUM(M8:M44)</f>
        <v>20521.699999999997</v>
      </c>
      <c r="N7" s="14">
        <f>SUM(N8:N44)</f>
        <v>16542.300000000003</v>
      </c>
      <c r="O7" s="14">
        <f>N7/M7*100</f>
        <v>80.6088189574938</v>
      </c>
      <c r="P7" s="14">
        <f>SUM(P8:P44)</f>
        <v>621.8</v>
      </c>
      <c r="Q7" s="14">
        <f>SUM(Q8:Q44)</f>
        <v>4938.799999999999</v>
      </c>
      <c r="R7" s="14">
        <f>Q7/P7*100</f>
        <v>794.2746863943389</v>
      </c>
      <c r="S7" s="14">
        <f>SUM(S8:S44)</f>
        <v>37.400000000000006</v>
      </c>
      <c r="T7" s="14">
        <f>SUM(T8:T44)</f>
        <v>1482.7</v>
      </c>
      <c r="U7" s="14">
        <f>T7/S7*100</f>
        <v>3964.4385026737964</v>
      </c>
      <c r="V7" s="14">
        <f>SUM(V8:V44)</f>
        <v>49.5</v>
      </c>
      <c r="W7" s="14">
        <f>SUM(W8:W44)</f>
        <v>815</v>
      </c>
      <c r="X7" s="28">
        <f>W7/V7*100</f>
        <v>1646.4646464646464</v>
      </c>
      <c r="Y7" s="14">
        <f>SUM(Y8:Y44)</f>
        <v>708.7</v>
      </c>
      <c r="Z7" s="14">
        <f>SUM(Z8:Z44)</f>
        <v>7236.500000000001</v>
      </c>
      <c r="AA7" s="14">
        <f>Z7/Y7*100</f>
        <v>1021.0949626075914</v>
      </c>
      <c r="AB7" s="14">
        <f>SUM(AB8:AB44)</f>
        <v>49.8</v>
      </c>
      <c r="AC7" s="14">
        <f>SUM(AC8:AC44)</f>
        <v>405.6</v>
      </c>
      <c r="AD7" s="28">
        <f>AC7/AB7*100</f>
        <v>814.4578313253014</v>
      </c>
      <c r="AE7" s="14">
        <f>SUM(AE8:AE44)</f>
        <v>0</v>
      </c>
      <c r="AF7" s="14">
        <f>SUM(AF8:AF44)</f>
        <v>0</v>
      </c>
      <c r="AG7" s="14" t="e">
        <f>AF7/AE7*100</f>
        <v>#DIV/0!</v>
      </c>
      <c r="AH7" s="14">
        <f>SUM(AH8:AH44)</f>
        <v>0</v>
      </c>
      <c r="AI7" s="14">
        <f>SUM(AI8:AI44)</f>
        <v>0</v>
      </c>
      <c r="AJ7" s="14">
        <f>SUM(AJ8:AJ44)</f>
        <v>49.8</v>
      </c>
      <c r="AK7" s="14">
        <f>SUM(AK8:AK44)</f>
        <v>405.6</v>
      </c>
      <c r="AL7" s="14">
        <f>AK7/AJ7*100</f>
        <v>814.4578313253014</v>
      </c>
      <c r="AM7" s="14">
        <f aca="true" t="shared" si="1" ref="AM7:AT7">SUM(AM8:AM44)</f>
        <v>0</v>
      </c>
      <c r="AN7" s="14">
        <f t="shared" si="1"/>
        <v>0</v>
      </c>
      <c r="AO7" s="14">
        <f t="shared" si="1"/>
        <v>0</v>
      </c>
      <c r="AP7" s="14">
        <f t="shared" si="1"/>
        <v>0</v>
      </c>
      <c r="AQ7" s="14">
        <f>SUM(AQ8:AQ44)</f>
        <v>0</v>
      </c>
      <c r="AR7" s="14">
        <f>SUM(AR8:AR44)</f>
        <v>0</v>
      </c>
      <c r="AS7" s="14">
        <f t="shared" si="1"/>
        <v>21280.2</v>
      </c>
      <c r="AT7" s="14">
        <f t="shared" si="1"/>
        <v>24184.4</v>
      </c>
      <c r="AU7" s="14">
        <f>AT7/AS7*100</f>
        <v>113.64742812567552</v>
      </c>
      <c r="AV7" s="42">
        <f>SUM(AV8:AV44)</f>
        <v>-2904.2000000000007</v>
      </c>
      <c r="AW7" s="42">
        <f>SUM(AW8:AW44)</f>
        <v>4887.699999999998</v>
      </c>
      <c r="AX7" s="20">
        <f>AS7-AT7</f>
        <v>-2904.2000000000007</v>
      </c>
      <c r="AY7" s="20">
        <f>C7+AS7-AT7</f>
        <v>4887.700000000001</v>
      </c>
    </row>
    <row r="8" spans="1:49" ht="28.5" customHeight="1">
      <c r="A8" s="6">
        <v>1</v>
      </c>
      <c r="B8" s="1" t="s">
        <v>98</v>
      </c>
      <c r="C8" s="2">
        <v>778.3</v>
      </c>
      <c r="D8" s="3">
        <v>1030.7</v>
      </c>
      <c r="E8" s="3">
        <v>618.5</v>
      </c>
      <c r="F8" s="14">
        <f t="shared" si="0"/>
        <v>60.00776171533909</v>
      </c>
      <c r="G8" s="3">
        <v>945.6</v>
      </c>
      <c r="H8" s="3">
        <v>1149.1</v>
      </c>
      <c r="I8" s="14">
        <f>H8/G8*100</f>
        <v>121.52072758037224</v>
      </c>
      <c r="J8" s="3">
        <v>1008.7</v>
      </c>
      <c r="K8" s="3">
        <v>844.4</v>
      </c>
      <c r="L8" s="14">
        <f>K8/J8*100</f>
        <v>83.71170813918904</v>
      </c>
      <c r="M8" s="3">
        <f>D8+G8+J8</f>
        <v>2985</v>
      </c>
      <c r="N8" s="3">
        <f>E8+H8+K8</f>
        <v>2612</v>
      </c>
      <c r="O8" s="14">
        <f aca="true" t="shared" si="2" ref="O8:O48">N8/M8*100</f>
        <v>87.50418760469012</v>
      </c>
      <c r="P8" s="3">
        <v>71.6</v>
      </c>
      <c r="Q8" s="3">
        <v>686.3</v>
      </c>
      <c r="R8" s="14">
        <f>Q8/P8*100</f>
        <v>958.5195530726256</v>
      </c>
      <c r="S8" s="3">
        <v>0</v>
      </c>
      <c r="T8" s="3">
        <v>92.4</v>
      </c>
      <c r="U8" s="14"/>
      <c r="V8" s="3">
        <v>0</v>
      </c>
      <c r="W8" s="3">
        <v>3.4</v>
      </c>
      <c r="X8" s="14"/>
      <c r="Y8" s="3">
        <f aca="true" t="shared" si="3" ref="Y8:Z13">P8+S8+V8</f>
        <v>71.6</v>
      </c>
      <c r="Z8" s="3">
        <f t="shared" si="3"/>
        <v>782.0999999999999</v>
      </c>
      <c r="AA8" s="14">
        <f aca="true" t="shared" si="4" ref="AA8:AA48">Z8/Y8*100</f>
        <v>1092.31843575419</v>
      </c>
      <c r="AB8" s="3">
        <v>0</v>
      </c>
      <c r="AC8" s="3">
        <v>8</v>
      </c>
      <c r="AD8" s="14"/>
      <c r="AE8" s="3"/>
      <c r="AF8" s="3"/>
      <c r="AG8" s="14" t="e">
        <f>AF8/AE8*100</f>
        <v>#DIV/0!</v>
      </c>
      <c r="AH8" s="3"/>
      <c r="AI8" s="3"/>
      <c r="AJ8" s="3">
        <f>AB8+AE8+AH8</f>
        <v>0</v>
      </c>
      <c r="AK8" s="3">
        <f>AC8+AF8+AI8</f>
        <v>8</v>
      </c>
      <c r="AL8" s="14" t="e">
        <f aca="true" t="shared" si="5" ref="AL8:AL48">AK8/AJ8*100</f>
        <v>#DIV/0!</v>
      </c>
      <c r="AM8" s="3"/>
      <c r="AN8" s="3"/>
      <c r="AO8" s="3"/>
      <c r="AP8" s="3"/>
      <c r="AQ8" s="3"/>
      <c r="AR8" s="3"/>
      <c r="AS8" s="3">
        <f>M8+Y8+AJ8+AM8+AO8+AQ8</f>
        <v>3056.6</v>
      </c>
      <c r="AT8" s="3">
        <f>N8+Z8+AK8+AN8+AP8+AR8</f>
        <v>3402.1</v>
      </c>
      <c r="AU8" s="14">
        <f>AT8/AS8*100</f>
        <v>111.30340901655433</v>
      </c>
      <c r="AV8" s="14">
        <f aca="true" t="shared" si="6" ref="AV8:AV33">AS8-AT8</f>
        <v>-345.5</v>
      </c>
      <c r="AW8" s="4">
        <f aca="true" t="shared" si="7" ref="AW8:AW33">C8+AS8-AT8</f>
        <v>432.7999999999997</v>
      </c>
    </row>
    <row r="9" spans="1:49" ht="31.5" customHeight="1">
      <c r="A9" s="6">
        <v>2</v>
      </c>
      <c r="B9" s="32" t="s">
        <v>99</v>
      </c>
      <c r="C9" s="2">
        <f>9.7+101.8</f>
        <v>111.5</v>
      </c>
      <c r="D9" s="3">
        <v>238.2</v>
      </c>
      <c r="E9" s="3">
        <v>104.7</v>
      </c>
      <c r="F9" s="14">
        <f t="shared" si="0"/>
        <v>43.95465994962217</v>
      </c>
      <c r="G9" s="3">
        <v>228.3</v>
      </c>
      <c r="H9" s="3">
        <v>222.3</v>
      </c>
      <c r="I9" s="14">
        <f aca="true" t="shared" si="8" ref="I9:I22">H9/G9*100</f>
        <v>97.3718791064389</v>
      </c>
      <c r="J9" s="3">
        <v>234.2</v>
      </c>
      <c r="K9" s="3">
        <v>232.4</v>
      </c>
      <c r="L9" s="14">
        <f>K9/J9*100</f>
        <v>99.23142613151154</v>
      </c>
      <c r="M9" s="3">
        <f aca="true" t="shared" si="9" ref="M9:M47">D9+G9+J9</f>
        <v>700.7</v>
      </c>
      <c r="N9" s="3">
        <f aca="true" t="shared" si="10" ref="N9:N47">E9+H9+K9</f>
        <v>559.4</v>
      </c>
      <c r="O9" s="14">
        <f t="shared" si="2"/>
        <v>79.83445126302269</v>
      </c>
      <c r="P9" s="3">
        <v>5.9</v>
      </c>
      <c r="Q9" s="3">
        <v>212.1</v>
      </c>
      <c r="R9" s="14">
        <f>Q9/P9*100</f>
        <v>3594.915254237288</v>
      </c>
      <c r="S9" s="3">
        <v>0</v>
      </c>
      <c r="T9" s="3">
        <v>10.7</v>
      </c>
      <c r="U9" s="14"/>
      <c r="V9" s="3">
        <v>0</v>
      </c>
      <c r="W9" s="3">
        <v>1.1</v>
      </c>
      <c r="X9" s="14"/>
      <c r="Y9" s="3">
        <f t="shared" si="3"/>
        <v>5.9</v>
      </c>
      <c r="Z9" s="3">
        <f t="shared" si="3"/>
        <v>223.89999999999998</v>
      </c>
      <c r="AA9" s="14">
        <f t="shared" si="4"/>
        <v>3794.915254237287</v>
      </c>
      <c r="AB9" s="3"/>
      <c r="AC9" s="3"/>
      <c r="AD9" s="14">
        <v>0</v>
      </c>
      <c r="AE9" s="3"/>
      <c r="AF9" s="3"/>
      <c r="AG9" s="28" t="e">
        <f aca="true" t="shared" si="11" ref="AG9:AG15">AF9/AE9*100</f>
        <v>#DIV/0!</v>
      </c>
      <c r="AH9" s="3"/>
      <c r="AI9" s="3"/>
      <c r="AJ9" s="3">
        <f aca="true" t="shared" si="12" ref="AJ9:AJ44">AB9+AE9+AH9</f>
        <v>0</v>
      </c>
      <c r="AK9" s="3">
        <f aca="true" t="shared" si="13" ref="AK9:AK44">AC9+AF9+AI9</f>
        <v>0</v>
      </c>
      <c r="AL9" s="14" t="e">
        <f t="shared" si="5"/>
        <v>#DIV/0!</v>
      </c>
      <c r="AM9" s="3"/>
      <c r="AN9" s="3"/>
      <c r="AO9" s="3"/>
      <c r="AP9" s="3"/>
      <c r="AQ9" s="3"/>
      <c r="AR9" s="3"/>
      <c r="AS9" s="3">
        <f aca="true" t="shared" si="14" ref="AS9:AS44">M9+Y9+AJ9+AM9+AO9+AQ9</f>
        <v>706.6</v>
      </c>
      <c r="AT9" s="3">
        <f aca="true" t="shared" si="15" ref="AT9:AT44">N9+Z9+AK9+AN9+AP9+AR9</f>
        <v>783.3</v>
      </c>
      <c r="AU9" s="14">
        <f>AT9/AS9*100</f>
        <v>110.8547976224172</v>
      </c>
      <c r="AV9" s="14">
        <f t="shared" si="6"/>
        <v>-76.69999999999993</v>
      </c>
      <c r="AW9" s="4">
        <f t="shared" si="7"/>
        <v>34.80000000000007</v>
      </c>
    </row>
    <row r="10" spans="1:49" ht="27" customHeight="1">
      <c r="A10" s="6">
        <v>3</v>
      </c>
      <c r="B10" s="15" t="s">
        <v>83</v>
      </c>
      <c r="C10" s="2"/>
      <c r="D10" s="3"/>
      <c r="E10" s="3"/>
      <c r="F10" s="14"/>
      <c r="G10" s="21"/>
      <c r="H10" s="21"/>
      <c r="I10" s="14"/>
      <c r="J10" s="21"/>
      <c r="K10" s="21"/>
      <c r="L10" s="14"/>
      <c r="M10" s="3"/>
      <c r="N10" s="3"/>
      <c r="O10" s="28" t="e">
        <f t="shared" si="2"/>
        <v>#DIV/0!</v>
      </c>
      <c r="P10" s="21"/>
      <c r="Q10" s="21"/>
      <c r="R10" s="14"/>
      <c r="S10" s="21"/>
      <c r="T10" s="21"/>
      <c r="U10" s="14"/>
      <c r="V10" s="21"/>
      <c r="W10" s="21"/>
      <c r="X10" s="14"/>
      <c r="Y10" s="3"/>
      <c r="Z10" s="3"/>
      <c r="AA10" s="28" t="e">
        <f t="shared" si="4"/>
        <v>#DIV/0!</v>
      </c>
      <c r="AB10" s="21"/>
      <c r="AC10" s="21"/>
      <c r="AD10" s="14"/>
      <c r="AE10" s="21"/>
      <c r="AF10" s="21"/>
      <c r="AG10" s="36" t="e">
        <f t="shared" si="11"/>
        <v>#DIV/0!</v>
      </c>
      <c r="AH10" s="21"/>
      <c r="AI10" s="21"/>
      <c r="AJ10" s="3"/>
      <c r="AK10" s="3"/>
      <c r="AL10" s="28" t="e">
        <f t="shared" si="5"/>
        <v>#DIV/0!</v>
      </c>
      <c r="AM10" s="21"/>
      <c r="AN10" s="21"/>
      <c r="AO10" s="21"/>
      <c r="AP10" s="21"/>
      <c r="AQ10" s="21"/>
      <c r="AR10" s="21"/>
      <c r="AS10" s="3"/>
      <c r="AT10" s="3"/>
      <c r="AU10" s="14"/>
      <c r="AV10" s="14"/>
      <c r="AW10" s="4"/>
    </row>
    <row r="11" spans="1:49" ht="23.25" customHeight="1">
      <c r="A11" s="6">
        <v>4</v>
      </c>
      <c r="B11" s="1" t="s">
        <v>63</v>
      </c>
      <c r="C11" s="2">
        <f>36.8+(-5.5)</f>
        <v>31.299999999999997</v>
      </c>
      <c r="D11" s="3">
        <v>17.8</v>
      </c>
      <c r="E11" s="3">
        <f>-5.5+9.3</f>
        <v>3.8000000000000007</v>
      </c>
      <c r="F11" s="14">
        <f t="shared" si="0"/>
        <v>21.348314606741575</v>
      </c>
      <c r="G11" s="3">
        <v>21.7</v>
      </c>
      <c r="H11" s="3">
        <v>14.4</v>
      </c>
      <c r="I11" s="14">
        <f t="shared" si="8"/>
        <v>66.3594470046083</v>
      </c>
      <c r="J11" s="3">
        <v>19.5</v>
      </c>
      <c r="K11" s="3">
        <v>16.2</v>
      </c>
      <c r="L11" s="14">
        <f>K11/J11*100</f>
        <v>83.07692307692307</v>
      </c>
      <c r="M11" s="3">
        <f t="shared" si="9"/>
        <v>59</v>
      </c>
      <c r="N11" s="3">
        <f t="shared" si="10"/>
        <v>34.400000000000006</v>
      </c>
      <c r="O11" s="14">
        <f t="shared" si="2"/>
        <v>58.30508474576273</v>
      </c>
      <c r="P11" s="3">
        <f>6.2</f>
        <v>6.2</v>
      </c>
      <c r="Q11" s="3">
        <v>18.3</v>
      </c>
      <c r="R11" s="14">
        <f aca="true" t="shared" si="16" ref="R11:R34">Q11/P11*100</f>
        <v>295.16129032258067</v>
      </c>
      <c r="S11" s="3"/>
      <c r="T11" s="3">
        <v>18.3</v>
      </c>
      <c r="U11" s="14" t="e">
        <f>T11/S11*100</f>
        <v>#DIV/0!</v>
      </c>
      <c r="V11" s="3"/>
      <c r="W11" s="3"/>
      <c r="X11" s="28" t="e">
        <f>W11/V11*100</f>
        <v>#DIV/0!</v>
      </c>
      <c r="Y11" s="3">
        <f t="shared" si="3"/>
        <v>6.2</v>
      </c>
      <c r="Z11" s="3">
        <f t="shared" si="3"/>
        <v>36.6</v>
      </c>
      <c r="AA11" s="14">
        <f t="shared" si="4"/>
        <v>590.3225806451613</v>
      </c>
      <c r="AB11" s="3">
        <v>0</v>
      </c>
      <c r="AC11" s="3">
        <v>4</v>
      </c>
      <c r="AD11" s="33">
        <v>0</v>
      </c>
      <c r="AE11" s="3"/>
      <c r="AF11" s="3"/>
      <c r="AG11" s="36" t="e">
        <f t="shared" si="11"/>
        <v>#DIV/0!</v>
      </c>
      <c r="AH11" s="3"/>
      <c r="AI11" s="3"/>
      <c r="AJ11" s="3">
        <f t="shared" si="12"/>
        <v>0</v>
      </c>
      <c r="AK11" s="3">
        <f t="shared" si="13"/>
        <v>4</v>
      </c>
      <c r="AL11" s="14" t="e">
        <f t="shared" si="5"/>
        <v>#DIV/0!</v>
      </c>
      <c r="AM11" s="3"/>
      <c r="AN11" s="3"/>
      <c r="AO11" s="3"/>
      <c r="AP11" s="3"/>
      <c r="AQ11" s="3"/>
      <c r="AR11" s="3"/>
      <c r="AS11" s="3">
        <f t="shared" si="14"/>
        <v>65.2</v>
      </c>
      <c r="AT11" s="3">
        <f t="shared" si="15"/>
        <v>75</v>
      </c>
      <c r="AU11" s="14">
        <f>AT11/AS11*100</f>
        <v>115.03067484662577</v>
      </c>
      <c r="AV11" s="14">
        <f t="shared" si="6"/>
        <v>-9.799999999999997</v>
      </c>
      <c r="AW11" s="4">
        <f t="shared" si="7"/>
        <v>21.5</v>
      </c>
    </row>
    <row r="12" spans="1:49" ht="23.25" customHeight="1">
      <c r="A12" s="6">
        <v>5</v>
      </c>
      <c r="B12" s="1" t="s">
        <v>100</v>
      </c>
      <c r="C12" s="2">
        <v>112.2</v>
      </c>
      <c r="D12" s="3">
        <v>179.5</v>
      </c>
      <c r="E12" s="3">
        <v>90.6</v>
      </c>
      <c r="F12" s="14">
        <f t="shared" si="0"/>
        <v>50.47353760445682</v>
      </c>
      <c r="G12" s="3">
        <v>173.4</v>
      </c>
      <c r="H12" s="3">
        <v>181.3</v>
      </c>
      <c r="I12" s="14">
        <f t="shared" si="8"/>
        <v>104.55594002306805</v>
      </c>
      <c r="J12" s="3">
        <v>171.1</v>
      </c>
      <c r="K12" s="3">
        <v>167.4</v>
      </c>
      <c r="L12" s="14">
        <f>K12/J12*100</f>
        <v>97.8375219170076</v>
      </c>
      <c r="M12" s="3">
        <f t="shared" si="9"/>
        <v>524</v>
      </c>
      <c r="N12" s="3">
        <f t="shared" si="10"/>
        <v>439.29999999999995</v>
      </c>
      <c r="O12" s="14">
        <f t="shared" si="2"/>
        <v>83.83587786259541</v>
      </c>
      <c r="P12" s="3">
        <v>13.4</v>
      </c>
      <c r="Q12" s="3">
        <v>168.9</v>
      </c>
      <c r="R12" s="14">
        <f t="shared" si="16"/>
        <v>1260.44776119403</v>
      </c>
      <c r="S12" s="3">
        <v>0</v>
      </c>
      <c r="T12" s="3">
        <v>25.3</v>
      </c>
      <c r="U12" s="14"/>
      <c r="V12" s="3">
        <v>0</v>
      </c>
      <c r="W12" s="3">
        <v>11.6</v>
      </c>
      <c r="X12" s="14"/>
      <c r="Y12" s="3">
        <f t="shared" si="3"/>
        <v>13.4</v>
      </c>
      <c r="Z12" s="3">
        <f t="shared" si="3"/>
        <v>205.8</v>
      </c>
      <c r="AA12" s="14">
        <f t="shared" si="4"/>
        <v>1535.8208955223881</v>
      </c>
      <c r="AB12" s="3">
        <v>0</v>
      </c>
      <c r="AC12" s="3">
        <v>1.1</v>
      </c>
      <c r="AD12" s="14"/>
      <c r="AE12" s="3"/>
      <c r="AF12" s="3"/>
      <c r="AG12" s="28" t="e">
        <f t="shared" si="11"/>
        <v>#DIV/0!</v>
      </c>
      <c r="AH12" s="3"/>
      <c r="AI12" s="3"/>
      <c r="AJ12" s="3">
        <f t="shared" si="12"/>
        <v>0</v>
      </c>
      <c r="AK12" s="3">
        <f t="shared" si="13"/>
        <v>1.1</v>
      </c>
      <c r="AL12" s="14" t="e">
        <f t="shared" si="5"/>
        <v>#DIV/0!</v>
      </c>
      <c r="AM12" s="3"/>
      <c r="AN12" s="3"/>
      <c r="AO12" s="3"/>
      <c r="AP12" s="3"/>
      <c r="AQ12" s="3"/>
      <c r="AR12" s="3"/>
      <c r="AS12" s="3">
        <f t="shared" si="14"/>
        <v>537.4</v>
      </c>
      <c r="AT12" s="3">
        <f t="shared" si="15"/>
        <v>646.1999999999999</v>
      </c>
      <c r="AU12" s="14">
        <f>AT12/AS12*100</f>
        <v>120.24562709341271</v>
      </c>
      <c r="AV12" s="14">
        <f t="shared" si="6"/>
        <v>-108.79999999999995</v>
      </c>
      <c r="AW12" s="4">
        <f t="shared" si="7"/>
        <v>3.400000000000091</v>
      </c>
    </row>
    <row r="13" spans="1:49" ht="23.25" customHeight="1">
      <c r="A13" s="6">
        <v>6</v>
      </c>
      <c r="B13" s="1" t="s">
        <v>101</v>
      </c>
      <c r="C13" s="2">
        <v>-10.9</v>
      </c>
      <c r="D13" s="3">
        <v>0</v>
      </c>
      <c r="E13" s="3">
        <v>-10.9</v>
      </c>
      <c r="F13" s="28" t="e">
        <f t="shared" si="0"/>
        <v>#DIV/0!</v>
      </c>
      <c r="G13" s="3"/>
      <c r="H13" s="3"/>
      <c r="I13" s="14"/>
      <c r="J13" s="3">
        <v>0</v>
      </c>
      <c r="K13" s="3">
        <v>0</v>
      </c>
      <c r="L13" s="14"/>
      <c r="M13" s="3">
        <f t="shared" si="9"/>
        <v>0</v>
      </c>
      <c r="N13" s="3">
        <f t="shared" si="10"/>
        <v>-10.9</v>
      </c>
      <c r="O13" s="28" t="e">
        <f t="shared" si="2"/>
        <v>#DIV/0!</v>
      </c>
      <c r="P13" s="3">
        <v>0</v>
      </c>
      <c r="Q13" s="3">
        <v>0</v>
      </c>
      <c r="R13" s="28" t="e">
        <f t="shared" si="16"/>
        <v>#DIV/0!</v>
      </c>
      <c r="S13" s="3"/>
      <c r="T13" s="3"/>
      <c r="U13" s="14"/>
      <c r="V13" s="3"/>
      <c r="W13" s="3"/>
      <c r="X13" s="14"/>
      <c r="Y13" s="3">
        <f t="shared" si="3"/>
        <v>0</v>
      </c>
      <c r="Z13" s="3">
        <f t="shared" si="3"/>
        <v>0</v>
      </c>
      <c r="AA13" s="28" t="e">
        <f t="shared" si="4"/>
        <v>#DIV/0!</v>
      </c>
      <c r="AB13" s="3">
        <v>0</v>
      </c>
      <c r="AC13" s="3">
        <v>0</v>
      </c>
      <c r="AD13" s="14"/>
      <c r="AE13" s="3"/>
      <c r="AF13" s="3"/>
      <c r="AG13" s="28" t="e">
        <f t="shared" si="11"/>
        <v>#DIV/0!</v>
      </c>
      <c r="AH13" s="3"/>
      <c r="AI13" s="3"/>
      <c r="AJ13" s="3">
        <f t="shared" si="12"/>
        <v>0</v>
      </c>
      <c r="AK13" s="3">
        <f t="shared" si="13"/>
        <v>0</v>
      </c>
      <c r="AL13" s="28" t="e">
        <f t="shared" si="5"/>
        <v>#DIV/0!</v>
      </c>
      <c r="AM13" s="3"/>
      <c r="AN13" s="3"/>
      <c r="AO13" s="3"/>
      <c r="AP13" s="3"/>
      <c r="AQ13" s="3"/>
      <c r="AR13" s="3"/>
      <c r="AS13" s="3">
        <f t="shared" si="14"/>
        <v>0</v>
      </c>
      <c r="AT13" s="3">
        <f t="shared" si="15"/>
        <v>-10.9</v>
      </c>
      <c r="AU13" s="14"/>
      <c r="AV13" s="14">
        <f t="shared" si="6"/>
        <v>10.9</v>
      </c>
      <c r="AW13" s="4">
        <f t="shared" si="7"/>
        <v>0</v>
      </c>
    </row>
    <row r="14" spans="1:49" ht="23.25" customHeight="1">
      <c r="A14" s="6">
        <v>7</v>
      </c>
      <c r="B14" s="1" t="s">
        <v>102</v>
      </c>
      <c r="C14" s="2"/>
      <c r="D14" s="3"/>
      <c r="E14" s="3"/>
      <c r="F14" s="14"/>
      <c r="G14" s="21"/>
      <c r="H14" s="21"/>
      <c r="I14" s="14"/>
      <c r="J14" s="21"/>
      <c r="K14" s="21"/>
      <c r="L14" s="14"/>
      <c r="M14" s="3"/>
      <c r="N14" s="3"/>
      <c r="O14" s="28"/>
      <c r="P14" s="21"/>
      <c r="Q14" s="21"/>
      <c r="R14" s="14"/>
      <c r="S14" s="21"/>
      <c r="T14" s="44"/>
      <c r="U14" s="14"/>
      <c r="V14" s="21"/>
      <c r="W14" s="44"/>
      <c r="X14" s="14"/>
      <c r="Y14" s="3"/>
      <c r="Z14" s="3"/>
      <c r="AA14" s="28"/>
      <c r="AB14" s="21"/>
      <c r="AC14" s="44"/>
      <c r="AD14" s="14"/>
      <c r="AE14" s="21"/>
      <c r="AF14" s="21"/>
      <c r="AG14" s="36"/>
      <c r="AH14" s="21"/>
      <c r="AI14" s="21"/>
      <c r="AJ14" s="3"/>
      <c r="AK14" s="3"/>
      <c r="AL14" s="28"/>
      <c r="AM14" s="44"/>
      <c r="AN14" s="44"/>
      <c r="AO14" s="44"/>
      <c r="AP14" s="44"/>
      <c r="AQ14" s="44"/>
      <c r="AR14" s="44"/>
      <c r="AS14" s="3"/>
      <c r="AT14" s="3"/>
      <c r="AU14" s="14"/>
      <c r="AV14" s="14"/>
      <c r="AW14" s="4"/>
    </row>
    <row r="15" spans="1:49" ht="23.25" customHeight="1">
      <c r="A15" s="6">
        <v>8</v>
      </c>
      <c r="B15" s="1" t="s">
        <v>103</v>
      </c>
      <c r="C15" s="2">
        <v>289.6</v>
      </c>
      <c r="D15" s="3">
        <v>357.7</v>
      </c>
      <c r="E15" s="3">
        <v>192.6</v>
      </c>
      <c r="F15" s="14">
        <f t="shared" si="0"/>
        <v>53.84400335476657</v>
      </c>
      <c r="G15" s="3">
        <v>350.2</v>
      </c>
      <c r="H15" s="3">
        <v>242.1</v>
      </c>
      <c r="I15" s="14">
        <f t="shared" si="8"/>
        <v>69.131924614506</v>
      </c>
      <c r="J15" s="3">
        <v>339.2</v>
      </c>
      <c r="K15" s="3">
        <v>301.8</v>
      </c>
      <c r="L15" s="14">
        <f>K15/J15*100</f>
        <v>88.97405660377359</v>
      </c>
      <c r="M15" s="3">
        <f t="shared" si="9"/>
        <v>1047.1</v>
      </c>
      <c r="N15" s="3">
        <f t="shared" si="10"/>
        <v>736.5</v>
      </c>
      <c r="O15" s="14">
        <f t="shared" si="2"/>
        <v>70.3371215738707</v>
      </c>
      <c r="P15" s="3">
        <v>50.4</v>
      </c>
      <c r="Q15" s="3">
        <v>269.8</v>
      </c>
      <c r="R15" s="14">
        <f t="shared" si="16"/>
        <v>535.3174603174604</v>
      </c>
      <c r="S15" s="3">
        <v>0</v>
      </c>
      <c r="T15" s="3">
        <v>138.1</v>
      </c>
      <c r="U15" s="14"/>
      <c r="V15" s="3">
        <v>0</v>
      </c>
      <c r="W15" s="3">
        <v>52</v>
      </c>
      <c r="X15" s="14"/>
      <c r="Y15" s="3">
        <f>P15+S15+V15</f>
        <v>50.4</v>
      </c>
      <c r="Z15" s="3">
        <f>Q15+T15+W15</f>
        <v>459.9</v>
      </c>
      <c r="AA15" s="14">
        <f t="shared" si="4"/>
        <v>912.5</v>
      </c>
      <c r="AB15" s="3">
        <v>0</v>
      </c>
      <c r="AC15" s="3">
        <v>4.9</v>
      </c>
      <c r="AD15" s="14"/>
      <c r="AE15" s="3"/>
      <c r="AF15" s="3"/>
      <c r="AG15" s="14" t="e">
        <f t="shared" si="11"/>
        <v>#DIV/0!</v>
      </c>
      <c r="AH15" s="3"/>
      <c r="AI15" s="3"/>
      <c r="AJ15" s="3">
        <f t="shared" si="12"/>
        <v>0</v>
      </c>
      <c r="AK15" s="3">
        <f t="shared" si="13"/>
        <v>4.9</v>
      </c>
      <c r="AL15" s="14" t="e">
        <f t="shared" si="5"/>
        <v>#DIV/0!</v>
      </c>
      <c r="AM15" s="3"/>
      <c r="AN15" s="3"/>
      <c r="AO15" s="3"/>
      <c r="AP15" s="3"/>
      <c r="AQ15" s="3"/>
      <c r="AR15" s="3"/>
      <c r="AS15" s="3">
        <f t="shared" si="14"/>
        <v>1097.5</v>
      </c>
      <c r="AT15" s="3">
        <f t="shared" si="15"/>
        <v>1201.3000000000002</v>
      </c>
      <c r="AU15" s="14">
        <f>AT15/AS15*100</f>
        <v>109.45785876993168</v>
      </c>
      <c r="AV15" s="14">
        <f t="shared" si="6"/>
        <v>-103.80000000000018</v>
      </c>
      <c r="AW15" s="4">
        <f t="shared" si="7"/>
        <v>185.79999999999973</v>
      </c>
    </row>
    <row r="16" spans="1:49" ht="23.25" customHeight="1">
      <c r="A16" s="6">
        <v>9</v>
      </c>
      <c r="B16" s="1" t="s">
        <v>104</v>
      </c>
      <c r="C16" s="2"/>
      <c r="D16" s="3"/>
      <c r="E16" s="3"/>
      <c r="F16" s="28"/>
      <c r="G16" s="21"/>
      <c r="H16" s="21"/>
      <c r="I16" s="14"/>
      <c r="J16" s="21"/>
      <c r="K16" s="21"/>
      <c r="L16" s="14"/>
      <c r="M16" s="3"/>
      <c r="N16" s="3"/>
      <c r="O16" s="28"/>
      <c r="P16" s="21"/>
      <c r="Q16" s="21"/>
      <c r="R16" s="14"/>
      <c r="S16" s="21"/>
      <c r="T16" s="21"/>
      <c r="U16" s="14"/>
      <c r="V16" s="21"/>
      <c r="W16" s="21"/>
      <c r="X16" s="14"/>
      <c r="Y16" s="3"/>
      <c r="Z16" s="3"/>
      <c r="AA16" s="28"/>
      <c r="AB16" s="21"/>
      <c r="AC16" s="21"/>
      <c r="AD16" s="14"/>
      <c r="AE16" s="21"/>
      <c r="AF16" s="21"/>
      <c r="AG16" s="36"/>
      <c r="AH16" s="21"/>
      <c r="AI16" s="21"/>
      <c r="AJ16" s="3"/>
      <c r="AK16" s="3"/>
      <c r="AL16" s="28"/>
      <c r="AM16" s="21"/>
      <c r="AN16" s="21"/>
      <c r="AO16" s="21"/>
      <c r="AP16" s="21"/>
      <c r="AQ16" s="21"/>
      <c r="AR16" s="21"/>
      <c r="AS16" s="3"/>
      <c r="AT16" s="3"/>
      <c r="AU16" s="14"/>
      <c r="AV16" s="14"/>
      <c r="AW16" s="4"/>
    </row>
    <row r="17" spans="1:49" ht="23.25" customHeight="1">
      <c r="A17" s="6">
        <v>10</v>
      </c>
      <c r="B17" s="15" t="s">
        <v>105</v>
      </c>
      <c r="C17" s="2">
        <f>60.6+29.2</f>
        <v>89.8</v>
      </c>
      <c r="D17" s="3">
        <v>62.8</v>
      </c>
      <c r="E17" s="3">
        <v>20</v>
      </c>
      <c r="F17" s="14">
        <f t="shared" si="0"/>
        <v>31.84713375796179</v>
      </c>
      <c r="G17" s="3">
        <v>81.5</v>
      </c>
      <c r="H17" s="3">
        <v>61.2</v>
      </c>
      <c r="I17" s="14">
        <f t="shared" si="8"/>
        <v>75.0920245398773</v>
      </c>
      <c r="J17" s="3">
        <v>81.8</v>
      </c>
      <c r="K17" s="3">
        <v>31.3</v>
      </c>
      <c r="L17" s="14">
        <f>K17/J17*100</f>
        <v>38.2640586797066</v>
      </c>
      <c r="M17" s="3">
        <f t="shared" si="9"/>
        <v>226.10000000000002</v>
      </c>
      <c r="N17" s="3">
        <f t="shared" si="10"/>
        <v>112.5</v>
      </c>
      <c r="O17" s="14">
        <f t="shared" si="2"/>
        <v>49.756744803184425</v>
      </c>
      <c r="P17" s="3">
        <v>3.9</v>
      </c>
      <c r="Q17" s="3">
        <v>96.9</v>
      </c>
      <c r="R17" s="14">
        <f t="shared" si="16"/>
        <v>2484.6153846153848</v>
      </c>
      <c r="S17" s="3">
        <v>0</v>
      </c>
      <c r="T17" s="3">
        <v>24.3</v>
      </c>
      <c r="U17" s="14"/>
      <c r="V17" s="3">
        <v>0</v>
      </c>
      <c r="W17" s="3">
        <v>6.6</v>
      </c>
      <c r="X17" s="14"/>
      <c r="Y17" s="3">
        <f>P17+S17+V17</f>
        <v>3.9</v>
      </c>
      <c r="Z17" s="3">
        <f>Q17+T17+W17</f>
        <v>127.8</v>
      </c>
      <c r="AA17" s="14">
        <f t="shared" si="4"/>
        <v>3276.9230769230767</v>
      </c>
      <c r="AB17" s="3">
        <v>0</v>
      </c>
      <c r="AC17" s="3">
        <v>5.5</v>
      </c>
      <c r="AD17" s="14"/>
      <c r="AE17" s="3"/>
      <c r="AF17" s="3"/>
      <c r="AG17" s="14" t="e">
        <f>AF17/AE17*100</f>
        <v>#DIV/0!</v>
      </c>
      <c r="AH17" s="3"/>
      <c r="AI17" s="3"/>
      <c r="AJ17" s="3">
        <f t="shared" si="12"/>
        <v>0</v>
      </c>
      <c r="AK17" s="3">
        <f t="shared" si="13"/>
        <v>5.5</v>
      </c>
      <c r="AL17" s="14" t="e">
        <f t="shared" si="5"/>
        <v>#DIV/0!</v>
      </c>
      <c r="AM17" s="3"/>
      <c r="AN17" s="3"/>
      <c r="AO17" s="3"/>
      <c r="AP17" s="3"/>
      <c r="AQ17" s="3"/>
      <c r="AR17" s="3"/>
      <c r="AS17" s="3">
        <f t="shared" si="14"/>
        <v>230.00000000000003</v>
      </c>
      <c r="AT17" s="3">
        <f t="shared" si="15"/>
        <v>245.8</v>
      </c>
      <c r="AU17" s="14">
        <f>AT17/AS17*100</f>
        <v>106.86956521739131</v>
      </c>
      <c r="AV17" s="14">
        <f t="shared" si="6"/>
        <v>-15.799999999999983</v>
      </c>
      <c r="AW17" s="4">
        <f t="shared" si="7"/>
        <v>74</v>
      </c>
    </row>
    <row r="18" spans="1:49" ht="23.25" customHeight="1">
      <c r="A18" s="6">
        <v>11</v>
      </c>
      <c r="B18" s="15" t="s">
        <v>106</v>
      </c>
      <c r="C18" s="2"/>
      <c r="D18" s="3"/>
      <c r="E18" s="3"/>
      <c r="F18" s="14"/>
      <c r="G18" s="3"/>
      <c r="H18" s="3"/>
      <c r="I18" s="14"/>
      <c r="J18" s="3"/>
      <c r="K18" s="3"/>
      <c r="L18" s="14"/>
      <c r="M18" s="3"/>
      <c r="N18" s="3"/>
      <c r="O18" s="28" t="e">
        <f t="shared" si="2"/>
        <v>#DIV/0!</v>
      </c>
      <c r="P18" s="3"/>
      <c r="Q18" s="3"/>
      <c r="R18" s="14"/>
      <c r="S18" s="3"/>
      <c r="T18" s="3"/>
      <c r="U18" s="14"/>
      <c r="V18" s="3"/>
      <c r="W18" s="3"/>
      <c r="X18" s="14"/>
      <c r="Y18" s="3"/>
      <c r="Z18" s="3"/>
      <c r="AA18" s="28" t="e">
        <f t="shared" si="4"/>
        <v>#DIV/0!</v>
      </c>
      <c r="AB18" s="3"/>
      <c r="AC18" s="3"/>
      <c r="AD18" s="14"/>
      <c r="AE18" s="3"/>
      <c r="AF18" s="3"/>
      <c r="AG18" s="28" t="e">
        <f>AF18/AE18*100</f>
        <v>#DIV/0!</v>
      </c>
      <c r="AH18" s="3"/>
      <c r="AI18" s="3"/>
      <c r="AJ18" s="3"/>
      <c r="AK18" s="3"/>
      <c r="AL18" s="28" t="e">
        <f t="shared" si="5"/>
        <v>#DIV/0!</v>
      </c>
      <c r="AM18" s="3"/>
      <c r="AN18" s="3"/>
      <c r="AO18" s="3"/>
      <c r="AP18" s="3"/>
      <c r="AQ18" s="3"/>
      <c r="AR18" s="3"/>
      <c r="AS18" s="3"/>
      <c r="AT18" s="3"/>
      <c r="AU18" s="14"/>
      <c r="AV18" s="14"/>
      <c r="AW18" s="4"/>
    </row>
    <row r="19" spans="1:49" ht="23.25" customHeight="1">
      <c r="A19" s="6">
        <v>12</v>
      </c>
      <c r="B19" s="1" t="s">
        <v>107</v>
      </c>
      <c r="C19" s="2">
        <f>1.8+(-7.8)</f>
        <v>-6</v>
      </c>
      <c r="D19" s="3">
        <f>17.6+12.1</f>
        <v>29.700000000000003</v>
      </c>
      <c r="E19" s="3">
        <f>0.1+0</f>
        <v>0.1</v>
      </c>
      <c r="F19" s="14">
        <f t="shared" si="0"/>
        <v>0.33670033670033667</v>
      </c>
      <c r="G19" s="3">
        <f>16.8+12.5</f>
        <v>29.3</v>
      </c>
      <c r="H19" s="3">
        <f>21.4+11.9</f>
        <v>33.3</v>
      </c>
      <c r="I19" s="14">
        <f t="shared" si="8"/>
        <v>113.65187713310578</v>
      </c>
      <c r="J19" s="3">
        <f>13.2+17.3</f>
        <v>30.5</v>
      </c>
      <c r="K19" s="3">
        <f>9.3+16.8</f>
        <v>26.1</v>
      </c>
      <c r="L19" s="14">
        <f>K19/J19*100</f>
        <v>85.57377049180329</v>
      </c>
      <c r="M19" s="3">
        <f t="shared" si="9"/>
        <v>89.5</v>
      </c>
      <c r="N19" s="3">
        <f t="shared" si="10"/>
        <v>59.5</v>
      </c>
      <c r="O19" s="14">
        <f t="shared" si="2"/>
        <v>66.4804469273743</v>
      </c>
      <c r="P19" s="3">
        <v>1.8</v>
      </c>
      <c r="Q19" s="3">
        <v>12</v>
      </c>
      <c r="R19" s="14">
        <f t="shared" si="16"/>
        <v>666.6666666666666</v>
      </c>
      <c r="S19" s="3">
        <v>0</v>
      </c>
      <c r="T19" s="3">
        <f>10+0.4</f>
        <v>10.4</v>
      </c>
      <c r="U19" s="14"/>
      <c r="V19" s="3">
        <v>0</v>
      </c>
      <c r="W19" s="3">
        <v>0</v>
      </c>
      <c r="X19" s="14"/>
      <c r="Y19" s="3">
        <f>P19+S19+V19</f>
        <v>1.8</v>
      </c>
      <c r="Z19" s="3">
        <f>Q19+T19+W19</f>
        <v>22.4</v>
      </c>
      <c r="AA19" s="14">
        <f t="shared" si="4"/>
        <v>1244.4444444444443</v>
      </c>
      <c r="AB19" s="3"/>
      <c r="AC19" s="3"/>
      <c r="AD19" s="14">
        <v>0</v>
      </c>
      <c r="AE19" s="3"/>
      <c r="AF19" s="3"/>
      <c r="AG19" s="28" t="e">
        <f>AF19/AE19*100</f>
        <v>#DIV/0!</v>
      </c>
      <c r="AH19" s="3"/>
      <c r="AI19" s="3"/>
      <c r="AJ19" s="3">
        <f t="shared" si="12"/>
        <v>0</v>
      </c>
      <c r="AK19" s="3">
        <f t="shared" si="13"/>
        <v>0</v>
      </c>
      <c r="AL19" s="14" t="e">
        <f t="shared" si="5"/>
        <v>#DIV/0!</v>
      </c>
      <c r="AM19" s="3"/>
      <c r="AN19" s="3"/>
      <c r="AO19" s="3"/>
      <c r="AP19" s="3"/>
      <c r="AQ19" s="3"/>
      <c r="AR19" s="3"/>
      <c r="AS19" s="3">
        <f t="shared" si="14"/>
        <v>91.3</v>
      </c>
      <c r="AT19" s="3">
        <f t="shared" si="15"/>
        <v>81.9</v>
      </c>
      <c r="AU19" s="14">
        <f>AT19/AS19*100</f>
        <v>89.70427163198248</v>
      </c>
      <c r="AV19" s="14">
        <f t="shared" si="6"/>
        <v>9.399999999999991</v>
      </c>
      <c r="AW19" s="4">
        <f t="shared" si="7"/>
        <v>3.3999999999999915</v>
      </c>
    </row>
    <row r="20" spans="1:49" ht="23.25" customHeight="1">
      <c r="A20" s="6">
        <v>13</v>
      </c>
      <c r="B20" s="15" t="s">
        <v>108</v>
      </c>
      <c r="C20" s="2"/>
      <c r="D20" s="21"/>
      <c r="E20" s="21"/>
      <c r="F20" s="36"/>
      <c r="G20" s="21"/>
      <c r="H20" s="21"/>
      <c r="I20" s="14"/>
      <c r="J20" s="21"/>
      <c r="K20" s="21"/>
      <c r="L20" s="14"/>
      <c r="M20" s="3"/>
      <c r="N20" s="3"/>
      <c r="O20" s="28" t="e">
        <f t="shared" si="2"/>
        <v>#DIV/0!</v>
      </c>
      <c r="P20" s="21"/>
      <c r="Q20" s="21"/>
      <c r="R20" s="14"/>
      <c r="S20" s="21"/>
      <c r="T20" s="21"/>
      <c r="U20" s="14"/>
      <c r="V20" s="21"/>
      <c r="W20" s="21"/>
      <c r="X20" s="14"/>
      <c r="Y20" s="3"/>
      <c r="Z20" s="3"/>
      <c r="AA20" s="28" t="e">
        <f t="shared" si="4"/>
        <v>#DIV/0!</v>
      </c>
      <c r="AB20" s="21"/>
      <c r="AC20" s="21"/>
      <c r="AD20" s="14"/>
      <c r="AE20" s="21"/>
      <c r="AF20" s="21"/>
      <c r="AG20" s="36"/>
      <c r="AH20" s="21"/>
      <c r="AI20" s="21"/>
      <c r="AJ20" s="3"/>
      <c r="AK20" s="3"/>
      <c r="AL20" s="28" t="e">
        <f t="shared" si="5"/>
        <v>#DIV/0!</v>
      </c>
      <c r="AM20" s="21"/>
      <c r="AN20" s="21"/>
      <c r="AO20" s="21"/>
      <c r="AP20" s="21"/>
      <c r="AQ20" s="21"/>
      <c r="AR20" s="21"/>
      <c r="AS20" s="3"/>
      <c r="AT20" s="3"/>
      <c r="AU20" s="14"/>
      <c r="AV20" s="14"/>
      <c r="AW20" s="4"/>
    </row>
    <row r="21" spans="1:49" ht="23.25" customHeight="1">
      <c r="A21" s="6">
        <v>14</v>
      </c>
      <c r="B21" s="15" t="s">
        <v>109</v>
      </c>
      <c r="C21" s="2"/>
      <c r="D21" s="21"/>
      <c r="E21" s="21"/>
      <c r="F21" s="36"/>
      <c r="G21" s="21"/>
      <c r="H21" s="21"/>
      <c r="I21" s="14"/>
      <c r="J21" s="21"/>
      <c r="K21" s="21"/>
      <c r="L21" s="14"/>
      <c r="M21" s="3"/>
      <c r="N21" s="3"/>
      <c r="O21" s="28" t="e">
        <f t="shared" si="2"/>
        <v>#DIV/0!</v>
      </c>
      <c r="P21" s="21"/>
      <c r="Q21" s="21"/>
      <c r="R21" s="14"/>
      <c r="S21" s="21"/>
      <c r="T21" s="21"/>
      <c r="U21" s="14"/>
      <c r="V21" s="21"/>
      <c r="W21" s="21"/>
      <c r="X21" s="14"/>
      <c r="Y21" s="3"/>
      <c r="Z21" s="3"/>
      <c r="AA21" s="28" t="e">
        <f t="shared" si="4"/>
        <v>#DIV/0!</v>
      </c>
      <c r="AB21" s="21"/>
      <c r="AC21" s="21"/>
      <c r="AD21" s="14"/>
      <c r="AE21" s="21"/>
      <c r="AF21" s="21"/>
      <c r="AG21" s="36"/>
      <c r="AH21" s="21"/>
      <c r="AI21" s="21"/>
      <c r="AJ21" s="3"/>
      <c r="AK21" s="3"/>
      <c r="AL21" s="28" t="e">
        <f t="shared" si="5"/>
        <v>#DIV/0!</v>
      </c>
      <c r="AM21" s="21"/>
      <c r="AN21" s="21"/>
      <c r="AO21" s="21"/>
      <c r="AP21" s="21"/>
      <c r="AQ21" s="21"/>
      <c r="AR21" s="21"/>
      <c r="AS21" s="3"/>
      <c r="AT21" s="3"/>
      <c r="AU21" s="14"/>
      <c r="AV21" s="14"/>
      <c r="AW21" s="4"/>
    </row>
    <row r="22" spans="1:49" ht="27.75" customHeight="1">
      <c r="A22" s="6">
        <v>15</v>
      </c>
      <c r="B22" s="15" t="s">
        <v>110</v>
      </c>
      <c r="C22" s="2">
        <v>-1.2</v>
      </c>
      <c r="D22" s="3">
        <v>10.6</v>
      </c>
      <c r="E22" s="3">
        <v>10.6</v>
      </c>
      <c r="F22" s="14">
        <f t="shared" si="0"/>
        <v>100</v>
      </c>
      <c r="G22" s="44">
        <v>6</v>
      </c>
      <c r="H22" s="44">
        <v>2</v>
      </c>
      <c r="I22" s="14">
        <f t="shared" si="8"/>
        <v>33.33333333333333</v>
      </c>
      <c r="J22" s="44">
        <v>8.8</v>
      </c>
      <c r="K22" s="44">
        <v>0</v>
      </c>
      <c r="L22" s="14">
        <f>K22/J22*100</f>
        <v>0</v>
      </c>
      <c r="M22" s="3">
        <f t="shared" si="9"/>
        <v>25.400000000000002</v>
      </c>
      <c r="N22" s="3">
        <f t="shared" si="10"/>
        <v>12.6</v>
      </c>
      <c r="O22" s="14">
        <f t="shared" si="2"/>
        <v>49.60629921259842</v>
      </c>
      <c r="P22" s="44">
        <v>1</v>
      </c>
      <c r="Q22" s="44">
        <v>2.5</v>
      </c>
      <c r="R22" s="14">
        <f t="shared" si="16"/>
        <v>250</v>
      </c>
      <c r="S22" s="44">
        <v>0</v>
      </c>
      <c r="T22" s="44">
        <v>0</v>
      </c>
      <c r="U22" s="14"/>
      <c r="V22" s="44">
        <v>0</v>
      </c>
      <c r="W22" s="44">
        <v>0</v>
      </c>
      <c r="X22" s="14"/>
      <c r="Y22" s="3">
        <f>P22+S22+V22</f>
        <v>1</v>
      </c>
      <c r="Z22" s="3">
        <f>Q22+T22+W22</f>
        <v>2.5</v>
      </c>
      <c r="AA22" s="14">
        <f t="shared" si="4"/>
        <v>250</v>
      </c>
      <c r="AB22" s="44">
        <v>0</v>
      </c>
      <c r="AC22" s="44">
        <v>0</v>
      </c>
      <c r="AD22" s="14">
        <v>0</v>
      </c>
      <c r="AE22" s="3"/>
      <c r="AF22" s="3"/>
      <c r="AG22" s="36"/>
      <c r="AH22" s="3"/>
      <c r="AI22" s="3"/>
      <c r="AJ22" s="3">
        <f t="shared" si="12"/>
        <v>0</v>
      </c>
      <c r="AK22" s="3">
        <f t="shared" si="13"/>
        <v>0</v>
      </c>
      <c r="AL22" s="14" t="e">
        <f t="shared" si="5"/>
        <v>#DIV/0!</v>
      </c>
      <c r="AM22" s="3"/>
      <c r="AN22" s="3"/>
      <c r="AO22" s="3"/>
      <c r="AP22" s="3"/>
      <c r="AQ22" s="3"/>
      <c r="AR22" s="3"/>
      <c r="AS22" s="3">
        <f t="shared" si="14"/>
        <v>26.400000000000002</v>
      </c>
      <c r="AT22" s="3">
        <f t="shared" si="15"/>
        <v>15.1</v>
      </c>
      <c r="AU22" s="14">
        <f>AT22/AS22*100</f>
        <v>57.19696969696969</v>
      </c>
      <c r="AV22" s="14">
        <f t="shared" si="6"/>
        <v>11.300000000000002</v>
      </c>
      <c r="AW22" s="4">
        <f t="shared" si="7"/>
        <v>10.100000000000003</v>
      </c>
    </row>
    <row r="23" spans="1:49" ht="23.25" customHeight="1">
      <c r="A23" s="6">
        <v>16</v>
      </c>
      <c r="B23" s="15" t="s">
        <v>29</v>
      </c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3"/>
      <c r="N23" s="3"/>
      <c r="O23" s="28" t="e">
        <f t="shared" si="2"/>
        <v>#DIV/0!</v>
      </c>
      <c r="P23" s="45"/>
      <c r="Q23" s="45"/>
      <c r="R23" s="14"/>
      <c r="S23" s="45"/>
      <c r="T23" s="45"/>
      <c r="U23" s="45"/>
      <c r="V23" s="45"/>
      <c r="W23" s="45"/>
      <c r="X23" s="45"/>
      <c r="Y23" s="3"/>
      <c r="Z23" s="3"/>
      <c r="AA23" s="28" t="e">
        <f t="shared" si="4"/>
        <v>#DIV/0!</v>
      </c>
      <c r="AB23" s="45"/>
      <c r="AC23" s="45"/>
      <c r="AD23" s="45"/>
      <c r="AE23" s="90"/>
      <c r="AF23" s="90"/>
      <c r="AG23" s="90"/>
      <c r="AH23" s="90"/>
      <c r="AI23" s="90"/>
      <c r="AJ23" s="3"/>
      <c r="AK23" s="3"/>
      <c r="AL23" s="28" t="e">
        <f t="shared" si="5"/>
        <v>#DIV/0!</v>
      </c>
      <c r="AM23" s="90"/>
      <c r="AN23" s="90"/>
      <c r="AO23" s="90"/>
      <c r="AP23" s="90"/>
      <c r="AQ23" s="90"/>
      <c r="AR23" s="90"/>
      <c r="AS23" s="3"/>
      <c r="AT23" s="3"/>
      <c r="AU23" s="45"/>
      <c r="AV23" s="14"/>
      <c r="AW23" s="4"/>
    </row>
    <row r="24" spans="1:49" ht="30" customHeight="1">
      <c r="A24" s="6">
        <v>17</v>
      </c>
      <c r="B24" s="15" t="s">
        <v>111</v>
      </c>
      <c r="C24" s="2">
        <v>636.7</v>
      </c>
      <c r="D24" s="3">
        <v>573.8</v>
      </c>
      <c r="E24" s="3">
        <v>381.3</v>
      </c>
      <c r="F24" s="14">
        <f t="shared" si="0"/>
        <v>66.45172533983967</v>
      </c>
      <c r="G24" s="3">
        <v>567.3</v>
      </c>
      <c r="H24" s="3">
        <v>479.7</v>
      </c>
      <c r="I24" s="14">
        <f>H24/G24*100</f>
        <v>84.55843469063988</v>
      </c>
      <c r="J24" s="3">
        <v>520.6</v>
      </c>
      <c r="K24" s="3">
        <v>514.1</v>
      </c>
      <c r="L24" s="14">
        <f>K24/J24*100</f>
        <v>98.75144064540913</v>
      </c>
      <c r="M24" s="3">
        <f t="shared" si="9"/>
        <v>1661.6999999999998</v>
      </c>
      <c r="N24" s="3">
        <f t="shared" si="10"/>
        <v>1375.1</v>
      </c>
      <c r="O24" s="14">
        <f t="shared" si="2"/>
        <v>82.75260275621352</v>
      </c>
      <c r="P24" s="3">
        <v>24.6</v>
      </c>
      <c r="Q24" s="3">
        <v>441.4</v>
      </c>
      <c r="R24" s="14">
        <f t="shared" si="16"/>
        <v>1794.3089430894308</v>
      </c>
      <c r="S24" s="3">
        <v>0</v>
      </c>
      <c r="T24" s="3">
        <v>182.1</v>
      </c>
      <c r="U24" s="28" t="e">
        <f>T24/S24*100</f>
        <v>#DIV/0!</v>
      </c>
      <c r="V24" s="3">
        <v>0</v>
      </c>
      <c r="W24" s="3">
        <v>42.2</v>
      </c>
      <c r="X24" s="28" t="e">
        <f>W24/V24*100</f>
        <v>#DIV/0!</v>
      </c>
      <c r="Y24" s="3">
        <f>P24+S24+V24</f>
        <v>24.6</v>
      </c>
      <c r="Z24" s="3">
        <f>Q24+T24+W24</f>
        <v>665.7</v>
      </c>
      <c r="AA24" s="28">
        <f t="shared" si="4"/>
        <v>2706.0975609756097</v>
      </c>
      <c r="AB24" s="3">
        <v>0</v>
      </c>
      <c r="AC24" s="3">
        <v>63.4</v>
      </c>
      <c r="AD24" s="28" t="e">
        <f>AC24/AB24*100</f>
        <v>#DIV/0!</v>
      </c>
      <c r="AE24" s="3"/>
      <c r="AF24" s="3"/>
      <c r="AG24" s="14" t="e">
        <f>AF24/AE24*100</f>
        <v>#DIV/0!</v>
      </c>
      <c r="AH24" s="3"/>
      <c r="AI24" s="3"/>
      <c r="AJ24" s="3">
        <f t="shared" si="12"/>
        <v>0</v>
      </c>
      <c r="AK24" s="3">
        <f t="shared" si="13"/>
        <v>63.4</v>
      </c>
      <c r="AL24" s="28" t="e">
        <f t="shared" si="5"/>
        <v>#DIV/0!</v>
      </c>
      <c r="AM24" s="3"/>
      <c r="AN24" s="3"/>
      <c r="AO24" s="3"/>
      <c r="AP24" s="3"/>
      <c r="AQ24" s="3"/>
      <c r="AR24" s="3"/>
      <c r="AS24" s="3">
        <f t="shared" si="14"/>
        <v>1686.2999999999997</v>
      </c>
      <c r="AT24" s="3">
        <f t="shared" si="15"/>
        <v>2104.2</v>
      </c>
      <c r="AU24" s="14">
        <f>AT24/AS24*100</f>
        <v>124.78206724782068</v>
      </c>
      <c r="AV24" s="14">
        <f t="shared" si="6"/>
        <v>-417.9000000000001</v>
      </c>
      <c r="AW24" s="4">
        <f t="shared" si="7"/>
        <v>218.80000000000018</v>
      </c>
    </row>
    <row r="25" spans="1:49" ht="23.25" customHeight="1">
      <c r="A25" s="6">
        <v>18</v>
      </c>
      <c r="B25" s="1" t="s">
        <v>112</v>
      </c>
      <c r="C25" s="2">
        <v>-3.5</v>
      </c>
      <c r="D25" s="3">
        <v>0.1</v>
      </c>
      <c r="E25" s="3">
        <v>0</v>
      </c>
      <c r="F25" s="14">
        <f t="shared" si="0"/>
        <v>0</v>
      </c>
      <c r="G25" s="44">
        <v>0.4</v>
      </c>
      <c r="H25" s="44">
        <v>0</v>
      </c>
      <c r="I25" s="14">
        <f>H25/G25*100</f>
        <v>0</v>
      </c>
      <c r="J25" s="21"/>
      <c r="K25" s="21"/>
      <c r="L25" s="14"/>
      <c r="M25" s="3">
        <f t="shared" si="9"/>
        <v>0.5</v>
      </c>
      <c r="N25" s="3">
        <f t="shared" si="10"/>
        <v>0</v>
      </c>
      <c r="O25" s="14">
        <f t="shared" si="2"/>
        <v>0</v>
      </c>
      <c r="P25" s="44">
        <v>0.5</v>
      </c>
      <c r="Q25" s="44">
        <v>0</v>
      </c>
      <c r="R25" s="14">
        <f t="shared" si="16"/>
        <v>0</v>
      </c>
      <c r="S25" s="44">
        <v>0</v>
      </c>
      <c r="T25" s="44">
        <v>0</v>
      </c>
      <c r="U25" s="33"/>
      <c r="V25" s="44">
        <v>0</v>
      </c>
      <c r="W25" s="44">
        <v>0</v>
      </c>
      <c r="X25" s="14"/>
      <c r="Y25" s="3">
        <f>P25+S25+V25</f>
        <v>0.5</v>
      </c>
      <c r="Z25" s="3">
        <f>Q25+T25+W25</f>
        <v>0</v>
      </c>
      <c r="AA25" s="28">
        <f t="shared" si="4"/>
        <v>0</v>
      </c>
      <c r="AB25" s="44"/>
      <c r="AC25" s="44"/>
      <c r="AD25" s="14"/>
      <c r="AE25" s="44"/>
      <c r="AF25" s="44"/>
      <c r="AG25" s="33"/>
      <c r="AH25" s="44"/>
      <c r="AI25" s="44"/>
      <c r="AJ25" s="3">
        <f t="shared" si="12"/>
        <v>0</v>
      </c>
      <c r="AK25" s="3">
        <f t="shared" si="13"/>
        <v>0</v>
      </c>
      <c r="AL25" s="28" t="e">
        <f t="shared" si="5"/>
        <v>#DIV/0!</v>
      </c>
      <c r="AM25" s="44"/>
      <c r="AN25" s="44"/>
      <c r="AO25" s="44"/>
      <c r="AP25" s="44"/>
      <c r="AQ25" s="44"/>
      <c r="AR25" s="44"/>
      <c r="AS25" s="3">
        <f t="shared" si="14"/>
        <v>1</v>
      </c>
      <c r="AT25" s="3">
        <f t="shared" si="15"/>
        <v>0</v>
      </c>
      <c r="AU25" s="14">
        <f>AT25/AS25*100</f>
        <v>0</v>
      </c>
      <c r="AV25" s="14">
        <f t="shared" si="6"/>
        <v>1</v>
      </c>
      <c r="AW25" s="4">
        <f t="shared" si="7"/>
        <v>-2.5</v>
      </c>
    </row>
    <row r="26" spans="1:49" ht="23.25" customHeight="1">
      <c r="A26" s="6">
        <v>19</v>
      </c>
      <c r="B26" s="15" t="s">
        <v>113</v>
      </c>
      <c r="C26" s="2">
        <v>2.2</v>
      </c>
      <c r="D26" s="44"/>
      <c r="E26" s="44"/>
      <c r="F26" s="28"/>
      <c r="G26" s="3"/>
      <c r="H26" s="3"/>
      <c r="I26" s="14"/>
      <c r="J26" s="3"/>
      <c r="K26" s="3"/>
      <c r="L26" s="14"/>
      <c r="M26" s="3"/>
      <c r="N26" s="3"/>
      <c r="O26" s="28" t="e">
        <f t="shared" si="2"/>
        <v>#DIV/0!</v>
      </c>
      <c r="P26" s="3"/>
      <c r="Q26" s="3"/>
      <c r="R26" s="14"/>
      <c r="S26" s="3"/>
      <c r="T26" s="3"/>
      <c r="U26" s="14"/>
      <c r="V26" s="3"/>
      <c r="W26" s="3"/>
      <c r="X26" s="14"/>
      <c r="Y26" s="3"/>
      <c r="Z26" s="3"/>
      <c r="AA26" s="28" t="e">
        <f t="shared" si="4"/>
        <v>#DIV/0!</v>
      </c>
      <c r="AB26" s="3"/>
      <c r="AC26" s="3"/>
      <c r="AD26" s="14"/>
      <c r="AE26" s="3"/>
      <c r="AF26" s="3"/>
      <c r="AG26" s="28" t="e">
        <f>AF26/AE26*100</f>
        <v>#DIV/0!</v>
      </c>
      <c r="AH26" s="3"/>
      <c r="AI26" s="3"/>
      <c r="AJ26" s="3"/>
      <c r="AK26" s="3"/>
      <c r="AL26" s="28"/>
      <c r="AM26" s="3"/>
      <c r="AN26" s="3"/>
      <c r="AO26" s="3"/>
      <c r="AP26" s="3"/>
      <c r="AQ26" s="3"/>
      <c r="AR26" s="3"/>
      <c r="AS26" s="3"/>
      <c r="AT26" s="3"/>
      <c r="AU26" s="14"/>
      <c r="AV26" s="14">
        <f t="shared" si="6"/>
        <v>0</v>
      </c>
      <c r="AW26" s="4">
        <f t="shared" si="7"/>
        <v>2.2</v>
      </c>
    </row>
    <row r="27" spans="1:49" ht="27" customHeight="1">
      <c r="A27" s="6">
        <v>20</v>
      </c>
      <c r="B27" s="15" t="s">
        <v>114</v>
      </c>
      <c r="C27" s="2"/>
      <c r="D27" s="3"/>
      <c r="E27" s="3"/>
      <c r="F27" s="28"/>
      <c r="G27" s="3"/>
      <c r="H27" s="3"/>
      <c r="I27" s="14"/>
      <c r="J27" s="3"/>
      <c r="K27" s="3"/>
      <c r="L27" s="14"/>
      <c r="M27" s="3"/>
      <c r="N27" s="3"/>
      <c r="O27" s="28" t="e">
        <f t="shared" si="2"/>
        <v>#DIV/0!</v>
      </c>
      <c r="P27" s="3"/>
      <c r="Q27" s="3"/>
      <c r="R27" s="14"/>
      <c r="S27" s="3"/>
      <c r="T27" s="3"/>
      <c r="U27" s="14"/>
      <c r="V27" s="3"/>
      <c r="W27" s="3"/>
      <c r="X27" s="14"/>
      <c r="Y27" s="3"/>
      <c r="Z27" s="3"/>
      <c r="AA27" s="28" t="e">
        <f t="shared" si="4"/>
        <v>#DIV/0!</v>
      </c>
      <c r="AB27" s="3"/>
      <c r="AC27" s="3"/>
      <c r="AD27" s="14"/>
      <c r="AE27" s="3"/>
      <c r="AF27" s="3"/>
      <c r="AG27" s="28" t="e">
        <f>AF27/AE27*100</f>
        <v>#DIV/0!</v>
      </c>
      <c r="AH27" s="3"/>
      <c r="AI27" s="3"/>
      <c r="AJ27" s="3"/>
      <c r="AK27" s="3"/>
      <c r="AL27" s="28" t="e">
        <f t="shared" si="5"/>
        <v>#DIV/0!</v>
      </c>
      <c r="AM27" s="3"/>
      <c r="AN27" s="3"/>
      <c r="AO27" s="3"/>
      <c r="AP27" s="3"/>
      <c r="AQ27" s="3"/>
      <c r="AR27" s="3"/>
      <c r="AS27" s="3"/>
      <c r="AT27" s="3"/>
      <c r="AU27" s="14"/>
      <c r="AV27" s="14"/>
      <c r="AW27" s="4"/>
    </row>
    <row r="28" spans="1:49" ht="27" customHeight="1">
      <c r="A28" s="6">
        <v>21</v>
      </c>
      <c r="B28" s="1" t="s">
        <v>97</v>
      </c>
      <c r="C28" s="2">
        <v>163</v>
      </c>
      <c r="D28" s="3">
        <v>227.1</v>
      </c>
      <c r="E28" s="3">
        <v>96.6</v>
      </c>
      <c r="F28" s="14">
        <f t="shared" si="0"/>
        <v>42.53632760898283</v>
      </c>
      <c r="G28" s="44">
        <v>215.1</v>
      </c>
      <c r="H28" s="44">
        <v>195.3</v>
      </c>
      <c r="I28" s="14">
        <f>H28/G28*100</f>
        <v>90.79497907949792</v>
      </c>
      <c r="J28" s="44">
        <v>220.9</v>
      </c>
      <c r="K28" s="44">
        <v>254.3</v>
      </c>
      <c r="L28" s="14">
        <f>K28/J28*100</f>
        <v>115.11996378451788</v>
      </c>
      <c r="M28" s="3">
        <f t="shared" si="9"/>
        <v>663.1</v>
      </c>
      <c r="N28" s="3">
        <f t="shared" si="10"/>
        <v>546.2</v>
      </c>
      <c r="O28" s="14">
        <f t="shared" si="2"/>
        <v>82.3706831548786</v>
      </c>
      <c r="P28" s="44">
        <v>8.7</v>
      </c>
      <c r="Q28" s="44">
        <v>210.4</v>
      </c>
      <c r="R28" s="14">
        <f t="shared" si="16"/>
        <v>2418.3908045977014</v>
      </c>
      <c r="S28" s="44">
        <v>0</v>
      </c>
      <c r="T28" s="44">
        <v>64.5</v>
      </c>
      <c r="U28" s="14"/>
      <c r="V28" s="44">
        <v>0</v>
      </c>
      <c r="W28" s="44">
        <v>6</v>
      </c>
      <c r="X28" s="14"/>
      <c r="Y28" s="3">
        <f>P28+S28+V28</f>
        <v>8.7</v>
      </c>
      <c r="Z28" s="3">
        <f>Q28+T28+W28</f>
        <v>280.9</v>
      </c>
      <c r="AA28" s="14">
        <f t="shared" si="4"/>
        <v>3228.735632183908</v>
      </c>
      <c r="AB28" s="44">
        <v>0</v>
      </c>
      <c r="AC28" s="44">
        <v>7.7</v>
      </c>
      <c r="AD28" s="14"/>
      <c r="AE28" s="21"/>
      <c r="AF28" s="21"/>
      <c r="AG28" s="36"/>
      <c r="AH28" s="21"/>
      <c r="AI28" s="21"/>
      <c r="AJ28" s="3">
        <f t="shared" si="12"/>
        <v>0</v>
      </c>
      <c r="AK28" s="3">
        <f t="shared" si="13"/>
        <v>7.7</v>
      </c>
      <c r="AL28" s="14" t="e">
        <f t="shared" si="5"/>
        <v>#DIV/0!</v>
      </c>
      <c r="AM28" s="44"/>
      <c r="AN28" s="44"/>
      <c r="AO28" s="44"/>
      <c r="AP28" s="44"/>
      <c r="AQ28" s="44"/>
      <c r="AR28" s="44"/>
      <c r="AS28" s="3">
        <f t="shared" si="14"/>
        <v>671.8000000000001</v>
      </c>
      <c r="AT28" s="3">
        <f t="shared" si="15"/>
        <v>834.8000000000001</v>
      </c>
      <c r="AU28" s="14">
        <f>AT28/AS28*100</f>
        <v>124.26317356356058</v>
      </c>
      <c r="AV28" s="14">
        <f t="shared" si="6"/>
        <v>-163</v>
      </c>
      <c r="AW28" s="4">
        <f t="shared" si="7"/>
        <v>0</v>
      </c>
    </row>
    <row r="29" spans="1:49" ht="23.25" customHeight="1">
      <c r="A29" s="6">
        <v>22</v>
      </c>
      <c r="B29" s="1" t="s">
        <v>31</v>
      </c>
      <c r="C29" s="46"/>
      <c r="D29" s="35"/>
      <c r="E29" s="35"/>
      <c r="F29" s="35"/>
      <c r="G29" s="46"/>
      <c r="H29" s="46"/>
      <c r="I29" s="46"/>
      <c r="J29" s="46"/>
      <c r="K29" s="46"/>
      <c r="L29" s="46"/>
      <c r="M29" s="3"/>
      <c r="N29" s="3"/>
      <c r="O29" s="28" t="e">
        <f t="shared" si="2"/>
        <v>#DIV/0!</v>
      </c>
      <c r="P29" s="46"/>
      <c r="Q29" s="46"/>
      <c r="R29" s="14"/>
      <c r="S29" s="46"/>
      <c r="T29" s="46"/>
      <c r="U29" s="46"/>
      <c r="V29" s="46"/>
      <c r="W29" s="46"/>
      <c r="X29" s="46"/>
      <c r="Y29" s="3"/>
      <c r="Z29" s="3"/>
      <c r="AA29" s="28" t="e">
        <f t="shared" si="4"/>
        <v>#DIV/0!</v>
      </c>
      <c r="AB29" s="46"/>
      <c r="AC29" s="46"/>
      <c r="AD29" s="46"/>
      <c r="AE29" s="46"/>
      <c r="AF29" s="46"/>
      <c r="AG29" s="46"/>
      <c r="AH29" s="46"/>
      <c r="AI29" s="46"/>
      <c r="AJ29" s="3"/>
      <c r="AK29" s="3"/>
      <c r="AL29" s="28" t="e">
        <f t="shared" si="5"/>
        <v>#DIV/0!</v>
      </c>
      <c r="AM29" s="46"/>
      <c r="AN29" s="46"/>
      <c r="AO29" s="46"/>
      <c r="AP29" s="46"/>
      <c r="AQ29" s="46"/>
      <c r="AR29" s="46"/>
      <c r="AS29" s="3"/>
      <c r="AT29" s="3"/>
      <c r="AU29" s="46"/>
      <c r="AV29" s="14"/>
      <c r="AW29" s="4"/>
    </row>
    <row r="30" spans="1:49" ht="23.25" customHeight="1">
      <c r="A30" s="6">
        <v>23</v>
      </c>
      <c r="B30" s="15" t="s">
        <v>32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"/>
      <c r="N30" s="3"/>
      <c r="O30" s="28" t="e">
        <f t="shared" si="2"/>
        <v>#DIV/0!</v>
      </c>
      <c r="P30" s="35"/>
      <c r="Q30" s="35"/>
      <c r="R30" s="14"/>
      <c r="S30" s="35"/>
      <c r="T30" s="35"/>
      <c r="U30" s="35"/>
      <c r="V30" s="35"/>
      <c r="W30" s="35"/>
      <c r="X30" s="35"/>
      <c r="Y30" s="3"/>
      <c r="Z30" s="3"/>
      <c r="AA30" s="28" t="e">
        <f t="shared" si="4"/>
        <v>#DIV/0!</v>
      </c>
      <c r="AB30" s="35"/>
      <c r="AC30" s="35"/>
      <c r="AD30" s="35"/>
      <c r="AE30" s="46"/>
      <c r="AF30" s="46"/>
      <c r="AG30" s="46"/>
      <c r="AH30" s="46"/>
      <c r="AI30" s="46"/>
      <c r="AJ30" s="3"/>
      <c r="AK30" s="3"/>
      <c r="AL30" s="28" t="e">
        <f t="shared" si="5"/>
        <v>#DIV/0!</v>
      </c>
      <c r="AM30" s="46"/>
      <c r="AN30" s="46"/>
      <c r="AO30" s="46"/>
      <c r="AP30" s="46"/>
      <c r="AQ30" s="46"/>
      <c r="AR30" s="46"/>
      <c r="AS30" s="3"/>
      <c r="AT30" s="3"/>
      <c r="AU30" s="35"/>
      <c r="AV30" s="14"/>
      <c r="AW30" s="4"/>
    </row>
    <row r="31" spans="1:49" ht="23.25" customHeight="1">
      <c r="A31" s="6">
        <v>24</v>
      </c>
      <c r="B31" s="15" t="s">
        <v>33</v>
      </c>
      <c r="C31" s="47"/>
      <c r="D31" s="35"/>
      <c r="E31" s="35"/>
      <c r="F31" s="35"/>
      <c r="G31" s="46"/>
      <c r="H31" s="46"/>
      <c r="I31" s="46"/>
      <c r="J31" s="46"/>
      <c r="K31" s="46"/>
      <c r="L31" s="46"/>
      <c r="M31" s="3"/>
      <c r="N31" s="3"/>
      <c r="O31" s="28" t="e">
        <f t="shared" si="2"/>
        <v>#DIV/0!</v>
      </c>
      <c r="P31" s="46"/>
      <c r="Q31" s="46"/>
      <c r="R31" s="14"/>
      <c r="S31" s="46"/>
      <c r="T31" s="46"/>
      <c r="U31" s="46"/>
      <c r="V31" s="46"/>
      <c r="W31" s="46"/>
      <c r="X31" s="46"/>
      <c r="Y31" s="3"/>
      <c r="Z31" s="3"/>
      <c r="AA31" s="28" t="e">
        <f t="shared" si="4"/>
        <v>#DIV/0!</v>
      </c>
      <c r="AB31" s="46"/>
      <c r="AC31" s="46"/>
      <c r="AD31" s="46"/>
      <c r="AE31" s="46"/>
      <c r="AF31" s="46"/>
      <c r="AG31" s="46"/>
      <c r="AH31" s="46"/>
      <c r="AI31" s="46"/>
      <c r="AJ31" s="3"/>
      <c r="AK31" s="3"/>
      <c r="AL31" s="28" t="e">
        <f t="shared" si="5"/>
        <v>#DIV/0!</v>
      </c>
      <c r="AM31" s="46"/>
      <c r="AN31" s="46"/>
      <c r="AO31" s="46"/>
      <c r="AP31" s="46"/>
      <c r="AQ31" s="46"/>
      <c r="AR31" s="46"/>
      <c r="AS31" s="3"/>
      <c r="AT31" s="3"/>
      <c r="AU31" s="46"/>
      <c r="AV31" s="14"/>
      <c r="AW31" s="4"/>
    </row>
    <row r="32" spans="1:49" ht="23.25" customHeight="1">
      <c r="A32" s="6">
        <v>25</v>
      </c>
      <c r="B32" s="15" t="s">
        <v>34</v>
      </c>
      <c r="C32" s="2"/>
      <c r="D32" s="21"/>
      <c r="E32" s="21"/>
      <c r="F32" s="36" t="e">
        <f aca="true" t="shared" si="17" ref="F32:F48">E32/D32*100</f>
        <v>#DIV/0!</v>
      </c>
      <c r="G32" s="21"/>
      <c r="H32" s="21"/>
      <c r="I32" s="36"/>
      <c r="J32" s="21"/>
      <c r="K32" s="21"/>
      <c r="L32" s="36"/>
      <c r="M32" s="3"/>
      <c r="N32" s="3"/>
      <c r="O32" s="28" t="e">
        <f t="shared" si="2"/>
        <v>#DIV/0!</v>
      </c>
      <c r="P32" s="21"/>
      <c r="Q32" s="21"/>
      <c r="R32" s="14"/>
      <c r="S32" s="21"/>
      <c r="T32" s="21"/>
      <c r="U32" s="36"/>
      <c r="V32" s="21"/>
      <c r="W32" s="21"/>
      <c r="X32" s="36"/>
      <c r="Y32" s="3"/>
      <c r="Z32" s="3"/>
      <c r="AA32" s="28" t="e">
        <f t="shared" si="4"/>
        <v>#DIV/0!</v>
      </c>
      <c r="AB32" s="21"/>
      <c r="AC32" s="21"/>
      <c r="AD32" s="36"/>
      <c r="AE32" s="21"/>
      <c r="AF32" s="21"/>
      <c r="AG32" s="36"/>
      <c r="AH32" s="21"/>
      <c r="AI32" s="21"/>
      <c r="AJ32" s="3"/>
      <c r="AK32" s="3"/>
      <c r="AL32" s="28" t="e">
        <f t="shared" si="5"/>
        <v>#DIV/0!</v>
      </c>
      <c r="AM32" s="21"/>
      <c r="AN32" s="21"/>
      <c r="AO32" s="21"/>
      <c r="AP32" s="21"/>
      <c r="AQ32" s="21"/>
      <c r="AR32" s="21"/>
      <c r="AS32" s="3"/>
      <c r="AT32" s="3"/>
      <c r="AU32" s="36"/>
      <c r="AV32" s="14"/>
      <c r="AW32" s="4"/>
    </row>
    <row r="33" spans="1:49" ht="23.25" customHeight="1">
      <c r="A33" s="6"/>
      <c r="B33" s="15" t="s">
        <v>115</v>
      </c>
      <c r="C33" s="2">
        <v>105.3</v>
      </c>
      <c r="D33" s="3">
        <v>0</v>
      </c>
      <c r="E33" s="3">
        <v>0</v>
      </c>
      <c r="F33" s="28">
        <v>0</v>
      </c>
      <c r="G33" s="3">
        <v>0</v>
      </c>
      <c r="H33" s="3">
        <v>0</v>
      </c>
      <c r="I33" s="28" t="e">
        <f aca="true" t="shared" si="18" ref="I33:I47">H33/G33*100</f>
        <v>#DIV/0!</v>
      </c>
      <c r="J33" s="3">
        <v>0</v>
      </c>
      <c r="K33" s="3">
        <v>0</v>
      </c>
      <c r="L33" s="28" t="e">
        <f>K33/J33*100</f>
        <v>#DIV/0!</v>
      </c>
      <c r="M33" s="3">
        <f t="shared" si="9"/>
        <v>0</v>
      </c>
      <c r="N33" s="3">
        <f t="shared" si="10"/>
        <v>0</v>
      </c>
      <c r="O33" s="28" t="e">
        <f t="shared" si="2"/>
        <v>#DIV/0!</v>
      </c>
      <c r="P33" s="3"/>
      <c r="Q33" s="3"/>
      <c r="R33" s="28" t="e">
        <f t="shared" si="16"/>
        <v>#DIV/0!</v>
      </c>
      <c r="S33" s="3"/>
      <c r="T33" s="3"/>
      <c r="U33" s="28" t="e">
        <f>T33/S33*100</f>
        <v>#DIV/0!</v>
      </c>
      <c r="V33" s="3"/>
      <c r="W33" s="3"/>
      <c r="X33" s="28" t="e">
        <f>W33/V33*100</f>
        <v>#DIV/0!</v>
      </c>
      <c r="Y33" s="3">
        <f>P33+S33+V33</f>
        <v>0</v>
      </c>
      <c r="Z33" s="3">
        <f>Q33+T33+W33</f>
        <v>0</v>
      </c>
      <c r="AA33" s="28" t="e">
        <f t="shared" si="4"/>
        <v>#DIV/0!</v>
      </c>
      <c r="AB33" s="3">
        <v>0</v>
      </c>
      <c r="AC33" s="3">
        <v>0</v>
      </c>
      <c r="AD33" s="28" t="e">
        <f>AC33/AB33*100</f>
        <v>#DIV/0!</v>
      </c>
      <c r="AE33" s="3"/>
      <c r="AF33" s="3"/>
      <c r="AG33" s="14" t="e">
        <f>AF33/AE33*100</f>
        <v>#DIV/0!</v>
      </c>
      <c r="AH33" s="3"/>
      <c r="AI33" s="3"/>
      <c r="AJ33" s="3">
        <f t="shared" si="12"/>
        <v>0</v>
      </c>
      <c r="AK33" s="3">
        <f t="shared" si="13"/>
        <v>0</v>
      </c>
      <c r="AL33" s="28" t="e">
        <f t="shared" si="5"/>
        <v>#DIV/0!</v>
      </c>
      <c r="AM33" s="3"/>
      <c r="AN33" s="3"/>
      <c r="AO33" s="3"/>
      <c r="AP33" s="3"/>
      <c r="AQ33" s="3"/>
      <c r="AR33" s="3"/>
      <c r="AS33" s="3"/>
      <c r="AT33" s="3"/>
      <c r="AU33" s="28" t="e">
        <f>AT33/AS33*100</f>
        <v>#DIV/0!</v>
      </c>
      <c r="AV33" s="14">
        <f t="shared" si="6"/>
        <v>0</v>
      </c>
      <c r="AW33" s="4">
        <f t="shared" si="7"/>
        <v>105.3</v>
      </c>
    </row>
    <row r="34" spans="1:49" ht="23.25" customHeight="1">
      <c r="A34" s="6"/>
      <c r="B34" s="15" t="s">
        <v>116</v>
      </c>
      <c r="C34" s="2">
        <v>125.9</v>
      </c>
      <c r="D34" s="3">
        <v>91.5</v>
      </c>
      <c r="E34" s="3">
        <v>40.5</v>
      </c>
      <c r="F34" s="14">
        <f>E34/D34*100</f>
        <v>44.26229508196721</v>
      </c>
      <c r="G34" s="3">
        <v>86.2</v>
      </c>
      <c r="H34" s="3">
        <v>147.4</v>
      </c>
      <c r="I34" s="14">
        <f>H34/G34*100</f>
        <v>170.99767981438515</v>
      </c>
      <c r="J34" s="3">
        <v>93.7</v>
      </c>
      <c r="K34" s="3">
        <v>71.9</v>
      </c>
      <c r="L34" s="14">
        <f>K34/J34*100</f>
        <v>76.73425827107792</v>
      </c>
      <c r="M34" s="3">
        <f>D34+G34+J34</f>
        <v>271.4</v>
      </c>
      <c r="N34" s="3">
        <f>E34+H34+K34</f>
        <v>259.8</v>
      </c>
      <c r="O34" s="14">
        <f>N34/M34*100</f>
        <v>95.72586588061903</v>
      </c>
      <c r="P34" s="3">
        <v>5.1</v>
      </c>
      <c r="Q34" s="3">
        <v>91.5</v>
      </c>
      <c r="R34" s="14">
        <f t="shared" si="16"/>
        <v>1794.1176470588236</v>
      </c>
      <c r="S34" s="3">
        <v>0</v>
      </c>
      <c r="T34" s="3">
        <v>50.7</v>
      </c>
      <c r="U34" s="28" t="e">
        <f>T34/S34*100</f>
        <v>#DIV/0!</v>
      </c>
      <c r="V34" s="3">
        <v>0</v>
      </c>
      <c r="W34" s="3">
        <v>0</v>
      </c>
      <c r="X34" s="28" t="e">
        <f>W34/V34*100</f>
        <v>#DIV/0!</v>
      </c>
      <c r="Y34" s="3">
        <f>P34+S34+V34</f>
        <v>5.1</v>
      </c>
      <c r="Z34" s="3">
        <f>Q34+T34+W34</f>
        <v>142.2</v>
      </c>
      <c r="AA34" s="28">
        <f>Z34/Y34*100</f>
        <v>2788.2352941176473</v>
      </c>
      <c r="AB34" s="3">
        <v>0</v>
      </c>
      <c r="AC34" s="3">
        <v>0</v>
      </c>
      <c r="AD34" s="28" t="e">
        <f>AC34/AB34*100</f>
        <v>#DIV/0!</v>
      </c>
      <c r="AE34" s="3"/>
      <c r="AF34" s="3"/>
      <c r="AG34" s="14" t="e">
        <f>AF34/AE34*100</f>
        <v>#DIV/0!</v>
      </c>
      <c r="AH34" s="3"/>
      <c r="AI34" s="3"/>
      <c r="AJ34" s="3">
        <f>AB34+AE34+AH34</f>
        <v>0</v>
      </c>
      <c r="AK34" s="3">
        <f>AC34+AF34+AI34</f>
        <v>0</v>
      </c>
      <c r="AL34" s="28" t="e">
        <f>AK34/AJ34*100</f>
        <v>#DIV/0!</v>
      </c>
      <c r="AM34" s="3"/>
      <c r="AN34" s="3"/>
      <c r="AO34" s="3"/>
      <c r="AP34" s="3"/>
      <c r="AQ34" s="3"/>
      <c r="AR34" s="3"/>
      <c r="AS34" s="3">
        <f>M34+Y34+AJ34+AM34+AO34+AQ34</f>
        <v>276.5</v>
      </c>
      <c r="AT34" s="3">
        <f>N34+Z34+AK34+AN34+AP34+AR34</f>
        <v>402</v>
      </c>
      <c r="AU34" s="14">
        <f>AT34/AS34*100</f>
        <v>145.3887884267631</v>
      </c>
      <c r="AV34" s="14">
        <f>AS34-AT34</f>
        <v>-125.5</v>
      </c>
      <c r="AW34" s="4">
        <f>C34+AS34-AT34</f>
        <v>0.39999999999997726</v>
      </c>
    </row>
    <row r="35" spans="1:49" ht="23.25" customHeight="1">
      <c r="A35" s="6"/>
      <c r="B35" s="15" t="s">
        <v>117</v>
      </c>
      <c r="C35" s="2"/>
      <c r="D35" s="3"/>
      <c r="E35" s="3"/>
      <c r="F35" s="14"/>
      <c r="G35" s="3"/>
      <c r="H35" s="3"/>
      <c r="I35" s="14"/>
      <c r="J35" s="3"/>
      <c r="K35" s="3"/>
      <c r="L35" s="14"/>
      <c r="M35" s="3"/>
      <c r="N35" s="3"/>
      <c r="O35" s="14"/>
      <c r="P35" s="3"/>
      <c r="Q35" s="3"/>
      <c r="R35" s="28"/>
      <c r="S35" s="3"/>
      <c r="T35" s="3"/>
      <c r="U35" s="28"/>
      <c r="V35" s="3"/>
      <c r="W35" s="3"/>
      <c r="X35" s="28"/>
      <c r="Y35" s="3"/>
      <c r="Z35" s="3"/>
      <c r="AA35" s="28"/>
      <c r="AB35" s="3"/>
      <c r="AC35" s="3"/>
      <c r="AD35" s="28"/>
      <c r="AE35" s="3"/>
      <c r="AF35" s="3"/>
      <c r="AG35" s="14"/>
      <c r="AH35" s="3"/>
      <c r="AI35" s="3"/>
      <c r="AJ35" s="3"/>
      <c r="AK35" s="3"/>
      <c r="AL35" s="28"/>
      <c r="AM35" s="3"/>
      <c r="AN35" s="3"/>
      <c r="AO35" s="3"/>
      <c r="AP35" s="3"/>
      <c r="AQ35" s="3"/>
      <c r="AR35" s="3"/>
      <c r="AS35" s="3"/>
      <c r="AT35" s="3"/>
      <c r="AU35" s="14"/>
      <c r="AV35" s="14"/>
      <c r="AW35" s="4"/>
    </row>
    <row r="36" spans="1:49" ht="24.75" customHeight="1">
      <c r="A36" s="19"/>
      <c r="B36" s="15" t="s">
        <v>35</v>
      </c>
      <c r="C36" s="2"/>
      <c r="D36" s="21"/>
      <c r="E36" s="21"/>
      <c r="F36" s="36"/>
      <c r="G36" s="3"/>
      <c r="H36" s="3"/>
      <c r="I36" s="36"/>
      <c r="J36" s="3"/>
      <c r="K36" s="3"/>
      <c r="L36" s="36"/>
      <c r="M36" s="3"/>
      <c r="N36" s="3"/>
      <c r="O36" s="28" t="e">
        <f t="shared" si="2"/>
        <v>#DIV/0!</v>
      </c>
      <c r="P36" s="3"/>
      <c r="Q36" s="3"/>
      <c r="R36" s="36"/>
      <c r="S36" s="3"/>
      <c r="T36" s="3"/>
      <c r="U36" s="36"/>
      <c r="V36" s="3"/>
      <c r="W36" s="3"/>
      <c r="X36" s="36"/>
      <c r="Y36" s="3"/>
      <c r="Z36" s="3"/>
      <c r="AA36" s="28" t="e">
        <f t="shared" si="4"/>
        <v>#DIV/0!</v>
      </c>
      <c r="AB36" s="3"/>
      <c r="AC36" s="3"/>
      <c r="AD36" s="36"/>
      <c r="AE36" s="3"/>
      <c r="AF36" s="3"/>
      <c r="AG36" s="36"/>
      <c r="AH36" s="3"/>
      <c r="AI36" s="3"/>
      <c r="AJ36" s="3"/>
      <c r="AK36" s="3"/>
      <c r="AL36" s="28" t="e">
        <f t="shared" si="5"/>
        <v>#DIV/0!</v>
      </c>
      <c r="AM36" s="3"/>
      <c r="AN36" s="3"/>
      <c r="AO36" s="3"/>
      <c r="AP36" s="3"/>
      <c r="AQ36" s="3"/>
      <c r="AR36" s="3"/>
      <c r="AS36" s="3"/>
      <c r="AT36" s="3"/>
      <c r="AU36" s="14"/>
      <c r="AV36" s="14"/>
      <c r="AW36" s="4"/>
    </row>
    <row r="37" spans="1:49" ht="30" customHeight="1">
      <c r="A37" s="6">
        <v>26</v>
      </c>
      <c r="B37" s="15" t="s">
        <v>118</v>
      </c>
      <c r="C37" s="2">
        <v>1546.3</v>
      </c>
      <c r="D37" s="3">
        <v>56.8</v>
      </c>
      <c r="E37" s="3">
        <v>61.9</v>
      </c>
      <c r="F37" s="14">
        <f t="shared" si="17"/>
        <v>108.97887323943662</v>
      </c>
      <c r="G37" s="3">
        <v>62.6</v>
      </c>
      <c r="H37" s="3">
        <v>80.6</v>
      </c>
      <c r="I37" s="14">
        <f t="shared" si="18"/>
        <v>128.75399361022363</v>
      </c>
      <c r="J37" s="3">
        <f>64.2</f>
        <v>64.2</v>
      </c>
      <c r="K37" s="3">
        <v>5.8</v>
      </c>
      <c r="L37" s="14">
        <f aca="true" t="shared" si="19" ref="L37:L44">K37/J37*100</f>
        <v>9.034267912772584</v>
      </c>
      <c r="M37" s="3">
        <f t="shared" si="9"/>
        <v>183.60000000000002</v>
      </c>
      <c r="N37" s="3">
        <f t="shared" si="10"/>
        <v>148.3</v>
      </c>
      <c r="O37" s="14">
        <f t="shared" si="2"/>
        <v>80.77342047930283</v>
      </c>
      <c r="P37" s="3">
        <v>4.7</v>
      </c>
      <c r="Q37" s="3">
        <v>11.2</v>
      </c>
      <c r="R37" s="14">
        <f aca="true" t="shared" si="20" ref="R37:R44">Q37/P37*100</f>
        <v>238.29787234042553</v>
      </c>
      <c r="S37" s="3">
        <v>0</v>
      </c>
      <c r="T37" s="3">
        <v>5.2</v>
      </c>
      <c r="U37" s="14"/>
      <c r="V37" s="3">
        <v>0</v>
      </c>
      <c r="W37" s="3">
        <v>1.5</v>
      </c>
      <c r="X37" s="14"/>
      <c r="Y37" s="3">
        <f aca="true" t="shared" si="21" ref="Y37:Z44">P37+S37+V37</f>
        <v>4.7</v>
      </c>
      <c r="Z37" s="3">
        <f t="shared" si="21"/>
        <v>17.9</v>
      </c>
      <c r="AA37" s="14">
        <f t="shared" si="4"/>
        <v>380.8510638297872</v>
      </c>
      <c r="AB37" s="3">
        <v>0</v>
      </c>
      <c r="AC37" s="3">
        <v>2</v>
      </c>
      <c r="AD37" s="14"/>
      <c r="AE37" s="3"/>
      <c r="AF37" s="3"/>
      <c r="AG37" s="14" t="e">
        <f>AF37/AE37*100</f>
        <v>#DIV/0!</v>
      </c>
      <c r="AH37" s="3"/>
      <c r="AI37" s="3"/>
      <c r="AJ37" s="3">
        <f t="shared" si="12"/>
        <v>0</v>
      </c>
      <c r="AK37" s="3">
        <f t="shared" si="13"/>
        <v>2</v>
      </c>
      <c r="AL37" s="14" t="e">
        <f t="shared" si="5"/>
        <v>#DIV/0!</v>
      </c>
      <c r="AM37" s="3"/>
      <c r="AN37" s="3"/>
      <c r="AO37" s="3"/>
      <c r="AP37" s="3"/>
      <c r="AQ37" s="3"/>
      <c r="AR37" s="3"/>
      <c r="AS37" s="3">
        <f t="shared" si="14"/>
        <v>188.3</v>
      </c>
      <c r="AT37" s="3">
        <f t="shared" si="15"/>
        <v>168.20000000000002</v>
      </c>
      <c r="AU37" s="14">
        <f aca="true" t="shared" si="22" ref="AU37:AU48">AT37/AS37*100</f>
        <v>89.32554434413171</v>
      </c>
      <c r="AV37" s="14">
        <f aca="true" t="shared" si="23" ref="AV37:AV44">AS37-AT37</f>
        <v>20.099999999999994</v>
      </c>
      <c r="AW37" s="4">
        <f aca="true" t="shared" si="24" ref="AW37:AW44">C37+AS37-AT37</f>
        <v>1566.3999999999999</v>
      </c>
    </row>
    <row r="38" spans="1:49" ht="24" customHeight="1">
      <c r="A38" s="6">
        <v>27</v>
      </c>
      <c r="B38" s="1" t="s">
        <v>90</v>
      </c>
      <c r="C38" s="2">
        <f>1.3+140.8</f>
        <v>142.10000000000002</v>
      </c>
      <c r="D38" s="3">
        <v>154</v>
      </c>
      <c r="E38" s="3">
        <v>132.9</v>
      </c>
      <c r="F38" s="14">
        <f t="shared" si="17"/>
        <v>86.2987012987013</v>
      </c>
      <c r="G38" s="3">
        <v>147.2</v>
      </c>
      <c r="H38" s="3">
        <v>139.2</v>
      </c>
      <c r="I38" s="14">
        <f t="shared" si="18"/>
        <v>94.56521739130434</v>
      </c>
      <c r="J38" s="3">
        <v>142.1</v>
      </c>
      <c r="K38" s="3">
        <v>160.8</v>
      </c>
      <c r="L38" s="14">
        <f t="shared" si="19"/>
        <v>113.1597466572836</v>
      </c>
      <c r="M38" s="3">
        <f t="shared" si="9"/>
        <v>443.29999999999995</v>
      </c>
      <c r="N38" s="3">
        <f t="shared" si="10"/>
        <v>432.90000000000003</v>
      </c>
      <c r="O38" s="14">
        <f t="shared" si="2"/>
        <v>97.65395894428154</v>
      </c>
      <c r="P38" s="3">
        <v>12</v>
      </c>
      <c r="Q38" s="3">
        <v>102.2</v>
      </c>
      <c r="R38" s="14">
        <f t="shared" si="20"/>
        <v>851.6666666666667</v>
      </c>
      <c r="S38" s="3">
        <v>0</v>
      </c>
      <c r="T38" s="3">
        <v>17.4</v>
      </c>
      <c r="U38" s="14"/>
      <c r="V38" s="3">
        <v>0</v>
      </c>
      <c r="W38" s="3">
        <v>9.4</v>
      </c>
      <c r="X38" s="14"/>
      <c r="Y38" s="3">
        <f t="shared" si="21"/>
        <v>12</v>
      </c>
      <c r="Z38" s="3">
        <f t="shared" si="21"/>
        <v>129</v>
      </c>
      <c r="AA38" s="14">
        <f t="shared" si="4"/>
        <v>1075</v>
      </c>
      <c r="AB38" s="3">
        <v>0</v>
      </c>
      <c r="AC38" s="3">
        <v>25.3</v>
      </c>
      <c r="AD38" s="14"/>
      <c r="AE38" s="3"/>
      <c r="AF38" s="3"/>
      <c r="AG38" s="14">
        <v>0</v>
      </c>
      <c r="AH38" s="3"/>
      <c r="AI38" s="3"/>
      <c r="AJ38" s="3">
        <f t="shared" si="12"/>
        <v>0</v>
      </c>
      <c r="AK38" s="3">
        <f t="shared" si="13"/>
        <v>25.3</v>
      </c>
      <c r="AL38" s="14" t="e">
        <f t="shared" si="5"/>
        <v>#DIV/0!</v>
      </c>
      <c r="AM38" s="3"/>
      <c r="AN38" s="3"/>
      <c r="AO38" s="3"/>
      <c r="AP38" s="3"/>
      <c r="AQ38" s="3"/>
      <c r="AR38" s="3"/>
      <c r="AS38" s="3">
        <f t="shared" si="14"/>
        <v>455.29999999999995</v>
      </c>
      <c r="AT38" s="3">
        <f t="shared" si="15"/>
        <v>587.2</v>
      </c>
      <c r="AU38" s="14">
        <f t="shared" si="22"/>
        <v>128.96990994948388</v>
      </c>
      <c r="AV38" s="14">
        <f t="shared" si="23"/>
        <v>-131.9000000000001</v>
      </c>
      <c r="AW38" s="4">
        <f t="shared" si="24"/>
        <v>10.199999999999932</v>
      </c>
    </row>
    <row r="39" spans="1:49" ht="23.25" customHeight="1">
      <c r="A39" s="6">
        <v>28</v>
      </c>
      <c r="B39" s="15" t="s">
        <v>119</v>
      </c>
      <c r="C39" s="2">
        <v>767.8</v>
      </c>
      <c r="D39" s="3">
        <v>632.3</v>
      </c>
      <c r="E39" s="3">
        <v>327.6</v>
      </c>
      <c r="F39" s="14">
        <f t="shared" si="17"/>
        <v>51.81084928040488</v>
      </c>
      <c r="G39" s="3">
        <v>576</v>
      </c>
      <c r="H39" s="3">
        <v>639.6</v>
      </c>
      <c r="I39" s="14">
        <f t="shared" si="18"/>
        <v>111.04166666666666</v>
      </c>
      <c r="J39" s="3">
        <v>536.2</v>
      </c>
      <c r="K39" s="3">
        <v>600.3</v>
      </c>
      <c r="L39" s="14">
        <f t="shared" si="19"/>
        <v>111.9544945915703</v>
      </c>
      <c r="M39" s="3">
        <f t="shared" si="9"/>
        <v>1744.5</v>
      </c>
      <c r="N39" s="3">
        <f t="shared" si="10"/>
        <v>1567.5</v>
      </c>
      <c r="O39" s="14">
        <f t="shared" si="2"/>
        <v>89.85382631126397</v>
      </c>
      <c r="P39" s="3">
        <f>72.2</f>
        <v>72.2</v>
      </c>
      <c r="Q39" s="3">
        <v>508.5</v>
      </c>
      <c r="R39" s="14">
        <f t="shared" si="20"/>
        <v>704.2936288088642</v>
      </c>
      <c r="S39" s="3">
        <v>0</v>
      </c>
      <c r="T39" s="3">
        <v>68</v>
      </c>
      <c r="U39" s="14"/>
      <c r="V39" s="3">
        <v>0</v>
      </c>
      <c r="W39" s="3">
        <v>3.9</v>
      </c>
      <c r="X39" s="14"/>
      <c r="Y39" s="3">
        <f t="shared" si="21"/>
        <v>72.2</v>
      </c>
      <c r="Z39" s="3">
        <f t="shared" si="21"/>
        <v>580.4</v>
      </c>
      <c r="AA39" s="14">
        <f t="shared" si="4"/>
        <v>803.8781163434903</v>
      </c>
      <c r="AB39" s="3">
        <v>0</v>
      </c>
      <c r="AC39" s="3">
        <v>13.8</v>
      </c>
      <c r="AD39" s="14"/>
      <c r="AE39" s="3"/>
      <c r="AF39" s="3"/>
      <c r="AG39" s="14" t="e">
        <f aca="true" t="shared" si="25" ref="AG39:AG44">AF39/AE39*100</f>
        <v>#DIV/0!</v>
      </c>
      <c r="AH39" s="3"/>
      <c r="AI39" s="3"/>
      <c r="AJ39" s="3">
        <f t="shared" si="12"/>
        <v>0</v>
      </c>
      <c r="AK39" s="3">
        <f t="shared" si="13"/>
        <v>13.8</v>
      </c>
      <c r="AL39" s="14" t="e">
        <f t="shared" si="5"/>
        <v>#DIV/0!</v>
      </c>
      <c r="AM39" s="3"/>
      <c r="AN39" s="3"/>
      <c r="AO39" s="3"/>
      <c r="AP39" s="3"/>
      <c r="AQ39" s="3"/>
      <c r="AR39" s="3"/>
      <c r="AS39" s="3">
        <f t="shared" si="14"/>
        <v>1816.7</v>
      </c>
      <c r="AT39" s="3">
        <f t="shared" si="15"/>
        <v>2161.7000000000003</v>
      </c>
      <c r="AU39" s="14">
        <f t="shared" si="22"/>
        <v>118.99047723894975</v>
      </c>
      <c r="AV39" s="14">
        <f t="shared" si="23"/>
        <v>-345.0000000000002</v>
      </c>
      <c r="AW39" s="4">
        <f t="shared" si="24"/>
        <v>422.7999999999997</v>
      </c>
    </row>
    <row r="40" spans="1:49" ht="23.25" customHeight="1">
      <c r="A40" s="6">
        <v>29</v>
      </c>
      <c r="B40" s="15" t="s">
        <v>120</v>
      </c>
      <c r="C40" s="2">
        <f>103.2+564.4</f>
        <v>667.6</v>
      </c>
      <c r="D40" s="3">
        <v>754.1</v>
      </c>
      <c r="E40" s="3">
        <v>516.7</v>
      </c>
      <c r="F40" s="14">
        <f t="shared" si="17"/>
        <v>68.5187640896433</v>
      </c>
      <c r="G40" s="3">
        <v>683.2</v>
      </c>
      <c r="H40" s="3">
        <v>655.3</v>
      </c>
      <c r="I40" s="14">
        <f t="shared" si="18"/>
        <v>95.9162763466042</v>
      </c>
      <c r="J40" s="3">
        <v>763.9</v>
      </c>
      <c r="K40" s="3">
        <v>597.1</v>
      </c>
      <c r="L40" s="14">
        <f t="shared" si="19"/>
        <v>78.16468124100014</v>
      </c>
      <c r="M40" s="3">
        <f t="shared" si="9"/>
        <v>2201.2000000000003</v>
      </c>
      <c r="N40" s="3">
        <f t="shared" si="10"/>
        <v>1769.1</v>
      </c>
      <c r="O40" s="14">
        <f t="shared" si="2"/>
        <v>80.3697982918408</v>
      </c>
      <c r="P40" s="3">
        <v>70.5</v>
      </c>
      <c r="Q40" s="3">
        <v>573.5</v>
      </c>
      <c r="R40" s="14">
        <f t="shared" si="20"/>
        <v>813.4751773049645</v>
      </c>
      <c r="S40" s="3">
        <v>0</v>
      </c>
      <c r="T40" s="3">
        <v>275.2</v>
      </c>
      <c r="U40" s="14"/>
      <c r="V40" s="3">
        <v>0</v>
      </c>
      <c r="W40" s="3">
        <v>86</v>
      </c>
      <c r="X40" s="14"/>
      <c r="Y40" s="3">
        <f t="shared" si="21"/>
        <v>70.5</v>
      </c>
      <c r="Z40" s="3">
        <f t="shared" si="21"/>
        <v>934.7</v>
      </c>
      <c r="AA40" s="14">
        <f t="shared" si="4"/>
        <v>1325.8156028368794</v>
      </c>
      <c r="AB40" s="3">
        <v>0</v>
      </c>
      <c r="AC40" s="3">
        <v>49.8</v>
      </c>
      <c r="AD40" s="14"/>
      <c r="AE40" s="3"/>
      <c r="AF40" s="3"/>
      <c r="AG40" s="14" t="e">
        <f t="shared" si="25"/>
        <v>#DIV/0!</v>
      </c>
      <c r="AH40" s="3"/>
      <c r="AI40" s="3"/>
      <c r="AJ40" s="3">
        <f t="shared" si="12"/>
        <v>0</v>
      </c>
      <c r="AK40" s="3">
        <f t="shared" si="13"/>
        <v>49.8</v>
      </c>
      <c r="AL40" s="14" t="e">
        <f t="shared" si="5"/>
        <v>#DIV/0!</v>
      </c>
      <c r="AM40" s="3"/>
      <c r="AN40" s="3"/>
      <c r="AO40" s="3"/>
      <c r="AP40" s="3"/>
      <c r="AQ40" s="3"/>
      <c r="AR40" s="3"/>
      <c r="AS40" s="3">
        <f t="shared" si="14"/>
        <v>2271.7000000000003</v>
      </c>
      <c r="AT40" s="3">
        <f t="shared" si="15"/>
        <v>2753.6000000000004</v>
      </c>
      <c r="AU40" s="14">
        <f t="shared" si="22"/>
        <v>121.21318836113923</v>
      </c>
      <c r="AV40" s="14">
        <f t="shared" si="23"/>
        <v>-481.9000000000001</v>
      </c>
      <c r="AW40" s="4">
        <f t="shared" si="24"/>
        <v>185.69999999999982</v>
      </c>
    </row>
    <row r="41" spans="1:49" ht="27.75" customHeight="1">
      <c r="A41" s="6">
        <v>30</v>
      </c>
      <c r="B41" s="15" t="s">
        <v>121</v>
      </c>
      <c r="C41" s="2">
        <v>1018.9</v>
      </c>
      <c r="D41" s="3">
        <v>1677.6</v>
      </c>
      <c r="E41" s="3">
        <v>1080.3</v>
      </c>
      <c r="F41" s="119">
        <f t="shared" si="17"/>
        <v>64.39556509298998</v>
      </c>
      <c r="G41" s="3">
        <v>1615</v>
      </c>
      <c r="H41" s="3">
        <v>1125.6</v>
      </c>
      <c r="I41" s="14">
        <f t="shared" si="18"/>
        <v>69.69659442724458</v>
      </c>
      <c r="J41" s="3">
        <v>1463.4</v>
      </c>
      <c r="K41" s="3">
        <v>1059.2</v>
      </c>
      <c r="L41" s="14">
        <f t="shared" si="19"/>
        <v>72.37939046057127</v>
      </c>
      <c r="M41" s="3">
        <f t="shared" si="9"/>
        <v>4756</v>
      </c>
      <c r="N41" s="3">
        <f t="shared" si="10"/>
        <v>3265.0999999999995</v>
      </c>
      <c r="O41" s="14">
        <f t="shared" si="2"/>
        <v>68.65222876366694</v>
      </c>
      <c r="P41" s="3">
        <v>159</v>
      </c>
      <c r="Q41" s="3">
        <v>740.7</v>
      </c>
      <c r="R41" s="14">
        <f t="shared" si="20"/>
        <v>465.84905660377365</v>
      </c>
      <c r="S41" s="3">
        <v>-8.8</v>
      </c>
      <c r="T41" s="3">
        <v>198</v>
      </c>
      <c r="U41" s="28">
        <f>T41/S41*100</f>
        <v>-2249.9999999999995</v>
      </c>
      <c r="V41" s="3">
        <v>0</v>
      </c>
      <c r="W41" s="3">
        <v>497.2</v>
      </c>
      <c r="X41" s="28" t="e">
        <f>W41/V41*100</f>
        <v>#DIV/0!</v>
      </c>
      <c r="Y41" s="3">
        <f t="shared" si="21"/>
        <v>150.2</v>
      </c>
      <c r="Z41" s="3">
        <f t="shared" si="21"/>
        <v>1435.9</v>
      </c>
      <c r="AA41" s="28">
        <f t="shared" si="4"/>
        <v>955.9920106524635</v>
      </c>
      <c r="AB41" s="3">
        <v>0</v>
      </c>
      <c r="AC41" s="3">
        <v>134.3</v>
      </c>
      <c r="AD41" s="28" t="e">
        <f>AC41/AB41*100</f>
        <v>#DIV/0!</v>
      </c>
      <c r="AE41" s="3"/>
      <c r="AF41" s="3"/>
      <c r="AG41" s="14" t="e">
        <f t="shared" si="25"/>
        <v>#DIV/0!</v>
      </c>
      <c r="AH41" s="3"/>
      <c r="AI41" s="3"/>
      <c r="AJ41" s="3">
        <f t="shared" si="12"/>
        <v>0</v>
      </c>
      <c r="AK41" s="3">
        <f t="shared" si="13"/>
        <v>134.3</v>
      </c>
      <c r="AL41" s="28" t="e">
        <f t="shared" si="5"/>
        <v>#DIV/0!</v>
      </c>
      <c r="AM41" s="3"/>
      <c r="AN41" s="3"/>
      <c r="AO41" s="3"/>
      <c r="AP41" s="3"/>
      <c r="AQ41" s="3"/>
      <c r="AR41" s="3"/>
      <c r="AS41" s="3">
        <f t="shared" si="14"/>
        <v>4906.2</v>
      </c>
      <c r="AT41" s="3">
        <f t="shared" si="15"/>
        <v>4835.3</v>
      </c>
      <c r="AU41" s="119">
        <f t="shared" si="22"/>
        <v>98.55488973136033</v>
      </c>
      <c r="AV41" s="14">
        <f t="shared" si="23"/>
        <v>70.89999999999964</v>
      </c>
      <c r="AW41" s="4">
        <f t="shared" si="24"/>
        <v>1089.7999999999993</v>
      </c>
    </row>
    <row r="42" spans="1:49" ht="23.25" customHeight="1">
      <c r="A42" s="6">
        <v>31</v>
      </c>
      <c r="B42" s="15" t="s">
        <v>122</v>
      </c>
      <c r="C42" s="2">
        <v>2</v>
      </c>
      <c r="D42" s="3"/>
      <c r="E42" s="3"/>
      <c r="F42" s="28" t="e">
        <f t="shared" si="17"/>
        <v>#DIV/0!</v>
      </c>
      <c r="G42" s="3"/>
      <c r="H42" s="3"/>
      <c r="I42" s="28" t="e">
        <f t="shared" si="18"/>
        <v>#DIV/0!</v>
      </c>
      <c r="J42" s="3"/>
      <c r="K42" s="3"/>
      <c r="L42" s="28" t="e">
        <f t="shared" si="19"/>
        <v>#DIV/0!</v>
      </c>
      <c r="M42" s="3"/>
      <c r="N42" s="3"/>
      <c r="O42" s="14"/>
      <c r="P42" s="3"/>
      <c r="Q42" s="3"/>
      <c r="R42" s="28" t="e">
        <f t="shared" si="20"/>
        <v>#DIV/0!</v>
      </c>
      <c r="S42" s="3"/>
      <c r="T42" s="3"/>
      <c r="U42" s="28" t="e">
        <f>T42/S42*100</f>
        <v>#DIV/0!</v>
      </c>
      <c r="V42" s="3"/>
      <c r="W42" s="3"/>
      <c r="X42" s="28" t="e">
        <f>W42/V42*100</f>
        <v>#DIV/0!</v>
      </c>
      <c r="Y42" s="3">
        <f t="shared" si="21"/>
        <v>0</v>
      </c>
      <c r="Z42" s="3">
        <f t="shared" si="21"/>
        <v>0</v>
      </c>
      <c r="AA42" s="28" t="e">
        <f t="shared" si="4"/>
        <v>#DIV/0!</v>
      </c>
      <c r="AB42" s="3"/>
      <c r="AC42" s="3"/>
      <c r="AD42" s="28" t="e">
        <f>AC42/AB42*100</f>
        <v>#DIV/0!</v>
      </c>
      <c r="AE42" s="3"/>
      <c r="AF42" s="3"/>
      <c r="AG42" s="28" t="e">
        <f t="shared" si="25"/>
        <v>#DIV/0!</v>
      </c>
      <c r="AH42" s="3"/>
      <c r="AI42" s="3"/>
      <c r="AJ42" s="3">
        <f t="shared" si="12"/>
        <v>0</v>
      </c>
      <c r="AK42" s="3">
        <f t="shared" si="13"/>
        <v>0</v>
      </c>
      <c r="AL42" s="28" t="e">
        <f t="shared" si="5"/>
        <v>#DIV/0!</v>
      </c>
      <c r="AM42" s="3"/>
      <c r="AN42" s="3"/>
      <c r="AO42" s="3"/>
      <c r="AP42" s="3"/>
      <c r="AQ42" s="3"/>
      <c r="AR42" s="3"/>
      <c r="AS42" s="3"/>
      <c r="AT42" s="3"/>
      <c r="AU42" s="28" t="e">
        <f t="shared" si="22"/>
        <v>#DIV/0!</v>
      </c>
      <c r="AV42" s="14">
        <f t="shared" si="23"/>
        <v>0</v>
      </c>
      <c r="AW42" s="4">
        <f t="shared" si="24"/>
        <v>2</v>
      </c>
    </row>
    <row r="43" spans="1:49" ht="28.5" customHeight="1">
      <c r="A43" s="6">
        <v>32</v>
      </c>
      <c r="B43" s="1" t="s">
        <v>123</v>
      </c>
      <c r="C43" s="2">
        <v>549</v>
      </c>
      <c r="D43" s="3">
        <v>349.8</v>
      </c>
      <c r="E43" s="3">
        <v>251.6</v>
      </c>
      <c r="F43" s="14">
        <f t="shared" si="17"/>
        <v>71.92681532304174</v>
      </c>
      <c r="G43" s="3">
        <v>342.1</v>
      </c>
      <c r="H43" s="3">
        <v>343.5</v>
      </c>
      <c r="I43" s="14">
        <f t="shared" si="18"/>
        <v>100.40923706518561</v>
      </c>
      <c r="J43" s="3">
        <v>329.1</v>
      </c>
      <c r="K43" s="3">
        <v>317.7</v>
      </c>
      <c r="L43" s="14">
        <f t="shared" si="19"/>
        <v>96.5360072926162</v>
      </c>
      <c r="M43" s="3">
        <f t="shared" si="9"/>
        <v>1021.0000000000001</v>
      </c>
      <c r="N43" s="3">
        <f t="shared" si="10"/>
        <v>912.8</v>
      </c>
      <c r="O43" s="14">
        <f t="shared" si="2"/>
        <v>89.40254652301664</v>
      </c>
      <c r="P43" s="3">
        <v>15</v>
      </c>
      <c r="Q43" s="3">
        <v>293.9</v>
      </c>
      <c r="R43" s="14">
        <f t="shared" si="20"/>
        <v>1959.333333333333</v>
      </c>
      <c r="S43" s="3">
        <v>0</v>
      </c>
      <c r="T43" s="3">
        <v>59</v>
      </c>
      <c r="U43" s="28" t="e">
        <f>T43/S43*100</f>
        <v>#DIV/0!</v>
      </c>
      <c r="V43" s="3">
        <v>0</v>
      </c>
      <c r="W43" s="3">
        <v>10.4</v>
      </c>
      <c r="X43" s="28" t="e">
        <f>W43/V43*100</f>
        <v>#DIV/0!</v>
      </c>
      <c r="Y43" s="3">
        <f t="shared" si="21"/>
        <v>15</v>
      </c>
      <c r="Z43" s="3">
        <f t="shared" si="21"/>
        <v>363.29999999999995</v>
      </c>
      <c r="AA43" s="28">
        <f t="shared" si="4"/>
        <v>2421.9999999999995</v>
      </c>
      <c r="AB43" s="3">
        <v>0</v>
      </c>
      <c r="AC43" s="3">
        <v>5.2</v>
      </c>
      <c r="AD43" s="28" t="e">
        <f>AC43/AB43*100</f>
        <v>#DIV/0!</v>
      </c>
      <c r="AE43" s="3"/>
      <c r="AF43" s="3"/>
      <c r="AG43" s="28" t="e">
        <f t="shared" si="25"/>
        <v>#DIV/0!</v>
      </c>
      <c r="AH43" s="3"/>
      <c r="AI43" s="3"/>
      <c r="AJ43" s="3">
        <f t="shared" si="12"/>
        <v>0</v>
      </c>
      <c r="AK43" s="3">
        <f t="shared" si="13"/>
        <v>5.2</v>
      </c>
      <c r="AL43" s="28" t="e">
        <f t="shared" si="5"/>
        <v>#DIV/0!</v>
      </c>
      <c r="AM43" s="3"/>
      <c r="AN43" s="3"/>
      <c r="AO43" s="3"/>
      <c r="AP43" s="3"/>
      <c r="AQ43" s="3"/>
      <c r="AR43" s="3"/>
      <c r="AS43" s="3">
        <f t="shared" si="14"/>
        <v>1036</v>
      </c>
      <c r="AT43" s="3">
        <f t="shared" si="15"/>
        <v>1281.3</v>
      </c>
      <c r="AU43" s="14">
        <f t="shared" si="22"/>
        <v>123.67760617760617</v>
      </c>
      <c r="AV43" s="14">
        <f t="shared" si="23"/>
        <v>-245.29999999999995</v>
      </c>
      <c r="AW43" s="4">
        <f t="shared" si="24"/>
        <v>303.70000000000005</v>
      </c>
    </row>
    <row r="44" spans="1:49" ht="28.5" customHeight="1">
      <c r="A44" s="6">
        <v>33</v>
      </c>
      <c r="B44" s="15" t="s">
        <v>124</v>
      </c>
      <c r="C44" s="2">
        <v>674</v>
      </c>
      <c r="D44" s="3">
        <v>672.5</v>
      </c>
      <c r="E44" s="3">
        <v>459.9</v>
      </c>
      <c r="F44" s="14">
        <f t="shared" si="17"/>
        <v>68.38661710037175</v>
      </c>
      <c r="G44" s="3">
        <v>645.3</v>
      </c>
      <c r="H44" s="3">
        <v>627.2</v>
      </c>
      <c r="I44" s="14">
        <f t="shared" si="18"/>
        <v>97.19510305284366</v>
      </c>
      <c r="J44" s="3">
        <v>600.8</v>
      </c>
      <c r="K44" s="3">
        <v>623.1</v>
      </c>
      <c r="L44" s="14">
        <f t="shared" si="19"/>
        <v>103.71171770972039</v>
      </c>
      <c r="M44" s="3">
        <f t="shared" si="9"/>
        <v>1918.6</v>
      </c>
      <c r="N44" s="3">
        <f t="shared" si="10"/>
        <v>1710.1999999999998</v>
      </c>
      <c r="O44" s="14">
        <f t="shared" si="2"/>
        <v>89.13791306160742</v>
      </c>
      <c r="P44" s="3">
        <v>95.3</v>
      </c>
      <c r="Q44" s="3">
        <v>498.7</v>
      </c>
      <c r="R44" s="14">
        <f t="shared" si="20"/>
        <v>523.2948583420776</v>
      </c>
      <c r="S44" s="3">
        <v>46.2</v>
      </c>
      <c r="T44" s="3">
        <v>243.1</v>
      </c>
      <c r="U44" s="14"/>
      <c r="V44" s="3">
        <v>49.5</v>
      </c>
      <c r="W44" s="3">
        <v>83.7</v>
      </c>
      <c r="X44" s="14"/>
      <c r="Y44" s="3">
        <f t="shared" si="21"/>
        <v>191</v>
      </c>
      <c r="Z44" s="3">
        <f t="shared" si="21"/>
        <v>825.5</v>
      </c>
      <c r="AA44" s="14">
        <f t="shared" si="4"/>
        <v>432.1989528795812</v>
      </c>
      <c r="AB44" s="3">
        <v>49.8</v>
      </c>
      <c r="AC44" s="3">
        <v>80.6</v>
      </c>
      <c r="AD44" s="14"/>
      <c r="AE44" s="3"/>
      <c r="AF44" s="3"/>
      <c r="AG44" s="28" t="e">
        <f t="shared" si="25"/>
        <v>#DIV/0!</v>
      </c>
      <c r="AH44" s="3"/>
      <c r="AI44" s="3"/>
      <c r="AJ44" s="3">
        <f t="shared" si="12"/>
        <v>49.8</v>
      </c>
      <c r="AK44" s="3">
        <f t="shared" si="13"/>
        <v>80.6</v>
      </c>
      <c r="AL44" s="14">
        <f t="shared" si="5"/>
        <v>161.84738955823292</v>
      </c>
      <c r="AM44" s="3"/>
      <c r="AN44" s="3"/>
      <c r="AO44" s="3"/>
      <c r="AP44" s="3"/>
      <c r="AQ44" s="3"/>
      <c r="AR44" s="3"/>
      <c r="AS44" s="3">
        <f t="shared" si="14"/>
        <v>2159.4</v>
      </c>
      <c r="AT44" s="3">
        <f t="shared" si="15"/>
        <v>2616.2999999999997</v>
      </c>
      <c r="AU44" s="14">
        <f t="shared" si="22"/>
        <v>121.15865518199497</v>
      </c>
      <c r="AV44" s="14">
        <f t="shared" si="23"/>
        <v>-456.89999999999964</v>
      </c>
      <c r="AW44" s="4">
        <f t="shared" si="24"/>
        <v>217.10000000000036</v>
      </c>
    </row>
    <row r="45" spans="1:49" s="8" customFormat="1" ht="23.25" customHeight="1">
      <c r="A45" s="38">
        <v>34</v>
      </c>
      <c r="B45" s="16" t="s">
        <v>40</v>
      </c>
      <c r="C45" s="48">
        <f>C46+C47</f>
        <v>136947.5</v>
      </c>
      <c r="D45" s="48">
        <f>D46+D47</f>
        <v>89220.6</v>
      </c>
      <c r="E45" s="48">
        <f>E46+E47</f>
        <v>63284</v>
      </c>
      <c r="F45" s="14">
        <f t="shared" si="17"/>
        <v>70.92980769015227</v>
      </c>
      <c r="G45" s="48">
        <f>G46+G47</f>
        <v>90466.7</v>
      </c>
      <c r="H45" s="48">
        <f>H46+H47</f>
        <v>92257.6</v>
      </c>
      <c r="I45" s="14">
        <f>H45/G45*100</f>
        <v>101.97962344155364</v>
      </c>
      <c r="J45" s="48">
        <f>J46+J47</f>
        <v>96576.3</v>
      </c>
      <c r="K45" s="48">
        <f>K46+K47</f>
        <v>63891.5</v>
      </c>
      <c r="L45" s="14">
        <f>K45/J45*100</f>
        <v>66.15650009370829</v>
      </c>
      <c r="M45" s="3">
        <f>M46+M47</f>
        <v>276263.6</v>
      </c>
      <c r="N45" s="3">
        <f>N46+N47</f>
        <v>219433.1</v>
      </c>
      <c r="O45" s="14">
        <f t="shared" si="2"/>
        <v>79.42888603493186</v>
      </c>
      <c r="P45" s="48">
        <f>P46+P47</f>
        <v>40200.7</v>
      </c>
      <c r="Q45" s="48">
        <f>Q46+Q47</f>
        <v>65514.6</v>
      </c>
      <c r="R45" s="14">
        <f>Q45/P45*100</f>
        <v>162.96880402580055</v>
      </c>
      <c r="S45" s="48">
        <f>S46+S47</f>
        <v>13970.3</v>
      </c>
      <c r="T45" s="48">
        <f>T46+T47</f>
        <v>51930.7</v>
      </c>
      <c r="U45" s="14">
        <f>T45/S45*100</f>
        <v>371.72215342548117</v>
      </c>
      <c r="V45" s="48">
        <f>V46+V47</f>
        <v>13856.1</v>
      </c>
      <c r="W45" s="48">
        <f>W46+W47</f>
        <v>21558.6</v>
      </c>
      <c r="X45" s="14">
        <f>W45/V45*100</f>
        <v>155.58923506614414</v>
      </c>
      <c r="Y45" s="3">
        <f>Y46+Y47</f>
        <v>68027.1</v>
      </c>
      <c r="Z45" s="3">
        <f>Z46+Z47</f>
        <v>139003.9</v>
      </c>
      <c r="AA45" s="14">
        <f t="shared" si="4"/>
        <v>204.33606606778767</v>
      </c>
      <c r="AB45" s="48">
        <f>AB46+AB47</f>
        <v>12593</v>
      </c>
      <c r="AC45" s="48">
        <f>AC46+AC47</f>
        <v>17497.7</v>
      </c>
      <c r="AD45" s="14">
        <f>AC45/AB45*100</f>
        <v>138.94782815850076</v>
      </c>
      <c r="AE45" s="48">
        <f>AE46+AE47</f>
        <v>0</v>
      </c>
      <c r="AF45" s="48">
        <f>AF46+AF47</f>
        <v>0</v>
      </c>
      <c r="AG45" s="14" t="e">
        <f>AF45/AE45*100</f>
        <v>#DIV/0!</v>
      </c>
      <c r="AH45" s="48">
        <f>AH46+AH47</f>
        <v>0</v>
      </c>
      <c r="AI45" s="48">
        <f>AI46+AI47</f>
        <v>0</v>
      </c>
      <c r="AJ45" s="115">
        <f>AJ46+AJ47</f>
        <v>12593</v>
      </c>
      <c r="AK45" s="115">
        <f>AK46+AK47</f>
        <v>17497.7</v>
      </c>
      <c r="AL45" s="115">
        <f t="shared" si="5"/>
        <v>138.94782815850076</v>
      </c>
      <c r="AM45" s="48">
        <f aca="true" t="shared" si="26" ref="AM45:AT45">AM46+AM47</f>
        <v>0</v>
      </c>
      <c r="AN45" s="48">
        <f t="shared" si="26"/>
        <v>0</v>
      </c>
      <c r="AO45" s="48">
        <f t="shared" si="26"/>
        <v>0</v>
      </c>
      <c r="AP45" s="48">
        <f t="shared" si="26"/>
        <v>0</v>
      </c>
      <c r="AQ45" s="48">
        <f>AQ46+AQ47</f>
        <v>0</v>
      </c>
      <c r="AR45" s="48">
        <f>AR46+AR47</f>
        <v>0</v>
      </c>
      <c r="AS45" s="48">
        <f t="shared" si="26"/>
        <v>356883.7</v>
      </c>
      <c r="AT45" s="48">
        <f t="shared" si="26"/>
        <v>375934.7</v>
      </c>
      <c r="AU45" s="14">
        <f t="shared" si="22"/>
        <v>105.33815357776217</v>
      </c>
      <c r="AV45" s="49">
        <f>AV46+AV47</f>
        <v>-19051</v>
      </c>
      <c r="AW45" s="49">
        <f>AW46+AW47</f>
        <v>117896.5</v>
      </c>
    </row>
    <row r="46" spans="1:49" s="8" customFormat="1" ht="23.25" customHeight="1">
      <c r="A46" s="38"/>
      <c r="B46" s="1" t="s">
        <v>41</v>
      </c>
      <c r="C46" s="2">
        <v>135959</v>
      </c>
      <c r="D46" s="3">
        <v>87599</v>
      </c>
      <c r="E46" s="3">
        <v>62627</v>
      </c>
      <c r="F46" s="14">
        <f t="shared" si="17"/>
        <v>71.49282526056233</v>
      </c>
      <c r="G46" s="3">
        <v>88947</v>
      </c>
      <c r="H46" s="3">
        <v>91124</v>
      </c>
      <c r="I46" s="14">
        <f t="shared" si="18"/>
        <v>102.44752493057663</v>
      </c>
      <c r="J46" s="3">
        <v>95048</v>
      </c>
      <c r="K46" s="3">
        <v>62201</v>
      </c>
      <c r="L46" s="14">
        <f>K46/J46*100</f>
        <v>65.44167157646663</v>
      </c>
      <c r="M46" s="3">
        <f t="shared" si="9"/>
        <v>271594</v>
      </c>
      <c r="N46" s="3">
        <f t="shared" si="10"/>
        <v>215952</v>
      </c>
      <c r="O46" s="14">
        <f t="shared" si="2"/>
        <v>79.51280219739758</v>
      </c>
      <c r="P46" s="3">
        <v>39467</v>
      </c>
      <c r="Q46" s="3">
        <v>65043</v>
      </c>
      <c r="R46" s="14">
        <f>Q46/P46*100</f>
        <v>164.80350672713914</v>
      </c>
      <c r="S46" s="3">
        <v>13642</v>
      </c>
      <c r="T46" s="3">
        <v>50046</v>
      </c>
      <c r="U46" s="14">
        <f>T46/S46*100</f>
        <v>366.8523676880223</v>
      </c>
      <c r="V46" s="3">
        <v>13543</v>
      </c>
      <c r="W46" s="3">
        <v>21446</v>
      </c>
      <c r="X46" s="14">
        <f>W46/V46*100</f>
        <v>158.35486967437052</v>
      </c>
      <c r="Y46" s="3">
        <f>P46+S46+V46</f>
        <v>66652</v>
      </c>
      <c r="Z46" s="3">
        <f>Q46+T46+W46</f>
        <v>136535</v>
      </c>
      <c r="AA46" s="14">
        <f t="shared" si="4"/>
        <v>204.84756646462222</v>
      </c>
      <c r="AB46" s="3">
        <v>12329</v>
      </c>
      <c r="AC46" s="3">
        <v>17006</v>
      </c>
      <c r="AD46" s="14">
        <f>AC46/AB46*100</f>
        <v>137.93495011760888</v>
      </c>
      <c r="AE46" s="44"/>
      <c r="AF46" s="44"/>
      <c r="AG46" s="14" t="e">
        <f>AF46/AE46*100</f>
        <v>#DIV/0!</v>
      </c>
      <c r="AH46" s="44"/>
      <c r="AI46" s="44"/>
      <c r="AJ46" s="3">
        <f>AB46+AE46+AH46</f>
        <v>12329</v>
      </c>
      <c r="AK46" s="3">
        <f>AC46+AF46+AI46</f>
        <v>17006</v>
      </c>
      <c r="AL46" s="14">
        <f t="shared" si="5"/>
        <v>137.93495011760888</v>
      </c>
      <c r="AM46" s="44"/>
      <c r="AN46" s="44"/>
      <c r="AO46" s="44"/>
      <c r="AP46" s="44"/>
      <c r="AQ46" s="44"/>
      <c r="AR46" s="44"/>
      <c r="AS46" s="3">
        <f>M46+Y46+AJ46+AM46+AO46+AQ46</f>
        <v>350575</v>
      </c>
      <c r="AT46" s="3">
        <f>N46+Z46+AK46+AN46+AP46+AR46</f>
        <v>369493</v>
      </c>
      <c r="AU46" s="14">
        <f t="shared" si="22"/>
        <v>105.3962775440348</v>
      </c>
      <c r="AV46" s="14">
        <f>AS46-AT46</f>
        <v>-18918</v>
      </c>
      <c r="AW46" s="4">
        <f>C46+AS46-AT46</f>
        <v>117041</v>
      </c>
    </row>
    <row r="47" spans="1:49" s="8" customFormat="1" ht="24.75" customHeight="1">
      <c r="A47" s="38"/>
      <c r="B47" s="1" t="s">
        <v>35</v>
      </c>
      <c r="C47" s="2">
        <v>988.5</v>
      </c>
      <c r="D47" s="3">
        <v>1621.6</v>
      </c>
      <c r="E47" s="3">
        <v>657</v>
      </c>
      <c r="F47" s="14">
        <f>E47/D47*100</f>
        <v>40.51554020720277</v>
      </c>
      <c r="G47" s="44">
        <v>1519.7</v>
      </c>
      <c r="H47" s="44">
        <v>1133.6</v>
      </c>
      <c r="I47" s="14">
        <f t="shared" si="18"/>
        <v>74.59366980325063</v>
      </c>
      <c r="J47" s="44">
        <v>1528.3</v>
      </c>
      <c r="K47" s="44">
        <v>1690.5</v>
      </c>
      <c r="L47" s="14">
        <f>K47/J47*100</f>
        <v>110.61309952234508</v>
      </c>
      <c r="M47" s="3">
        <f t="shared" si="9"/>
        <v>4669.6</v>
      </c>
      <c r="N47" s="3">
        <f t="shared" si="10"/>
        <v>3481.1</v>
      </c>
      <c r="O47" s="14">
        <f t="shared" si="2"/>
        <v>74.54814116840842</v>
      </c>
      <c r="P47" s="44">
        <v>733.7</v>
      </c>
      <c r="Q47" s="44">
        <v>471.6</v>
      </c>
      <c r="R47" s="14">
        <f>Q47/P47*100</f>
        <v>64.27695243287447</v>
      </c>
      <c r="S47" s="44">
        <v>328.3</v>
      </c>
      <c r="T47" s="44">
        <v>1884.7</v>
      </c>
      <c r="U47" s="14">
        <f>T47/S47*100</f>
        <v>574.0785866585439</v>
      </c>
      <c r="V47" s="44">
        <v>313.1</v>
      </c>
      <c r="W47" s="44">
        <v>112.6</v>
      </c>
      <c r="X47" s="14">
        <f>W47/V47*100</f>
        <v>35.962951133823054</v>
      </c>
      <c r="Y47" s="3">
        <f>P47+S47+V47</f>
        <v>1375.1</v>
      </c>
      <c r="Z47" s="3">
        <f>Q47+T47+W47</f>
        <v>2468.9</v>
      </c>
      <c r="AA47" s="14">
        <f t="shared" si="4"/>
        <v>179.5433059413861</v>
      </c>
      <c r="AB47" s="44">
        <v>264</v>
      </c>
      <c r="AC47" s="44">
        <v>491.7</v>
      </c>
      <c r="AD47" s="14">
        <f>AC47/AB47*100</f>
        <v>186.25</v>
      </c>
      <c r="AE47" s="44"/>
      <c r="AF47" s="44"/>
      <c r="AG47" s="36" t="e">
        <f>AF47/AE47*100</f>
        <v>#DIV/0!</v>
      </c>
      <c r="AH47" s="44"/>
      <c r="AI47" s="44"/>
      <c r="AJ47" s="3">
        <f>AB47+AE47+AH47</f>
        <v>264</v>
      </c>
      <c r="AK47" s="3">
        <f>AC47+AF47+AI47</f>
        <v>491.7</v>
      </c>
      <c r="AL47" s="14">
        <f t="shared" si="5"/>
        <v>186.25</v>
      </c>
      <c r="AM47" s="44"/>
      <c r="AN47" s="44"/>
      <c r="AO47" s="44"/>
      <c r="AP47" s="44"/>
      <c r="AQ47" s="44"/>
      <c r="AR47" s="44"/>
      <c r="AS47" s="3">
        <f>M47+Y47+AJ47+AM47+AO47+AQ47</f>
        <v>6308.700000000001</v>
      </c>
      <c r="AT47" s="3">
        <f>N47+Z47+AK47+AN47+AP47+AR47</f>
        <v>6441.7</v>
      </c>
      <c r="AU47" s="14">
        <f t="shared" si="22"/>
        <v>102.10819978759488</v>
      </c>
      <c r="AV47" s="14">
        <f>AS47-AT47</f>
        <v>-132.9999999999991</v>
      </c>
      <c r="AW47" s="4">
        <f>C47+AS47-AT47</f>
        <v>855.5000000000009</v>
      </c>
    </row>
    <row r="48" spans="1:51" s="8" customFormat="1" ht="23.25" customHeight="1">
      <c r="A48" s="38"/>
      <c r="B48" s="16" t="s">
        <v>42</v>
      </c>
      <c r="C48" s="48">
        <f>C7+C45</f>
        <v>144739.4</v>
      </c>
      <c r="D48" s="4">
        <f>D7+D45</f>
        <v>96337.20000000001</v>
      </c>
      <c r="E48" s="4">
        <f>E7+E45</f>
        <v>67663.3</v>
      </c>
      <c r="F48" s="14">
        <f t="shared" si="17"/>
        <v>70.23590056592883</v>
      </c>
      <c r="G48" s="4">
        <f>G7+G45</f>
        <v>97243.09999999999</v>
      </c>
      <c r="H48" s="4">
        <f>H7+H45</f>
        <v>98596.70000000001</v>
      </c>
      <c r="I48" s="14">
        <f>H48/G48*100</f>
        <v>101.3919753689465</v>
      </c>
      <c r="J48" s="4">
        <f>J7+J45</f>
        <v>103205</v>
      </c>
      <c r="K48" s="4">
        <f>K7+K45</f>
        <v>69715.4</v>
      </c>
      <c r="L48" s="14">
        <f>K48/J48*100</f>
        <v>67.55040937939053</v>
      </c>
      <c r="M48" s="4">
        <f>M7+M45</f>
        <v>296785.3</v>
      </c>
      <c r="N48" s="4">
        <f>N7+N45</f>
        <v>235975.40000000002</v>
      </c>
      <c r="O48" s="14">
        <f t="shared" si="2"/>
        <v>79.51047440691977</v>
      </c>
      <c r="P48" s="4">
        <f>P7+P45</f>
        <v>40822.5</v>
      </c>
      <c r="Q48" s="4">
        <f>Q7+Q45</f>
        <v>70453.4</v>
      </c>
      <c r="R48" s="14">
        <f>Q48/P48*100</f>
        <v>172.58472656010778</v>
      </c>
      <c r="S48" s="4">
        <f>S7+S45</f>
        <v>14007.699999999999</v>
      </c>
      <c r="T48" s="4">
        <f>T7+T45</f>
        <v>53413.399999999994</v>
      </c>
      <c r="U48" s="14">
        <f>T48/S48*100</f>
        <v>381.31456270479805</v>
      </c>
      <c r="V48" s="4">
        <f>V7+V45</f>
        <v>13905.6</v>
      </c>
      <c r="W48" s="4">
        <f>W7+W45</f>
        <v>22373.6</v>
      </c>
      <c r="X48" s="14">
        <f>W48/V48*100</f>
        <v>160.89632953630192</v>
      </c>
      <c r="Y48" s="4">
        <f>Y7+Y45</f>
        <v>68735.8</v>
      </c>
      <c r="Z48" s="4">
        <f>Z7+Z45</f>
        <v>146240.4</v>
      </c>
      <c r="AA48" s="14">
        <f t="shared" si="4"/>
        <v>212.75725313446557</v>
      </c>
      <c r="AB48" s="4">
        <f>AB7+AB45</f>
        <v>12642.8</v>
      </c>
      <c r="AC48" s="4">
        <f>AC7+AC45</f>
        <v>17903.3</v>
      </c>
      <c r="AD48" s="14">
        <f>AC48/AB48*100</f>
        <v>141.60866263802322</v>
      </c>
      <c r="AE48" s="4">
        <f>AE7+AE45</f>
        <v>0</v>
      </c>
      <c r="AF48" s="4">
        <f>AF7+AF45</f>
        <v>0</v>
      </c>
      <c r="AG48" s="14" t="e">
        <f>AF48/AE48*100</f>
        <v>#DIV/0!</v>
      </c>
      <c r="AH48" s="4">
        <f>AH7+AH45</f>
        <v>0</v>
      </c>
      <c r="AI48" s="4">
        <f>AI7+AI45</f>
        <v>0</v>
      </c>
      <c r="AJ48" s="4">
        <f>AJ7+AJ45</f>
        <v>12642.8</v>
      </c>
      <c r="AK48" s="4">
        <f>AK7+AK45</f>
        <v>17903.3</v>
      </c>
      <c r="AL48" s="14">
        <f t="shared" si="5"/>
        <v>141.60866263802322</v>
      </c>
      <c r="AM48" s="4">
        <f aca="true" t="shared" si="27" ref="AM48:AT48">AM7+AM45</f>
        <v>0</v>
      </c>
      <c r="AN48" s="4">
        <f t="shared" si="27"/>
        <v>0</v>
      </c>
      <c r="AO48" s="4">
        <f t="shared" si="27"/>
        <v>0</v>
      </c>
      <c r="AP48" s="4">
        <f t="shared" si="27"/>
        <v>0</v>
      </c>
      <c r="AQ48" s="4">
        <f>AQ7+AQ45</f>
        <v>0</v>
      </c>
      <c r="AR48" s="4">
        <f>AR7+AR45</f>
        <v>0</v>
      </c>
      <c r="AS48" s="4">
        <f t="shared" si="27"/>
        <v>378163.9</v>
      </c>
      <c r="AT48" s="4">
        <f t="shared" si="27"/>
        <v>400119.10000000003</v>
      </c>
      <c r="AU48" s="14">
        <f t="shared" si="22"/>
        <v>105.80573661314578</v>
      </c>
      <c r="AV48" s="49">
        <f>AV7+AV45</f>
        <v>-21955.2</v>
      </c>
      <c r="AW48" s="49">
        <f>AW7+AW45</f>
        <v>122784.2</v>
      </c>
      <c r="AX48" s="20">
        <f>AS48-AT48</f>
        <v>-21955.20000000001</v>
      </c>
      <c r="AY48" s="18">
        <f>C48+AS48-AT48</f>
        <v>122784.20000000001</v>
      </c>
    </row>
    <row r="49" spans="3:49" ht="38.25" customHeight="1">
      <c r="C49" s="66"/>
      <c r="D49" s="31"/>
      <c r="E49" s="31"/>
      <c r="F49" s="55"/>
      <c r="G49" s="27"/>
      <c r="H49" s="27"/>
      <c r="I49" s="65"/>
      <c r="J49" s="27"/>
      <c r="K49" s="27"/>
      <c r="L49" s="65"/>
      <c r="M49" s="65"/>
      <c r="N49" s="65"/>
      <c r="O49" s="65"/>
      <c r="P49" s="27"/>
      <c r="Q49" s="27"/>
      <c r="R49" s="65"/>
      <c r="S49" s="27"/>
      <c r="T49" s="27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17"/>
      <c r="AF49" s="17"/>
      <c r="AG49" s="17"/>
      <c r="AH49" s="17"/>
      <c r="AI49" s="17"/>
      <c r="AJ49" s="65"/>
      <c r="AK49" s="65"/>
      <c r="AL49" s="65"/>
      <c r="AM49" s="17"/>
      <c r="AN49" s="17"/>
      <c r="AO49" s="17"/>
      <c r="AP49" s="17"/>
      <c r="AQ49" s="17"/>
      <c r="AR49" s="17"/>
      <c r="AS49" s="27"/>
      <c r="AT49" s="27"/>
      <c r="AU49" s="65"/>
      <c r="AV49" s="27"/>
      <c r="AW49" s="27"/>
    </row>
    <row r="50" spans="3:49" ht="38.25" customHeight="1">
      <c r="C50" s="66"/>
      <c r="D50" s="31"/>
      <c r="E50" s="31"/>
      <c r="F50" s="55"/>
      <c r="G50" s="27"/>
      <c r="H50" s="27"/>
      <c r="I50" s="65"/>
      <c r="J50" s="27"/>
      <c r="K50" s="27"/>
      <c r="L50" s="65"/>
      <c r="M50" s="65"/>
      <c r="N50" s="65"/>
      <c r="O50" s="65"/>
      <c r="P50" s="27"/>
      <c r="Q50" s="27"/>
      <c r="R50" s="65"/>
      <c r="S50" s="27"/>
      <c r="T50" s="27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17"/>
      <c r="AF50" s="17"/>
      <c r="AG50" s="17"/>
      <c r="AH50" s="17"/>
      <c r="AI50" s="17"/>
      <c r="AJ50" s="65"/>
      <c r="AK50" s="65"/>
      <c r="AL50" s="65"/>
      <c r="AM50" s="17"/>
      <c r="AN50" s="17"/>
      <c r="AO50" s="17"/>
      <c r="AP50" s="17"/>
      <c r="AQ50" s="17"/>
      <c r="AR50" s="17"/>
      <c r="AS50" s="27"/>
      <c r="AT50" s="27"/>
      <c r="AU50" s="65"/>
      <c r="AV50" s="27"/>
      <c r="AW50" s="27"/>
    </row>
    <row r="51" spans="7:49" ht="38.25" customHeight="1">
      <c r="G51" s="27"/>
      <c r="H51" s="27"/>
      <c r="I51" s="65"/>
      <c r="J51" s="27"/>
      <c r="K51" s="27"/>
      <c r="L51" s="65"/>
      <c r="M51" s="65"/>
      <c r="N51" s="65"/>
      <c r="O51" s="65"/>
      <c r="P51" s="27"/>
      <c r="Q51" s="27"/>
      <c r="R51" s="65"/>
      <c r="S51" s="27"/>
      <c r="T51" s="27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17"/>
      <c r="AF51" s="17"/>
      <c r="AG51" s="17"/>
      <c r="AH51" s="17"/>
      <c r="AI51" s="17"/>
      <c r="AJ51" s="65"/>
      <c r="AK51" s="65"/>
      <c r="AL51" s="65"/>
      <c r="AM51" s="17"/>
      <c r="AN51" s="17"/>
      <c r="AO51" s="17"/>
      <c r="AP51" s="17"/>
      <c r="AQ51" s="17"/>
      <c r="AR51" s="17"/>
      <c r="AS51" s="27"/>
      <c r="AT51" s="27"/>
      <c r="AU51" s="65"/>
      <c r="AV51" s="27"/>
      <c r="AW51" s="27"/>
    </row>
    <row r="52" spans="7:49" ht="38.25" customHeight="1">
      <c r="G52" s="27"/>
      <c r="H52" s="27"/>
      <c r="I52" s="65"/>
      <c r="J52" s="27"/>
      <c r="K52" s="27"/>
      <c r="L52" s="65"/>
      <c r="M52" s="65"/>
      <c r="N52" s="65"/>
      <c r="O52" s="65"/>
      <c r="P52" s="27"/>
      <c r="Q52" s="27"/>
      <c r="R52" s="65"/>
      <c r="S52" s="27"/>
      <c r="T52" s="27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17"/>
      <c r="AF52" s="17"/>
      <c r="AG52" s="17"/>
      <c r="AH52" s="17"/>
      <c r="AI52" s="17"/>
      <c r="AJ52" s="65"/>
      <c r="AK52" s="65"/>
      <c r="AL52" s="65"/>
      <c r="AM52" s="17"/>
      <c r="AN52" s="17"/>
      <c r="AO52" s="17"/>
      <c r="AP52" s="17"/>
      <c r="AQ52" s="17"/>
      <c r="AR52" s="17"/>
      <c r="AS52" s="27"/>
      <c r="AT52" s="27"/>
      <c r="AU52" s="65"/>
      <c r="AV52" s="27"/>
      <c r="AW52" s="27"/>
    </row>
    <row r="53" spans="7:49" ht="38.25" customHeight="1">
      <c r="G53" s="27"/>
      <c r="H53" s="27"/>
      <c r="I53" s="65"/>
      <c r="J53" s="27"/>
      <c r="K53" s="27"/>
      <c r="L53" s="65"/>
      <c r="M53" s="65"/>
      <c r="N53" s="65"/>
      <c r="O53" s="65"/>
      <c r="P53" s="27"/>
      <c r="Q53" s="27"/>
      <c r="R53" s="65"/>
      <c r="S53" s="27"/>
      <c r="T53" s="27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55"/>
      <c r="AF53" s="55"/>
      <c r="AG53" s="55"/>
      <c r="AH53" s="55"/>
      <c r="AI53" s="55"/>
      <c r="AJ53" s="65"/>
      <c r="AK53" s="65"/>
      <c r="AL53" s="65"/>
      <c r="AM53" s="55"/>
      <c r="AN53" s="55"/>
      <c r="AO53" s="55"/>
      <c r="AP53" s="55"/>
      <c r="AQ53" s="55"/>
      <c r="AR53" s="55"/>
      <c r="AS53" s="27"/>
      <c r="AT53" s="27"/>
      <c r="AU53" s="65"/>
      <c r="AV53" s="27"/>
      <c r="AW53" s="27"/>
    </row>
    <row r="54" spans="7:49" ht="38.25" customHeight="1">
      <c r="G54" s="27"/>
      <c r="H54" s="27"/>
      <c r="I54" s="65"/>
      <c r="J54" s="27"/>
      <c r="K54" s="27"/>
      <c r="L54" s="65"/>
      <c r="M54" s="65"/>
      <c r="N54" s="65"/>
      <c r="O54" s="65"/>
      <c r="P54" s="27"/>
      <c r="Q54" s="27"/>
      <c r="R54" s="65"/>
      <c r="S54" s="27"/>
      <c r="T54" s="27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55"/>
      <c r="AF54" s="55"/>
      <c r="AG54" s="55"/>
      <c r="AH54" s="55"/>
      <c r="AI54" s="55"/>
      <c r="AJ54" s="65"/>
      <c r="AK54" s="65"/>
      <c r="AL54" s="65"/>
      <c r="AM54" s="55"/>
      <c r="AN54" s="55"/>
      <c r="AO54" s="55"/>
      <c r="AP54" s="55"/>
      <c r="AQ54" s="55"/>
      <c r="AR54" s="55"/>
      <c r="AS54" s="27"/>
      <c r="AT54" s="27"/>
      <c r="AU54" s="65"/>
      <c r="AV54" s="27"/>
      <c r="AW54" s="27"/>
    </row>
    <row r="55" spans="7:49" ht="38.25" customHeight="1">
      <c r="G55" s="27"/>
      <c r="H55" s="27"/>
      <c r="I55" s="65"/>
      <c r="J55" s="27"/>
      <c r="K55" s="27"/>
      <c r="L55" s="65"/>
      <c r="M55" s="65"/>
      <c r="N55" s="65"/>
      <c r="O55" s="65"/>
      <c r="P55" s="27"/>
      <c r="Q55" s="27"/>
      <c r="R55" s="65"/>
      <c r="S55" s="27"/>
      <c r="T55" s="27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1"/>
      <c r="AF55" s="61"/>
      <c r="AG55" s="61"/>
      <c r="AH55" s="61"/>
      <c r="AI55" s="61"/>
      <c r="AJ55" s="65"/>
      <c r="AK55" s="65"/>
      <c r="AL55" s="65"/>
      <c r="AM55" s="61"/>
      <c r="AN55" s="61"/>
      <c r="AO55" s="61"/>
      <c r="AP55" s="61"/>
      <c r="AQ55" s="61"/>
      <c r="AR55" s="61"/>
      <c r="AS55" s="27"/>
      <c r="AT55" s="27"/>
      <c r="AU55" s="65"/>
      <c r="AV55" s="27"/>
      <c r="AW55" s="27"/>
    </row>
    <row r="56" spans="7:49" ht="24.75" customHeight="1">
      <c r="G56" s="27"/>
      <c r="H56" s="27"/>
      <c r="I56" s="65"/>
      <c r="J56" s="27"/>
      <c r="K56" s="27"/>
      <c r="L56" s="65"/>
      <c r="M56" s="65"/>
      <c r="N56" s="65"/>
      <c r="O56" s="65"/>
      <c r="P56" s="27"/>
      <c r="Q56" s="27"/>
      <c r="R56" s="65"/>
      <c r="S56" s="27"/>
      <c r="T56" s="27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65"/>
      <c r="AK56" s="65"/>
      <c r="AL56" s="65"/>
      <c r="AM56" s="65"/>
      <c r="AN56" s="65"/>
      <c r="AO56" s="65"/>
      <c r="AP56" s="65"/>
      <c r="AQ56" s="65"/>
      <c r="AR56" s="65"/>
      <c r="AS56" s="27"/>
      <c r="AT56" s="27"/>
      <c r="AU56" s="65"/>
      <c r="AV56" s="27"/>
      <c r="AW56" s="27"/>
    </row>
    <row r="57" spans="7:49" ht="24.75" customHeight="1">
      <c r="G57" s="27"/>
      <c r="H57" s="27"/>
      <c r="I57" s="65"/>
      <c r="J57" s="27"/>
      <c r="K57" s="27"/>
      <c r="L57" s="65"/>
      <c r="M57" s="65"/>
      <c r="N57" s="65"/>
      <c r="O57" s="65"/>
      <c r="P57" s="27"/>
      <c r="Q57" s="27"/>
      <c r="R57" s="65"/>
      <c r="S57" s="27"/>
      <c r="T57" s="27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14"/>
      <c r="AF57" s="14"/>
      <c r="AG57" s="14"/>
      <c r="AH57" s="17"/>
      <c r="AI57" s="17"/>
      <c r="AJ57" s="65"/>
      <c r="AK57" s="65"/>
      <c r="AL57" s="65"/>
      <c r="AM57" s="17"/>
      <c r="AN57" s="17"/>
      <c r="AO57" s="17"/>
      <c r="AP57" s="17"/>
      <c r="AQ57" s="17"/>
      <c r="AR57" s="17"/>
      <c r="AS57" s="27"/>
      <c r="AT57" s="27"/>
      <c r="AU57" s="65"/>
      <c r="AV57" s="27"/>
      <c r="AW57" s="27"/>
    </row>
    <row r="58" spans="7:49" ht="24.75" customHeight="1">
      <c r="G58" s="27"/>
      <c r="H58" s="27"/>
      <c r="I58" s="65"/>
      <c r="J58" s="27"/>
      <c r="K58" s="27"/>
      <c r="L58" s="65"/>
      <c r="M58" s="65"/>
      <c r="N58" s="65"/>
      <c r="O58" s="65"/>
      <c r="P58" s="27"/>
      <c r="Q58" s="27"/>
      <c r="R58" s="65"/>
      <c r="S58" s="27"/>
      <c r="T58" s="27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5"/>
      <c r="AI58" s="65"/>
      <c r="AJ58" s="65"/>
      <c r="AK58" s="65"/>
      <c r="AL58" s="65"/>
      <c r="AM58" s="65"/>
      <c r="AN58" s="65"/>
      <c r="AO58" s="65"/>
      <c r="AP58" s="65"/>
      <c r="AQ58" s="65"/>
      <c r="AR58" s="65"/>
      <c r="AS58" s="27"/>
      <c r="AT58" s="27"/>
      <c r="AU58" s="65"/>
      <c r="AV58" s="27"/>
      <c r="AW58" s="27"/>
    </row>
    <row r="59" spans="7:49" ht="24.75" customHeight="1">
      <c r="G59" s="27"/>
      <c r="H59" s="27"/>
      <c r="I59" s="65"/>
      <c r="J59" s="27"/>
      <c r="K59" s="27"/>
      <c r="L59" s="65"/>
      <c r="M59" s="65"/>
      <c r="N59" s="65"/>
      <c r="O59" s="65"/>
      <c r="P59" s="27"/>
      <c r="Q59" s="27"/>
      <c r="R59" s="65"/>
      <c r="S59" s="27"/>
      <c r="T59" s="27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O59" s="65"/>
      <c r="AP59" s="65"/>
      <c r="AQ59" s="65"/>
      <c r="AR59" s="65"/>
      <c r="AS59" s="27"/>
      <c r="AT59" s="27"/>
      <c r="AU59" s="65"/>
      <c r="AV59" s="27"/>
      <c r="AW59" s="27"/>
    </row>
    <row r="60" spans="7:49" ht="24.75" customHeight="1">
      <c r="G60" s="27"/>
      <c r="H60" s="27"/>
      <c r="I60" s="65"/>
      <c r="J60" s="27"/>
      <c r="K60" s="27"/>
      <c r="L60" s="65"/>
      <c r="M60" s="65"/>
      <c r="N60" s="65"/>
      <c r="O60" s="65"/>
      <c r="P60" s="27"/>
      <c r="Q60" s="27"/>
      <c r="R60" s="65"/>
      <c r="S60" s="27"/>
      <c r="T60" s="27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65"/>
      <c r="AL60" s="65"/>
      <c r="AM60" s="65"/>
      <c r="AN60" s="65"/>
      <c r="AO60" s="65"/>
      <c r="AP60" s="65"/>
      <c r="AQ60" s="65"/>
      <c r="AR60" s="65"/>
      <c r="AS60" s="27"/>
      <c r="AT60" s="27"/>
      <c r="AU60" s="65"/>
      <c r="AV60" s="27"/>
      <c r="AW60" s="27"/>
    </row>
    <row r="61" spans="7:49" ht="24.75" customHeight="1">
      <c r="G61" s="27"/>
      <c r="H61" s="27"/>
      <c r="I61" s="65"/>
      <c r="J61" s="27"/>
      <c r="K61" s="27"/>
      <c r="L61" s="65"/>
      <c r="M61" s="65"/>
      <c r="N61" s="65"/>
      <c r="O61" s="65"/>
      <c r="P61" s="27"/>
      <c r="Q61" s="27"/>
      <c r="R61" s="65"/>
      <c r="S61" s="27"/>
      <c r="T61" s="27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65"/>
      <c r="AJ61" s="65"/>
      <c r="AK61" s="65"/>
      <c r="AL61" s="65"/>
      <c r="AM61" s="65"/>
      <c r="AN61" s="65"/>
      <c r="AO61" s="65"/>
      <c r="AP61" s="65"/>
      <c r="AQ61" s="65"/>
      <c r="AR61" s="65"/>
      <c r="AS61" s="27"/>
      <c r="AT61" s="27"/>
      <c r="AU61" s="65"/>
      <c r="AV61" s="27"/>
      <c r="AW61" s="27"/>
    </row>
    <row r="62" spans="7:49" ht="24.75" customHeight="1">
      <c r="G62" s="27"/>
      <c r="H62" s="27"/>
      <c r="I62" s="65"/>
      <c r="J62" s="27"/>
      <c r="K62" s="27"/>
      <c r="L62" s="65"/>
      <c r="M62" s="65"/>
      <c r="N62" s="65"/>
      <c r="O62" s="65"/>
      <c r="P62" s="27"/>
      <c r="Q62" s="27"/>
      <c r="R62" s="65"/>
      <c r="S62" s="27"/>
      <c r="T62" s="27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65"/>
      <c r="AH62" s="65"/>
      <c r="AI62" s="65"/>
      <c r="AJ62" s="65"/>
      <c r="AK62" s="65"/>
      <c r="AL62" s="65"/>
      <c r="AM62" s="65"/>
      <c r="AN62" s="65"/>
      <c r="AO62" s="65"/>
      <c r="AP62" s="65"/>
      <c r="AQ62" s="65"/>
      <c r="AR62" s="65"/>
      <c r="AS62" s="27"/>
      <c r="AT62" s="27"/>
      <c r="AU62" s="65"/>
      <c r="AV62" s="27"/>
      <c r="AW62" s="27"/>
    </row>
    <row r="63" spans="7:49" ht="24.75" customHeight="1">
      <c r="G63" s="27"/>
      <c r="H63" s="27"/>
      <c r="I63" s="65"/>
      <c r="J63" s="27"/>
      <c r="K63" s="27"/>
      <c r="L63" s="65"/>
      <c r="M63" s="65"/>
      <c r="N63" s="65"/>
      <c r="O63" s="65"/>
      <c r="P63" s="27"/>
      <c r="Q63" s="27"/>
      <c r="R63" s="65"/>
      <c r="S63" s="27"/>
      <c r="T63" s="27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  <c r="AH63" s="65"/>
      <c r="AI63" s="65"/>
      <c r="AJ63" s="65"/>
      <c r="AK63" s="65"/>
      <c r="AL63" s="65"/>
      <c r="AM63" s="65"/>
      <c r="AN63" s="65"/>
      <c r="AO63" s="65"/>
      <c r="AP63" s="65"/>
      <c r="AQ63" s="65"/>
      <c r="AR63" s="65"/>
      <c r="AS63" s="27"/>
      <c r="AT63" s="27"/>
      <c r="AU63" s="65"/>
      <c r="AV63" s="27"/>
      <c r="AW63" s="27"/>
    </row>
    <row r="64" spans="7:49" ht="24.75" customHeight="1">
      <c r="G64" s="27"/>
      <c r="H64" s="27"/>
      <c r="I64" s="65"/>
      <c r="J64" s="27"/>
      <c r="K64" s="27"/>
      <c r="L64" s="65"/>
      <c r="M64" s="65"/>
      <c r="N64" s="65"/>
      <c r="O64" s="65"/>
      <c r="P64" s="27"/>
      <c r="Q64" s="27"/>
      <c r="R64" s="65"/>
      <c r="S64" s="27"/>
      <c r="T64" s="27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5"/>
      <c r="AI64" s="65"/>
      <c r="AJ64" s="65"/>
      <c r="AK64" s="65"/>
      <c r="AL64" s="65"/>
      <c r="AM64" s="65"/>
      <c r="AN64" s="65"/>
      <c r="AO64" s="65"/>
      <c r="AP64" s="65"/>
      <c r="AQ64" s="65"/>
      <c r="AR64" s="65"/>
      <c r="AS64" s="27"/>
      <c r="AT64" s="27"/>
      <c r="AU64" s="65"/>
      <c r="AV64" s="27"/>
      <c r="AW64" s="27"/>
    </row>
    <row r="65" spans="7:49" ht="24.75" customHeight="1">
      <c r="G65" s="27"/>
      <c r="H65" s="27"/>
      <c r="I65" s="65"/>
      <c r="J65" s="27"/>
      <c r="K65" s="27"/>
      <c r="L65" s="65"/>
      <c r="M65" s="65"/>
      <c r="N65" s="65"/>
      <c r="O65" s="65"/>
      <c r="P65" s="27"/>
      <c r="Q65" s="27"/>
      <c r="R65" s="65"/>
      <c r="S65" s="27"/>
      <c r="T65" s="27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5"/>
      <c r="AG65" s="65"/>
      <c r="AH65" s="65"/>
      <c r="AI65" s="65"/>
      <c r="AJ65" s="65"/>
      <c r="AK65" s="65"/>
      <c r="AL65" s="65"/>
      <c r="AM65" s="65"/>
      <c r="AN65" s="65"/>
      <c r="AO65" s="65"/>
      <c r="AP65" s="65"/>
      <c r="AQ65" s="65"/>
      <c r="AR65" s="65"/>
      <c r="AS65" s="27"/>
      <c r="AT65" s="27"/>
      <c r="AU65" s="65"/>
      <c r="AV65" s="27"/>
      <c r="AW65" s="27"/>
    </row>
    <row r="66" spans="7:49" ht="24.75" customHeight="1">
      <c r="G66" s="27"/>
      <c r="H66" s="27"/>
      <c r="I66" s="65"/>
      <c r="J66" s="27"/>
      <c r="K66" s="27"/>
      <c r="L66" s="65"/>
      <c r="M66" s="65"/>
      <c r="N66" s="65"/>
      <c r="O66" s="65"/>
      <c r="P66" s="27"/>
      <c r="Q66" s="27"/>
      <c r="R66" s="65"/>
      <c r="S66" s="27"/>
      <c r="T66" s="27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5"/>
      <c r="AH66" s="65"/>
      <c r="AI66" s="65"/>
      <c r="AJ66" s="65"/>
      <c r="AK66" s="65"/>
      <c r="AL66" s="65"/>
      <c r="AM66" s="65"/>
      <c r="AN66" s="65"/>
      <c r="AO66" s="65"/>
      <c r="AP66" s="65"/>
      <c r="AQ66" s="65"/>
      <c r="AR66" s="65"/>
      <c r="AS66" s="27"/>
      <c r="AT66" s="27"/>
      <c r="AU66" s="65"/>
      <c r="AV66" s="27"/>
      <c r="AW66" s="27"/>
    </row>
    <row r="67" spans="7:49" ht="24.75" customHeight="1">
      <c r="G67" s="27"/>
      <c r="H67" s="27"/>
      <c r="I67" s="65"/>
      <c r="J67" s="27"/>
      <c r="K67" s="27"/>
      <c r="L67" s="65"/>
      <c r="M67" s="65"/>
      <c r="N67" s="65"/>
      <c r="O67" s="65"/>
      <c r="P67" s="27"/>
      <c r="Q67" s="27"/>
      <c r="R67" s="65"/>
      <c r="S67" s="27"/>
      <c r="T67" s="27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5"/>
      <c r="AF67" s="65"/>
      <c r="AG67" s="65"/>
      <c r="AH67" s="65"/>
      <c r="AI67" s="65"/>
      <c r="AJ67" s="65"/>
      <c r="AK67" s="65"/>
      <c r="AL67" s="65"/>
      <c r="AM67" s="65"/>
      <c r="AN67" s="65"/>
      <c r="AO67" s="65"/>
      <c r="AP67" s="65"/>
      <c r="AQ67" s="65"/>
      <c r="AR67" s="65"/>
      <c r="AS67" s="27"/>
      <c r="AT67" s="27"/>
      <c r="AU67" s="65"/>
      <c r="AV67" s="27"/>
      <c r="AW67" s="27"/>
    </row>
    <row r="68" spans="7:49" ht="24.75" customHeight="1">
      <c r="G68" s="27"/>
      <c r="H68" s="27"/>
      <c r="I68" s="65"/>
      <c r="J68" s="27"/>
      <c r="K68" s="27"/>
      <c r="L68" s="65"/>
      <c r="M68" s="65"/>
      <c r="N68" s="65"/>
      <c r="O68" s="65"/>
      <c r="P68" s="27"/>
      <c r="Q68" s="27"/>
      <c r="R68" s="65"/>
      <c r="S68" s="27"/>
      <c r="T68" s="27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  <c r="AG68" s="65"/>
      <c r="AH68" s="65"/>
      <c r="AI68" s="65"/>
      <c r="AJ68" s="65"/>
      <c r="AK68" s="65"/>
      <c r="AL68" s="65"/>
      <c r="AM68" s="65"/>
      <c r="AN68" s="65"/>
      <c r="AO68" s="65"/>
      <c r="AP68" s="65"/>
      <c r="AQ68" s="65"/>
      <c r="AR68" s="65"/>
      <c r="AS68" s="27"/>
      <c r="AT68" s="27"/>
      <c r="AU68" s="65"/>
      <c r="AV68" s="27"/>
      <c r="AW68" s="27"/>
    </row>
    <row r="69" spans="7:49" ht="24.75" customHeight="1">
      <c r="G69" s="27"/>
      <c r="H69" s="27"/>
      <c r="I69" s="65"/>
      <c r="J69" s="27"/>
      <c r="K69" s="27"/>
      <c r="L69" s="65"/>
      <c r="M69" s="65"/>
      <c r="N69" s="65"/>
      <c r="O69" s="65"/>
      <c r="P69" s="27"/>
      <c r="Q69" s="27"/>
      <c r="R69" s="65"/>
      <c r="S69" s="27"/>
      <c r="T69" s="27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  <c r="AG69" s="65"/>
      <c r="AH69" s="65"/>
      <c r="AI69" s="65"/>
      <c r="AJ69" s="65"/>
      <c r="AK69" s="65"/>
      <c r="AL69" s="65"/>
      <c r="AM69" s="65"/>
      <c r="AN69" s="65"/>
      <c r="AO69" s="65"/>
      <c r="AP69" s="65"/>
      <c r="AQ69" s="65"/>
      <c r="AR69" s="65"/>
      <c r="AS69" s="27"/>
      <c r="AT69" s="27"/>
      <c r="AU69" s="65"/>
      <c r="AV69" s="27"/>
      <c r="AW69" s="27"/>
    </row>
    <row r="70" spans="7:49" ht="24.75" customHeight="1">
      <c r="G70" s="27"/>
      <c r="H70" s="27"/>
      <c r="I70" s="65"/>
      <c r="J70" s="27"/>
      <c r="K70" s="27"/>
      <c r="L70" s="65"/>
      <c r="M70" s="65"/>
      <c r="N70" s="65"/>
      <c r="O70" s="65"/>
      <c r="P70" s="27"/>
      <c r="Q70" s="27"/>
      <c r="R70" s="65"/>
      <c r="S70" s="27"/>
      <c r="T70" s="27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  <c r="AG70" s="65"/>
      <c r="AH70" s="65"/>
      <c r="AI70" s="65"/>
      <c r="AJ70" s="65"/>
      <c r="AK70" s="65"/>
      <c r="AL70" s="65"/>
      <c r="AM70" s="65"/>
      <c r="AN70" s="65"/>
      <c r="AO70" s="65"/>
      <c r="AP70" s="65"/>
      <c r="AQ70" s="65"/>
      <c r="AR70" s="65"/>
      <c r="AS70" s="27"/>
      <c r="AT70" s="27"/>
      <c r="AU70" s="65"/>
      <c r="AV70" s="27"/>
      <c r="AW70" s="27"/>
    </row>
    <row r="71" spans="7:49" ht="24.75" customHeight="1">
      <c r="G71" s="27"/>
      <c r="H71" s="27"/>
      <c r="I71" s="65"/>
      <c r="J71" s="27"/>
      <c r="K71" s="27"/>
      <c r="L71" s="65"/>
      <c r="M71" s="65"/>
      <c r="N71" s="65"/>
      <c r="O71" s="65"/>
      <c r="P71" s="27"/>
      <c r="Q71" s="27"/>
      <c r="R71" s="65"/>
      <c r="S71" s="27"/>
      <c r="T71" s="27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65"/>
      <c r="AH71" s="65"/>
      <c r="AI71" s="65"/>
      <c r="AJ71" s="65"/>
      <c r="AK71" s="65"/>
      <c r="AL71" s="65"/>
      <c r="AM71" s="65"/>
      <c r="AN71" s="65"/>
      <c r="AO71" s="65"/>
      <c r="AP71" s="65"/>
      <c r="AQ71" s="65"/>
      <c r="AR71" s="65"/>
      <c r="AS71" s="27"/>
      <c r="AT71" s="27"/>
      <c r="AU71" s="65"/>
      <c r="AV71" s="27"/>
      <c r="AW71" s="27"/>
    </row>
    <row r="72" spans="7:49" ht="24.75" customHeight="1">
      <c r="G72" s="27"/>
      <c r="H72" s="27"/>
      <c r="I72" s="65"/>
      <c r="J72" s="27"/>
      <c r="K72" s="27"/>
      <c r="L72" s="65"/>
      <c r="M72" s="65"/>
      <c r="N72" s="65"/>
      <c r="O72" s="65"/>
      <c r="P72" s="27"/>
      <c r="Q72" s="27"/>
      <c r="R72" s="65"/>
      <c r="S72" s="27"/>
      <c r="T72" s="27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  <c r="AG72" s="65"/>
      <c r="AH72" s="65"/>
      <c r="AI72" s="65"/>
      <c r="AJ72" s="65"/>
      <c r="AK72" s="65"/>
      <c r="AL72" s="65"/>
      <c r="AM72" s="65"/>
      <c r="AN72" s="65"/>
      <c r="AO72" s="65"/>
      <c r="AP72" s="65"/>
      <c r="AQ72" s="65"/>
      <c r="AR72" s="65"/>
      <c r="AS72" s="27"/>
      <c r="AT72" s="27"/>
      <c r="AU72" s="65"/>
      <c r="AV72" s="27"/>
      <c r="AW72" s="27"/>
    </row>
    <row r="73" spans="7:49" ht="18.75">
      <c r="G73" s="27"/>
      <c r="H73" s="27"/>
      <c r="I73" s="65"/>
      <c r="J73" s="27"/>
      <c r="K73" s="27"/>
      <c r="L73" s="65"/>
      <c r="M73" s="65"/>
      <c r="N73" s="65"/>
      <c r="O73" s="65"/>
      <c r="P73" s="27"/>
      <c r="Q73" s="27"/>
      <c r="R73" s="65"/>
      <c r="S73" s="27"/>
      <c r="T73" s="27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5"/>
      <c r="AG73" s="65"/>
      <c r="AH73" s="65"/>
      <c r="AI73" s="65"/>
      <c r="AJ73" s="65"/>
      <c r="AK73" s="65"/>
      <c r="AL73" s="65"/>
      <c r="AM73" s="65"/>
      <c r="AN73" s="65"/>
      <c r="AO73" s="65"/>
      <c r="AP73" s="65"/>
      <c r="AQ73" s="65"/>
      <c r="AR73" s="65"/>
      <c r="AS73" s="27"/>
      <c r="AT73" s="27"/>
      <c r="AU73" s="65"/>
      <c r="AV73" s="27"/>
      <c r="AW73" s="27"/>
    </row>
    <row r="74" spans="7:49" ht="18.75">
      <c r="G74" s="27"/>
      <c r="H74" s="27"/>
      <c r="I74" s="65"/>
      <c r="J74" s="27"/>
      <c r="K74" s="27"/>
      <c r="L74" s="65"/>
      <c r="M74" s="65"/>
      <c r="N74" s="65"/>
      <c r="O74" s="65"/>
      <c r="P74" s="27"/>
      <c r="Q74" s="27"/>
      <c r="R74" s="65"/>
      <c r="S74" s="27"/>
      <c r="T74" s="27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5"/>
      <c r="AH74" s="65"/>
      <c r="AI74" s="65"/>
      <c r="AJ74" s="65"/>
      <c r="AK74" s="65"/>
      <c r="AL74" s="65"/>
      <c r="AM74" s="65"/>
      <c r="AN74" s="65"/>
      <c r="AO74" s="65"/>
      <c r="AP74" s="65"/>
      <c r="AQ74" s="65"/>
      <c r="AR74" s="65"/>
      <c r="AS74" s="27"/>
      <c r="AT74" s="27"/>
      <c r="AU74" s="65"/>
      <c r="AV74" s="27"/>
      <c r="AW74" s="27"/>
    </row>
    <row r="75" spans="7:49" ht="18.75">
      <c r="G75" s="27"/>
      <c r="H75" s="27"/>
      <c r="I75" s="65"/>
      <c r="J75" s="27"/>
      <c r="K75" s="27"/>
      <c r="L75" s="65"/>
      <c r="M75" s="65"/>
      <c r="N75" s="65"/>
      <c r="O75" s="65"/>
      <c r="P75" s="27"/>
      <c r="Q75" s="27"/>
      <c r="R75" s="65"/>
      <c r="S75" s="27"/>
      <c r="T75" s="27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  <c r="AM75" s="65"/>
      <c r="AN75" s="65"/>
      <c r="AO75" s="65"/>
      <c r="AP75" s="65"/>
      <c r="AQ75" s="65"/>
      <c r="AR75" s="65"/>
      <c r="AS75" s="27"/>
      <c r="AT75" s="27"/>
      <c r="AU75" s="65"/>
      <c r="AV75" s="27"/>
      <c r="AW75" s="27"/>
    </row>
    <row r="76" spans="7:49" ht="18.75">
      <c r="G76" s="27"/>
      <c r="H76" s="27"/>
      <c r="I76" s="65"/>
      <c r="J76" s="27"/>
      <c r="K76" s="27"/>
      <c r="L76" s="65"/>
      <c r="M76" s="65"/>
      <c r="N76" s="65"/>
      <c r="O76" s="65"/>
      <c r="P76" s="27"/>
      <c r="Q76" s="27"/>
      <c r="R76" s="65"/>
      <c r="S76" s="27"/>
      <c r="T76" s="27"/>
      <c r="U76" s="65"/>
      <c r="V76" s="65"/>
      <c r="W76" s="65"/>
      <c r="X76" s="65"/>
      <c r="Y76" s="65"/>
      <c r="Z76" s="65"/>
      <c r="AA76" s="65"/>
      <c r="AB76" s="65"/>
      <c r="AC76" s="65"/>
      <c r="AD76" s="65"/>
      <c r="AE76" s="65"/>
      <c r="AF76" s="65"/>
      <c r="AG76" s="65"/>
      <c r="AH76" s="65"/>
      <c r="AI76" s="65"/>
      <c r="AJ76" s="65"/>
      <c r="AK76" s="65"/>
      <c r="AL76" s="65"/>
      <c r="AM76" s="65"/>
      <c r="AN76" s="65"/>
      <c r="AO76" s="65"/>
      <c r="AP76" s="65"/>
      <c r="AQ76" s="65"/>
      <c r="AR76" s="65"/>
      <c r="AS76" s="27"/>
      <c r="AT76" s="27"/>
      <c r="AU76" s="65"/>
      <c r="AV76" s="27"/>
      <c r="AW76" s="27"/>
    </row>
    <row r="77" spans="7:49" ht="18.75">
      <c r="G77" s="27"/>
      <c r="H77" s="27"/>
      <c r="I77" s="65"/>
      <c r="J77" s="27"/>
      <c r="K77" s="27"/>
      <c r="L77" s="65"/>
      <c r="M77" s="65"/>
      <c r="N77" s="65"/>
      <c r="O77" s="65"/>
      <c r="P77" s="27"/>
      <c r="Q77" s="27"/>
      <c r="R77" s="65"/>
      <c r="S77" s="27"/>
      <c r="T77" s="27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5"/>
      <c r="AR77" s="65"/>
      <c r="AS77" s="27"/>
      <c r="AT77" s="27"/>
      <c r="AU77" s="65"/>
      <c r="AV77" s="27"/>
      <c r="AW77" s="27"/>
    </row>
    <row r="78" spans="7:49" ht="18.75">
      <c r="G78" s="27"/>
      <c r="H78" s="27"/>
      <c r="I78" s="65"/>
      <c r="J78" s="27"/>
      <c r="K78" s="27"/>
      <c r="L78" s="65"/>
      <c r="M78" s="65"/>
      <c r="N78" s="65"/>
      <c r="O78" s="65"/>
      <c r="P78" s="27"/>
      <c r="Q78" s="27"/>
      <c r="R78" s="65"/>
      <c r="S78" s="27"/>
      <c r="T78" s="27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5"/>
      <c r="AG78" s="65"/>
      <c r="AH78" s="65"/>
      <c r="AI78" s="65"/>
      <c r="AJ78" s="65"/>
      <c r="AK78" s="65"/>
      <c r="AL78" s="65"/>
      <c r="AM78" s="65"/>
      <c r="AN78" s="65"/>
      <c r="AO78" s="65"/>
      <c r="AP78" s="65"/>
      <c r="AQ78" s="65"/>
      <c r="AR78" s="65"/>
      <c r="AS78" s="27"/>
      <c r="AT78" s="27"/>
      <c r="AU78" s="65"/>
      <c r="AV78" s="27"/>
      <c r="AW78" s="27"/>
    </row>
    <row r="79" spans="7:49" ht="18.75">
      <c r="G79" s="27"/>
      <c r="H79" s="27"/>
      <c r="I79" s="65"/>
      <c r="J79" s="27"/>
      <c r="K79" s="27"/>
      <c r="L79" s="65"/>
      <c r="M79" s="65"/>
      <c r="N79" s="65"/>
      <c r="O79" s="65"/>
      <c r="P79" s="27"/>
      <c r="Q79" s="27"/>
      <c r="R79" s="65"/>
      <c r="S79" s="27"/>
      <c r="T79" s="27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65"/>
      <c r="AG79" s="65"/>
      <c r="AH79" s="65"/>
      <c r="AI79" s="65"/>
      <c r="AJ79" s="65"/>
      <c r="AK79" s="65"/>
      <c r="AL79" s="65"/>
      <c r="AM79" s="65"/>
      <c r="AN79" s="65"/>
      <c r="AO79" s="65"/>
      <c r="AP79" s="65"/>
      <c r="AQ79" s="65"/>
      <c r="AR79" s="65"/>
      <c r="AS79" s="27"/>
      <c r="AT79" s="27"/>
      <c r="AU79" s="65"/>
      <c r="AV79" s="27"/>
      <c r="AW79" s="27"/>
    </row>
    <row r="80" spans="7:49" ht="18.75">
      <c r="G80" s="27"/>
      <c r="H80" s="27"/>
      <c r="I80" s="65"/>
      <c r="J80" s="27"/>
      <c r="K80" s="27"/>
      <c r="L80" s="65"/>
      <c r="M80" s="65"/>
      <c r="N80" s="65"/>
      <c r="O80" s="65"/>
      <c r="P80" s="27"/>
      <c r="Q80" s="27"/>
      <c r="R80" s="65"/>
      <c r="S80" s="27"/>
      <c r="T80" s="27"/>
      <c r="U80" s="65"/>
      <c r="V80" s="65"/>
      <c r="W80" s="65"/>
      <c r="X80" s="65"/>
      <c r="Y80" s="65"/>
      <c r="Z80" s="65"/>
      <c r="AA80" s="65"/>
      <c r="AB80" s="65"/>
      <c r="AC80" s="65"/>
      <c r="AD80" s="65"/>
      <c r="AE80" s="65"/>
      <c r="AF80" s="65"/>
      <c r="AG80" s="65"/>
      <c r="AH80" s="65"/>
      <c r="AI80" s="65"/>
      <c r="AJ80" s="65"/>
      <c r="AK80" s="65"/>
      <c r="AL80" s="65"/>
      <c r="AM80" s="65"/>
      <c r="AN80" s="65"/>
      <c r="AO80" s="65"/>
      <c r="AP80" s="65"/>
      <c r="AQ80" s="65"/>
      <c r="AR80" s="65"/>
      <c r="AS80" s="27"/>
      <c r="AT80" s="27"/>
      <c r="AU80" s="65"/>
      <c r="AV80" s="27"/>
      <c r="AW80" s="27"/>
    </row>
    <row r="81" spans="7:49" ht="18.75">
      <c r="G81" s="27"/>
      <c r="H81" s="27"/>
      <c r="I81" s="65"/>
      <c r="J81" s="27"/>
      <c r="K81" s="27"/>
      <c r="L81" s="65"/>
      <c r="M81" s="65"/>
      <c r="N81" s="65"/>
      <c r="O81" s="65"/>
      <c r="P81" s="27"/>
      <c r="Q81" s="27"/>
      <c r="R81" s="65"/>
      <c r="S81" s="27"/>
      <c r="T81" s="27"/>
      <c r="U81" s="65"/>
      <c r="V81" s="65"/>
      <c r="W81" s="65"/>
      <c r="X81" s="65"/>
      <c r="Y81" s="65"/>
      <c r="Z81" s="65"/>
      <c r="AA81" s="65"/>
      <c r="AB81" s="65"/>
      <c r="AC81" s="65"/>
      <c r="AD81" s="65"/>
      <c r="AE81" s="65"/>
      <c r="AF81" s="65"/>
      <c r="AG81" s="65"/>
      <c r="AH81" s="65"/>
      <c r="AI81" s="65"/>
      <c r="AJ81" s="65"/>
      <c r="AK81" s="65"/>
      <c r="AL81" s="65"/>
      <c r="AM81" s="65"/>
      <c r="AN81" s="65"/>
      <c r="AO81" s="65"/>
      <c r="AP81" s="65"/>
      <c r="AQ81" s="65"/>
      <c r="AR81" s="65"/>
      <c r="AS81" s="27"/>
      <c r="AT81" s="27"/>
      <c r="AU81" s="65"/>
      <c r="AV81" s="27"/>
      <c r="AW81" s="27"/>
    </row>
    <row r="82" spans="7:49" ht="18.75">
      <c r="G82" s="27"/>
      <c r="H82" s="27"/>
      <c r="I82" s="65"/>
      <c r="J82" s="27"/>
      <c r="K82" s="27"/>
      <c r="L82" s="65"/>
      <c r="M82" s="65"/>
      <c r="N82" s="65"/>
      <c r="O82" s="65"/>
      <c r="P82" s="27"/>
      <c r="Q82" s="27"/>
      <c r="R82" s="65"/>
      <c r="S82" s="27"/>
      <c r="T82" s="27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5"/>
      <c r="AI82" s="65"/>
      <c r="AJ82" s="65"/>
      <c r="AK82" s="65"/>
      <c r="AL82" s="65"/>
      <c r="AM82" s="65"/>
      <c r="AN82" s="65"/>
      <c r="AO82" s="65"/>
      <c r="AP82" s="65"/>
      <c r="AQ82" s="65"/>
      <c r="AR82" s="65"/>
      <c r="AS82" s="27"/>
      <c r="AT82" s="27"/>
      <c r="AU82" s="65"/>
      <c r="AV82" s="27"/>
      <c r="AW82" s="27"/>
    </row>
    <row r="83" spans="7:49" ht="18.75">
      <c r="G83" s="27"/>
      <c r="H83" s="27"/>
      <c r="I83" s="65"/>
      <c r="J83" s="27"/>
      <c r="K83" s="27"/>
      <c r="L83" s="65"/>
      <c r="M83" s="65"/>
      <c r="N83" s="65"/>
      <c r="O83" s="65"/>
      <c r="P83" s="27"/>
      <c r="Q83" s="27"/>
      <c r="R83" s="65"/>
      <c r="S83" s="27"/>
      <c r="T83" s="27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5"/>
      <c r="AL83" s="65"/>
      <c r="AM83" s="65"/>
      <c r="AN83" s="65"/>
      <c r="AO83" s="65"/>
      <c r="AP83" s="65"/>
      <c r="AQ83" s="65"/>
      <c r="AR83" s="65"/>
      <c r="AS83" s="27"/>
      <c r="AT83" s="27"/>
      <c r="AU83" s="65"/>
      <c r="AV83" s="27"/>
      <c r="AW83" s="27"/>
    </row>
    <row r="84" spans="7:49" ht="18.75">
      <c r="G84" s="27"/>
      <c r="H84" s="27"/>
      <c r="I84" s="65"/>
      <c r="J84" s="27"/>
      <c r="K84" s="27"/>
      <c r="L84" s="65"/>
      <c r="M84" s="65"/>
      <c r="N84" s="65"/>
      <c r="O84" s="65"/>
      <c r="P84" s="27"/>
      <c r="Q84" s="27"/>
      <c r="R84" s="65"/>
      <c r="S84" s="27"/>
      <c r="T84" s="27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  <c r="AM84" s="65"/>
      <c r="AN84" s="65"/>
      <c r="AO84" s="65"/>
      <c r="AP84" s="65"/>
      <c r="AQ84" s="65"/>
      <c r="AR84" s="65"/>
      <c r="AS84" s="27"/>
      <c r="AT84" s="27"/>
      <c r="AU84" s="65"/>
      <c r="AV84" s="27"/>
      <c r="AW84" s="27"/>
    </row>
    <row r="85" spans="7:49" ht="18.75">
      <c r="G85" s="27"/>
      <c r="H85" s="27"/>
      <c r="I85" s="65"/>
      <c r="J85" s="27"/>
      <c r="K85" s="27"/>
      <c r="L85" s="65"/>
      <c r="M85" s="65"/>
      <c r="N85" s="65"/>
      <c r="O85" s="65"/>
      <c r="P85" s="27"/>
      <c r="Q85" s="27"/>
      <c r="R85" s="65"/>
      <c r="S85" s="27"/>
      <c r="T85" s="27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5"/>
      <c r="AL85" s="65"/>
      <c r="AM85" s="65"/>
      <c r="AN85" s="65"/>
      <c r="AO85" s="65"/>
      <c r="AP85" s="65"/>
      <c r="AQ85" s="65"/>
      <c r="AR85" s="65"/>
      <c r="AS85" s="27"/>
      <c r="AT85" s="27"/>
      <c r="AU85" s="65"/>
      <c r="AV85" s="27"/>
      <c r="AW85" s="27"/>
    </row>
    <row r="86" spans="7:49" ht="18.75">
      <c r="G86" s="27"/>
      <c r="H86" s="27"/>
      <c r="I86" s="65"/>
      <c r="J86" s="27"/>
      <c r="K86" s="27"/>
      <c r="L86" s="65"/>
      <c r="M86" s="65"/>
      <c r="N86" s="65"/>
      <c r="O86" s="65"/>
      <c r="P86" s="27"/>
      <c r="Q86" s="27"/>
      <c r="R86" s="65"/>
      <c r="S86" s="27"/>
      <c r="T86" s="27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5"/>
      <c r="AL86" s="65"/>
      <c r="AM86" s="65"/>
      <c r="AN86" s="65"/>
      <c r="AO86" s="65"/>
      <c r="AP86" s="65"/>
      <c r="AQ86" s="65"/>
      <c r="AR86" s="65"/>
      <c r="AS86" s="27"/>
      <c r="AT86" s="27"/>
      <c r="AU86" s="65"/>
      <c r="AV86" s="27"/>
      <c r="AW86" s="27"/>
    </row>
    <row r="87" spans="7:49" ht="18.75">
      <c r="G87" s="27"/>
      <c r="H87" s="27"/>
      <c r="I87" s="65"/>
      <c r="J87" s="27"/>
      <c r="K87" s="27"/>
      <c r="L87" s="65"/>
      <c r="M87" s="65"/>
      <c r="N87" s="65"/>
      <c r="O87" s="65"/>
      <c r="P87" s="27"/>
      <c r="Q87" s="27"/>
      <c r="R87" s="65"/>
      <c r="S87" s="27"/>
      <c r="T87" s="27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  <c r="AG87" s="65"/>
      <c r="AH87" s="65"/>
      <c r="AI87" s="65"/>
      <c r="AJ87" s="65"/>
      <c r="AK87" s="65"/>
      <c r="AL87" s="65"/>
      <c r="AM87" s="65"/>
      <c r="AN87" s="65"/>
      <c r="AO87" s="65"/>
      <c r="AP87" s="65"/>
      <c r="AQ87" s="65"/>
      <c r="AR87" s="65"/>
      <c r="AS87" s="27"/>
      <c r="AT87" s="27"/>
      <c r="AU87" s="65"/>
      <c r="AV87" s="27"/>
      <c r="AW87" s="27"/>
    </row>
    <row r="88" spans="7:49" ht="18.75">
      <c r="G88" s="27"/>
      <c r="H88" s="27"/>
      <c r="I88" s="65"/>
      <c r="J88" s="27"/>
      <c r="K88" s="27"/>
      <c r="L88" s="65"/>
      <c r="M88" s="65"/>
      <c r="N88" s="65"/>
      <c r="O88" s="65"/>
      <c r="P88" s="27"/>
      <c r="Q88" s="27"/>
      <c r="R88" s="65"/>
      <c r="S88" s="27"/>
      <c r="T88" s="27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65"/>
      <c r="AF88" s="65"/>
      <c r="AG88" s="65"/>
      <c r="AH88" s="65"/>
      <c r="AI88" s="65"/>
      <c r="AJ88" s="65"/>
      <c r="AK88" s="65"/>
      <c r="AL88" s="65"/>
      <c r="AM88" s="65"/>
      <c r="AN88" s="65"/>
      <c r="AO88" s="65"/>
      <c r="AP88" s="65"/>
      <c r="AQ88" s="65"/>
      <c r="AR88" s="65"/>
      <c r="AS88" s="27"/>
      <c r="AT88" s="27"/>
      <c r="AU88" s="65"/>
      <c r="AV88" s="27"/>
      <c r="AW88" s="27"/>
    </row>
    <row r="89" spans="7:49" ht="18.75">
      <c r="G89" s="27"/>
      <c r="H89" s="27"/>
      <c r="I89" s="65"/>
      <c r="J89" s="27"/>
      <c r="K89" s="27"/>
      <c r="L89" s="65"/>
      <c r="M89" s="65"/>
      <c r="N89" s="65"/>
      <c r="O89" s="65"/>
      <c r="P89" s="27"/>
      <c r="Q89" s="27"/>
      <c r="R89" s="65"/>
      <c r="S89" s="27"/>
      <c r="T89" s="27"/>
      <c r="U89" s="65"/>
      <c r="V89" s="65"/>
      <c r="W89" s="65"/>
      <c r="X89" s="65"/>
      <c r="Y89" s="65"/>
      <c r="Z89" s="65"/>
      <c r="AA89" s="65"/>
      <c r="AB89" s="65"/>
      <c r="AC89" s="65"/>
      <c r="AD89" s="65"/>
      <c r="AE89" s="65"/>
      <c r="AF89" s="65"/>
      <c r="AG89" s="65"/>
      <c r="AH89" s="65"/>
      <c r="AI89" s="65"/>
      <c r="AJ89" s="65"/>
      <c r="AK89" s="65"/>
      <c r="AL89" s="65"/>
      <c r="AM89" s="65"/>
      <c r="AN89" s="65"/>
      <c r="AO89" s="65"/>
      <c r="AP89" s="65"/>
      <c r="AQ89" s="65"/>
      <c r="AR89" s="65"/>
      <c r="AS89" s="27"/>
      <c r="AT89" s="27"/>
      <c r="AU89" s="65"/>
      <c r="AV89" s="27"/>
      <c r="AW89" s="27"/>
    </row>
    <row r="90" spans="7:49" ht="18.75">
      <c r="G90" s="27"/>
      <c r="H90" s="27"/>
      <c r="I90" s="65"/>
      <c r="J90" s="27"/>
      <c r="K90" s="27"/>
      <c r="L90" s="65"/>
      <c r="M90" s="65"/>
      <c r="N90" s="65"/>
      <c r="O90" s="65"/>
      <c r="P90" s="27"/>
      <c r="Q90" s="27"/>
      <c r="R90" s="65"/>
      <c r="S90" s="27"/>
      <c r="T90" s="27"/>
      <c r="U90" s="65"/>
      <c r="V90" s="65"/>
      <c r="W90" s="65"/>
      <c r="X90" s="65"/>
      <c r="Y90" s="65"/>
      <c r="Z90" s="65"/>
      <c r="AA90" s="65"/>
      <c r="AB90" s="65"/>
      <c r="AC90" s="65"/>
      <c r="AD90" s="65"/>
      <c r="AE90" s="65"/>
      <c r="AF90" s="65"/>
      <c r="AG90" s="65"/>
      <c r="AH90" s="65"/>
      <c r="AI90" s="65"/>
      <c r="AJ90" s="65"/>
      <c r="AK90" s="65"/>
      <c r="AL90" s="65"/>
      <c r="AM90" s="65"/>
      <c r="AN90" s="65"/>
      <c r="AO90" s="65"/>
      <c r="AP90" s="65"/>
      <c r="AQ90" s="65"/>
      <c r="AR90" s="65"/>
      <c r="AS90" s="27"/>
      <c r="AT90" s="27"/>
      <c r="AU90" s="65"/>
      <c r="AV90" s="27"/>
      <c r="AW90" s="27"/>
    </row>
    <row r="91" spans="7:49" ht="18.75">
      <c r="G91" s="27"/>
      <c r="H91" s="27"/>
      <c r="I91" s="65"/>
      <c r="J91" s="27"/>
      <c r="K91" s="27"/>
      <c r="L91" s="65"/>
      <c r="M91" s="65"/>
      <c r="N91" s="65"/>
      <c r="O91" s="65"/>
      <c r="P91" s="27"/>
      <c r="Q91" s="27"/>
      <c r="R91" s="65"/>
      <c r="S91" s="27"/>
      <c r="T91" s="27"/>
      <c r="U91" s="65"/>
      <c r="V91" s="65"/>
      <c r="W91" s="65"/>
      <c r="X91" s="65"/>
      <c r="Y91" s="65"/>
      <c r="Z91" s="65"/>
      <c r="AA91" s="65"/>
      <c r="AB91" s="65"/>
      <c r="AC91" s="65"/>
      <c r="AD91" s="65"/>
      <c r="AE91" s="65"/>
      <c r="AF91" s="65"/>
      <c r="AG91" s="65"/>
      <c r="AH91" s="65"/>
      <c r="AI91" s="65"/>
      <c r="AJ91" s="65"/>
      <c r="AK91" s="65"/>
      <c r="AL91" s="65"/>
      <c r="AM91" s="65"/>
      <c r="AN91" s="65"/>
      <c r="AO91" s="65"/>
      <c r="AP91" s="65"/>
      <c r="AQ91" s="65"/>
      <c r="AR91" s="65"/>
      <c r="AS91" s="27"/>
      <c r="AT91" s="27"/>
      <c r="AU91" s="65"/>
      <c r="AV91" s="27"/>
      <c r="AW91" s="27"/>
    </row>
    <row r="92" spans="31:44" ht="18.75">
      <c r="AE92" s="65"/>
      <c r="AF92" s="65"/>
      <c r="AG92" s="65"/>
      <c r="AH92" s="65"/>
      <c r="AI92" s="65"/>
      <c r="AM92" s="65"/>
      <c r="AN92" s="65"/>
      <c r="AO92" s="65"/>
      <c r="AP92" s="65"/>
      <c r="AQ92" s="65"/>
      <c r="AR92" s="65"/>
    </row>
    <row r="93" spans="31:44" ht="18.75">
      <c r="AE93" s="65"/>
      <c r="AF93" s="65"/>
      <c r="AG93" s="65"/>
      <c r="AH93" s="65"/>
      <c r="AI93" s="65"/>
      <c r="AM93" s="65"/>
      <c r="AN93" s="65"/>
      <c r="AO93" s="65"/>
      <c r="AP93" s="65"/>
      <c r="AQ93" s="65"/>
      <c r="AR93" s="65"/>
    </row>
    <row r="94" spans="31:44" ht="18.75">
      <c r="AE94" s="65"/>
      <c r="AF94" s="65"/>
      <c r="AG94" s="65"/>
      <c r="AH94" s="65"/>
      <c r="AI94" s="65"/>
      <c r="AM94" s="65"/>
      <c r="AN94" s="65"/>
      <c r="AO94" s="65"/>
      <c r="AP94" s="65"/>
      <c r="AQ94" s="65"/>
      <c r="AR94" s="65"/>
    </row>
    <row r="95" spans="31:44" ht="18.75">
      <c r="AE95" s="65"/>
      <c r="AF95" s="65"/>
      <c r="AG95" s="65"/>
      <c r="AH95" s="65"/>
      <c r="AI95" s="65"/>
      <c r="AM95" s="65"/>
      <c r="AN95" s="65"/>
      <c r="AO95" s="65"/>
      <c r="AP95" s="65"/>
      <c r="AQ95" s="65"/>
      <c r="AR95" s="65"/>
    </row>
    <row r="96" spans="31:44" ht="18.75">
      <c r="AE96" s="65"/>
      <c r="AF96" s="65"/>
      <c r="AG96" s="65"/>
      <c r="AH96" s="65"/>
      <c r="AI96" s="65"/>
      <c r="AM96" s="65"/>
      <c r="AN96" s="65"/>
      <c r="AO96" s="65"/>
      <c r="AP96" s="65"/>
      <c r="AQ96" s="65"/>
      <c r="AR96" s="65"/>
    </row>
    <row r="97" spans="31:44" ht="18.75">
      <c r="AE97" s="65"/>
      <c r="AF97" s="65"/>
      <c r="AG97" s="65"/>
      <c r="AH97" s="65"/>
      <c r="AI97" s="65"/>
      <c r="AM97" s="65"/>
      <c r="AN97" s="65"/>
      <c r="AO97" s="65"/>
      <c r="AP97" s="65"/>
      <c r="AQ97" s="65"/>
      <c r="AR97" s="65"/>
    </row>
    <row r="98" spans="31:44" ht="18.75">
      <c r="AE98" s="65"/>
      <c r="AF98" s="65"/>
      <c r="AG98" s="65"/>
      <c r="AH98" s="65"/>
      <c r="AI98" s="65"/>
      <c r="AM98" s="65"/>
      <c r="AN98" s="65"/>
      <c r="AO98" s="65"/>
      <c r="AP98" s="65"/>
      <c r="AQ98" s="65"/>
      <c r="AR98" s="65"/>
    </row>
    <row r="99" spans="31:44" ht="18.75">
      <c r="AE99" s="65"/>
      <c r="AF99" s="65"/>
      <c r="AG99" s="65"/>
      <c r="AH99" s="65"/>
      <c r="AI99" s="65"/>
      <c r="AM99" s="65"/>
      <c r="AN99" s="65"/>
      <c r="AO99" s="65"/>
      <c r="AP99" s="65"/>
      <c r="AQ99" s="65"/>
      <c r="AR99" s="65"/>
    </row>
    <row r="100" spans="31:44" ht="18.75">
      <c r="AE100" s="65"/>
      <c r="AF100" s="65"/>
      <c r="AG100" s="65"/>
      <c r="AH100" s="65"/>
      <c r="AI100" s="65"/>
      <c r="AM100" s="65"/>
      <c r="AN100" s="65"/>
      <c r="AO100" s="65"/>
      <c r="AP100" s="65"/>
      <c r="AQ100" s="65"/>
      <c r="AR100" s="65"/>
    </row>
    <row r="101" spans="31:44" ht="18.75">
      <c r="AE101" s="65"/>
      <c r="AF101" s="65"/>
      <c r="AG101" s="65"/>
      <c r="AH101" s="65"/>
      <c r="AI101" s="65"/>
      <c r="AM101" s="65"/>
      <c r="AN101" s="65"/>
      <c r="AO101" s="65"/>
      <c r="AP101" s="65"/>
      <c r="AQ101" s="65"/>
      <c r="AR101" s="65"/>
    </row>
    <row r="102" spans="31:44" ht="18.75">
      <c r="AE102" s="65"/>
      <c r="AF102" s="65"/>
      <c r="AG102" s="65"/>
      <c r="AH102" s="65"/>
      <c r="AI102" s="65"/>
      <c r="AM102" s="65"/>
      <c r="AN102" s="65"/>
      <c r="AO102" s="65"/>
      <c r="AP102" s="65"/>
      <c r="AQ102" s="65"/>
      <c r="AR102" s="65"/>
    </row>
    <row r="103" spans="31:44" ht="18.75">
      <c r="AE103" s="65"/>
      <c r="AF103" s="65"/>
      <c r="AG103" s="65"/>
      <c r="AH103" s="65"/>
      <c r="AI103" s="65"/>
      <c r="AM103" s="65"/>
      <c r="AN103" s="65"/>
      <c r="AO103" s="65"/>
      <c r="AP103" s="65"/>
      <c r="AQ103" s="65"/>
      <c r="AR103" s="65"/>
    </row>
    <row r="104" spans="31:44" ht="18.75">
      <c r="AE104" s="65"/>
      <c r="AF104" s="65"/>
      <c r="AG104" s="65"/>
      <c r="AH104" s="65"/>
      <c r="AI104" s="65"/>
      <c r="AM104" s="65"/>
      <c r="AN104" s="65"/>
      <c r="AO104" s="65"/>
      <c r="AP104" s="65"/>
      <c r="AQ104" s="65"/>
      <c r="AR104" s="65"/>
    </row>
  </sheetData>
  <sheetProtection/>
  <mergeCells count="21">
    <mergeCell ref="AS5:AU5"/>
    <mergeCell ref="M5:O5"/>
    <mergeCell ref="AQ5:AR5"/>
    <mergeCell ref="AM5:AN5"/>
    <mergeCell ref="Y5:AA5"/>
    <mergeCell ref="AO5:AP5"/>
    <mergeCell ref="V5:X5"/>
    <mergeCell ref="AE5:AG5"/>
    <mergeCell ref="AH5:AI5"/>
    <mergeCell ref="S5:U5"/>
    <mergeCell ref="P5:R5"/>
    <mergeCell ref="B1:AW1"/>
    <mergeCell ref="B2:AW2"/>
    <mergeCell ref="B4:C4"/>
    <mergeCell ref="D5:F5"/>
    <mergeCell ref="G5:I5"/>
    <mergeCell ref="AW5:AW6"/>
    <mergeCell ref="AV5:AV6"/>
    <mergeCell ref="AJ5:AL5"/>
    <mergeCell ref="J5:L5"/>
    <mergeCell ref="AB5:AD5"/>
  </mergeCells>
  <printOptions horizontalCentered="1"/>
  <pageMargins left="0.03937007874015748" right="0.1968503937007874" top="0.03937007874015748" bottom="0.03937007874015748" header="0" footer="0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Глоба</dc:creator>
  <cp:keywords/>
  <dc:description/>
  <cp:lastModifiedBy>1</cp:lastModifiedBy>
  <cp:lastPrinted>2018-08-16T12:20:30Z</cp:lastPrinted>
  <dcterms:created xsi:type="dcterms:W3CDTF">2001-09-14T09:33:50Z</dcterms:created>
  <dcterms:modified xsi:type="dcterms:W3CDTF">2018-08-20T09:28:47Z</dcterms:modified>
  <cp:category/>
  <cp:version/>
  <cp:contentType/>
  <cp:contentStatus/>
</cp:coreProperties>
</file>