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80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'всього'!$B$2:$AS$44</definedName>
    <definedName name="_xlnm.Print_Area" localSheetId="4">'держ.бюджет'!$A$1:$AS$43</definedName>
    <definedName name="_xlnm.Print_Area" localSheetId="7">'інші'!$A$1:$AS$43</definedName>
    <definedName name="_xlnm.Print_Area" localSheetId="5">'місц.-районн.бюджет'!$A$1:$AS$43</definedName>
    <definedName name="_xlnm.Print_Area" localSheetId="1">'насел.'!$A$1:$AS$43</definedName>
    <definedName name="_xlnm.Print_Area" localSheetId="6">'областной'!$A$1:$AS$43</definedName>
    <definedName name="_xlnm.Print_Area" localSheetId="2">'пільги'!$A$1:$AS$43</definedName>
    <definedName name="_xlnm.Print_Area" localSheetId="3">'субсидії'!$A$1:$AS$43</definedName>
  </definedNames>
  <calcPr fullCalcOnLoad="1"/>
</workbook>
</file>

<file path=xl/sharedStrings.xml><?xml version="1.0" encoding="utf-8"?>
<sst xmlns="http://schemas.openxmlformats.org/spreadsheetml/2006/main" count="1088" uniqueCount="162">
  <si>
    <t>%</t>
  </si>
  <si>
    <t>Сальдо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</si>
  <si>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</si>
  <si>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</si>
  <si>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</si>
  <si>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</si>
  <si>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</si>
  <si>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</si>
  <si>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м.Харків:</t>
  </si>
  <si>
    <t>По  районах і містах області, в т.ч.:</t>
  </si>
  <si>
    <t xml:space="preserve">Разом </t>
  </si>
  <si>
    <t xml:space="preserve"> м. Лозова 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</si>
  <si>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</si>
  <si>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</si>
  <si>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</si>
  <si>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</si>
  <si>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</si>
  <si>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</si>
  <si>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</si>
  <si>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</si>
  <si>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</si>
  <si>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</si>
  <si>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</si>
  <si>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</si>
  <si>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</si>
  <si>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</si>
  <si>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</si>
  <si>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</si>
  <si>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</si>
  <si>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</si>
  <si>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</si>
  <si>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</si>
  <si>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</si>
  <si>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</si>
  <si>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</si>
  <si>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</si>
  <si>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</si>
  <si>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</si>
  <si>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</si>
  <si>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</si>
  <si>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</si>
  <si>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</si>
  <si>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</si>
  <si>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</si>
  <si>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</si>
  <si>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</si>
  <si>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</si>
  <si>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</si>
  <si>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</si>
  <si>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</si>
  <si>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</si>
  <si>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</si>
  <si>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</si>
  <si>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</si>
  <si>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</si>
  <si>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№</t>
  </si>
  <si>
    <t>п.п.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</si>
  <si>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</si>
  <si>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</si>
  <si>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</si>
  <si>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</si>
  <si>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</si>
  <si>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</si>
  <si>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</si>
  <si>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</si>
  <si>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</si>
  <si>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</si>
  <si>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</si>
  <si>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</si>
  <si>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</si>
  <si>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</si>
  <si>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</si>
  <si>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</si>
  <si>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</si>
  <si>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</si>
  <si>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</si>
  <si>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</si>
  <si>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</si>
  <si>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</si>
  <si>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</si>
  <si>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</si>
  <si>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</si>
  <si>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</si>
  <si>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</si>
  <si>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 xml:space="preserve">КП "Харківводоканал" 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</si>
  <si>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</si>
  <si>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</si>
  <si>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</si>
  <si>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</si>
  <si>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</si>
  <si>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</si>
  <si>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</si>
  <si>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</si>
  <si>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</si>
  <si>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</si>
  <si>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</si>
  <si>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</si>
  <si>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</si>
  <si>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</si>
  <si>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</si>
  <si>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</si>
  <si>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</si>
  <si>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</si>
  <si>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</si>
  <si>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</si>
  <si>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</si>
  <si>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</si>
  <si>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</si>
  <si>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</si>
  <si>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</si>
  <si>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</si>
  <si>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</si>
  <si>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</si>
  <si>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</si>
  <si>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</si>
  <si>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</si>
  <si>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</si>
  <si>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</si>
  <si>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</si>
  <si>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</si>
  <si>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</si>
  <si>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</si>
  <si>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</si>
  <si>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</si>
  <si>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</si>
  <si>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</si>
  <si>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</si>
  <si>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</si>
  <si>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</si>
  <si>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</si>
  <si>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</si>
  <si>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</si>
  <si>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</si>
  <si>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</si>
  <si>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</si>
  <si>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</si>
  <si>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</si>
  <si>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</si>
  <si>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</si>
  <si>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 xml:space="preserve"> г. Купянск (КП "Комсервіс", ДРІТ)</t>
  </si>
  <si>
    <t>г</t>
  </si>
  <si>
    <t>на 01.01.2017</t>
  </si>
  <si>
    <t>январь</t>
  </si>
  <si>
    <t>февраль</t>
  </si>
  <si>
    <t xml:space="preserve">с начала 2017 года </t>
  </si>
  <si>
    <t xml:space="preserve">Задолженность за 2017 год по состоянию на 01.03.2017 </t>
  </si>
  <si>
    <t>начислено</t>
  </si>
  <si>
    <t>март</t>
  </si>
  <si>
    <t>апрель</t>
  </si>
  <si>
    <t>1 квартал 2017</t>
  </si>
  <si>
    <t>май</t>
  </si>
  <si>
    <t>июнь</t>
  </si>
  <si>
    <t>Печенежский р-н</t>
  </si>
  <si>
    <t>2 квартал 2017</t>
  </si>
  <si>
    <t>июль</t>
  </si>
  <si>
    <t>август</t>
  </si>
  <si>
    <t>сентябрь</t>
  </si>
  <si>
    <t>3 квартал 2017</t>
  </si>
  <si>
    <t>октябрь</t>
  </si>
  <si>
    <t>по оплате услуг водоснабжения и водоотведения на 01.11.2017</t>
  </si>
  <si>
    <t xml:space="preserve">Задолженность за 2017 год по состоянию на 01.11.2017 </t>
  </si>
  <si>
    <t>Общая задолженность на 01.11.2017 (с учетом долгов прошлых лет)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</si>
</sst>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0"/>
      <name val="Times New Roman Cyr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8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192" fontId="6" fillId="0" borderId="1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188" fontId="64" fillId="0" borderId="0" xfId="0" applyNumberFormat="1" applyFont="1" applyFill="1" applyAlignment="1">
      <alignment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6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5" xfId="0" applyFont="1" applyFill="1" applyBorder="1" applyAlignment="1">
      <alignment horizontal="center"/>
    </xf>
    <xf numFmtId="192" fontId="5" fillId="0" borderId="11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92" fontId="4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 horizontal="right" wrapText="1"/>
    </xf>
    <xf numFmtId="192" fontId="16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 wrapText="1"/>
    </xf>
    <xf numFmtId="192" fontId="16" fillId="0" borderId="15" xfId="0" applyNumberFormat="1" applyFont="1" applyFill="1" applyBorder="1" applyAlignment="1">
      <alignment/>
    </xf>
    <xf numFmtId="192" fontId="11" fillId="0" borderId="15" xfId="0" applyNumberFormat="1" applyFont="1" applyFill="1" applyBorder="1" applyAlignment="1">
      <alignment wrapText="1"/>
    </xf>
    <xf numFmtId="192" fontId="3" fillId="0" borderId="15" xfId="0" applyNumberFormat="1" applyFont="1" applyFill="1" applyBorder="1" applyAlignment="1">
      <alignment wrapText="1"/>
    </xf>
    <xf numFmtId="192" fontId="67" fillId="0" borderId="15" xfId="0" applyNumberFormat="1" applyFont="1" applyFill="1" applyBorder="1" applyAlignment="1">
      <alignment wrapText="1"/>
    </xf>
    <xf numFmtId="192" fontId="4" fillId="0" borderId="14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16" fillId="0" borderId="15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92" fontId="1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10" fillId="0" borderId="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192" fontId="22" fillId="0" borderId="0" xfId="0" applyNumberFormat="1" applyFont="1" applyFill="1" applyBorder="1" applyAlignment="1">
      <alignment horizontal="center" vertical="center" wrapText="1"/>
    </xf>
    <xf numFmtId="192" fontId="12" fillId="0" borderId="14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15" fillId="0" borderId="15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9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 wrapText="1"/>
    </xf>
    <xf numFmtId="192" fontId="70" fillId="0" borderId="15" xfId="0" applyNumberFormat="1" applyFont="1" applyFill="1" applyBorder="1" applyAlignment="1">
      <alignment wrapText="1"/>
    </xf>
    <xf numFmtId="192" fontId="71" fillId="0" borderId="10" xfId="0" applyNumberFormat="1" applyFont="1" applyFill="1" applyBorder="1" applyAlignment="1">
      <alignment/>
    </xf>
    <xf numFmtId="0" fontId="69" fillId="0" borderId="15" xfId="0" applyFont="1" applyFill="1" applyBorder="1" applyAlignment="1">
      <alignment horizontal="center"/>
    </xf>
    <xf numFmtId="192" fontId="67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2" fillId="0" borderId="0" xfId="0" applyFont="1" applyFill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/>
    </xf>
    <xf numFmtId="1" fontId="74" fillId="0" borderId="10" xfId="0" applyNumberFormat="1" applyFont="1" applyFill="1" applyBorder="1" applyAlignment="1">
      <alignment/>
    </xf>
    <xf numFmtId="192" fontId="73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10" xfId="0" applyFont="1" applyFill="1" applyBorder="1" applyAlignment="1">
      <alignment/>
    </xf>
    <xf numFmtId="192" fontId="75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53"/>
  <sheetViews>
    <sheetView view="pageBreakPreview" zoomScale="76" zoomScaleNormal="50" zoomScaleSheetLayoutView="76" zoomScalePageLayoutView="0" workbookViewId="0" topLeftCell="B2">
      <pane xSplit="5" ySplit="8" topLeftCell="AN40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B3" sqref="B3:AS3"/>
    </sheetView>
  </sheetViews>
  <sheetFormatPr defaultColWidth="6.75390625" defaultRowHeight="32.25" customHeight="1"/>
  <cols>
    <col min="1" max="1" width="4.875" style="1" hidden="1" customWidth="1"/>
    <col min="2" max="2" width="51.625" style="2" customWidth="1"/>
    <col min="3" max="3" width="16.75390625" style="3" customWidth="1"/>
    <col min="4" max="4" width="21.125" style="2" hidden="1" customWidth="1"/>
    <col min="5" max="5" width="21.00390625" style="2" hidden="1" customWidth="1"/>
    <col min="6" max="6" width="12.625" style="12" hidden="1" customWidth="1"/>
    <col min="7" max="8" width="14.625" style="2" hidden="1" customWidth="1"/>
    <col min="9" max="9" width="11.00390625" style="12" hidden="1" customWidth="1"/>
    <col min="10" max="11" width="14.625" style="2" hidden="1" customWidth="1"/>
    <col min="12" max="12" width="11.00390625" style="12" hidden="1" customWidth="1"/>
    <col min="13" max="13" width="14.00390625" style="12" customWidth="1"/>
    <col min="14" max="14" width="12.75390625" style="12" customWidth="1"/>
    <col min="15" max="15" width="11.00390625" style="12" customWidth="1"/>
    <col min="16" max="17" width="14.625" style="2" hidden="1" customWidth="1"/>
    <col min="18" max="18" width="11.00390625" style="12" hidden="1" customWidth="1"/>
    <col min="19" max="20" width="14.625" style="2" hidden="1" customWidth="1"/>
    <col min="21" max="21" width="11.00390625" style="12" hidden="1" customWidth="1"/>
    <col min="22" max="22" width="14.25390625" style="12" hidden="1" customWidth="1"/>
    <col min="23" max="23" width="13.00390625" style="12" hidden="1" customWidth="1"/>
    <col min="24" max="24" width="11.00390625" style="12" hidden="1" customWidth="1"/>
    <col min="25" max="25" width="14.00390625" style="12" customWidth="1"/>
    <col min="26" max="26" width="12.75390625" style="12" customWidth="1"/>
    <col min="27" max="27" width="11.00390625" style="12" customWidth="1"/>
    <col min="28" max="28" width="14.25390625" style="12" hidden="1" customWidth="1"/>
    <col min="29" max="29" width="13.00390625" style="12" hidden="1" customWidth="1"/>
    <col min="30" max="30" width="11.00390625" style="12" hidden="1" customWidth="1"/>
    <col min="31" max="31" width="14.25390625" style="12" hidden="1" customWidth="1"/>
    <col min="32" max="32" width="13.00390625" style="12" hidden="1" customWidth="1"/>
    <col min="33" max="33" width="11.00390625" style="12" hidden="1" customWidth="1"/>
    <col min="34" max="34" width="13.25390625" style="12" hidden="1" customWidth="1"/>
    <col min="35" max="35" width="12.00390625" style="12" hidden="1" customWidth="1"/>
    <col min="36" max="36" width="14.00390625" style="12" customWidth="1"/>
    <col min="37" max="37" width="12.75390625" style="12" customWidth="1"/>
    <col min="38" max="38" width="11.00390625" style="12" customWidth="1"/>
    <col min="39" max="39" width="13.25390625" style="12" customWidth="1"/>
    <col min="40" max="40" width="12.00390625" style="12" customWidth="1"/>
    <col min="41" max="42" width="14.625" style="2" customWidth="1"/>
    <col min="43" max="43" width="11.00390625" style="12" customWidth="1"/>
    <col min="44" max="44" width="20.75390625" style="2" customWidth="1"/>
    <col min="45" max="45" width="21.875" style="2" customWidth="1"/>
    <col min="46" max="46" width="14.125" style="2" customWidth="1"/>
    <col min="47" max="47" width="14.375" style="2" customWidth="1"/>
    <col min="48" max="48" width="13.00390625" style="2" bestFit="1" customWidth="1"/>
    <col min="49" max="49" width="13.375" style="2" customWidth="1"/>
    <col min="50" max="16384" width="6.75390625" style="2" customWidth="1"/>
  </cols>
  <sheetData>
    <row r="1" spans="9:45" ht="22.5" customHeight="1" hidden="1"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8"/>
      <c r="AP1" s="158"/>
      <c r="AQ1" s="158"/>
      <c r="AR1" s="158"/>
      <c r="AS1" s="158"/>
    </row>
    <row r="2" spans="1:45" s="63" customFormat="1" ht="42" customHeight="1">
      <c r="A2" s="62"/>
      <c r="B2" s="159" t="s">
        <v>85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</row>
    <row r="3" spans="1:45" s="63" customFormat="1" ht="42" customHeight="1">
      <c r="A3" s="62"/>
      <c r="B3" s="159" t="s">
        <v>159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</row>
    <row r="4" spans="2:45" ht="19.5" customHeight="1">
      <c r="B4" s="160"/>
      <c r="C4" s="160"/>
      <c r="D4" s="160"/>
      <c r="E4" s="160"/>
      <c r="F4" s="160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7"/>
      <c r="AQ4" s="6"/>
      <c r="AR4" s="7"/>
      <c r="AS4" s="5" t="s">
        <v>87</v>
      </c>
    </row>
    <row r="5" spans="1:45" ht="36.75" customHeight="1">
      <c r="A5" s="50" t="s">
        <v>55</v>
      </c>
      <c r="B5" s="51"/>
      <c r="C5" s="52" t="s">
        <v>1</v>
      </c>
      <c r="D5" s="151" t="s">
        <v>142</v>
      </c>
      <c r="E5" s="152"/>
      <c r="F5" s="153"/>
      <c r="G5" s="154" t="s">
        <v>143</v>
      </c>
      <c r="H5" s="155"/>
      <c r="I5" s="156"/>
      <c r="J5" s="154" t="s">
        <v>147</v>
      </c>
      <c r="K5" s="155"/>
      <c r="L5" s="156"/>
      <c r="M5" s="154" t="s">
        <v>149</v>
      </c>
      <c r="N5" s="155"/>
      <c r="O5" s="156"/>
      <c r="P5" s="154" t="s">
        <v>148</v>
      </c>
      <c r="Q5" s="155"/>
      <c r="R5" s="156"/>
      <c r="S5" s="154" t="s">
        <v>150</v>
      </c>
      <c r="T5" s="155"/>
      <c r="U5" s="156"/>
      <c r="V5" s="154" t="s">
        <v>151</v>
      </c>
      <c r="W5" s="155"/>
      <c r="X5" s="156"/>
      <c r="Y5" s="154" t="s">
        <v>153</v>
      </c>
      <c r="Z5" s="155"/>
      <c r="AA5" s="156"/>
      <c r="AB5" s="154" t="s">
        <v>154</v>
      </c>
      <c r="AC5" s="155"/>
      <c r="AD5" s="156"/>
      <c r="AE5" s="154" t="s">
        <v>155</v>
      </c>
      <c r="AF5" s="155"/>
      <c r="AG5" s="156"/>
      <c r="AH5" s="154" t="s">
        <v>156</v>
      </c>
      <c r="AI5" s="156"/>
      <c r="AJ5" s="154" t="s">
        <v>157</v>
      </c>
      <c r="AK5" s="155"/>
      <c r="AL5" s="156"/>
      <c r="AM5" s="154" t="s">
        <v>158</v>
      </c>
      <c r="AN5" s="156"/>
      <c r="AO5" s="151" t="s">
        <v>144</v>
      </c>
      <c r="AP5" s="152"/>
      <c r="AQ5" s="153"/>
      <c r="AR5" s="161" t="s">
        <v>160</v>
      </c>
      <c r="AS5" s="161" t="s">
        <v>161</v>
      </c>
    </row>
    <row r="6" spans="1:46" ht="46.5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8" t="s">
        <v>0</v>
      </c>
      <c r="AR6" s="162"/>
      <c r="AS6" s="162"/>
      <c r="AT6" s="19"/>
    </row>
    <row r="7" spans="1:49" s="12" customFormat="1" ht="35.25" customHeight="1">
      <c r="A7" s="8"/>
      <c r="B7" s="9" t="s">
        <v>89</v>
      </c>
      <c r="C7" s="18">
        <f>'насел.'!C7+пільги!C7+субсидії!C7+'держ.бюджет'!C7+'місц.-районн.бюджет'!C7+областной!C7+інші!C7</f>
        <v>11100.60000000001</v>
      </c>
      <c r="D7" s="18">
        <f>'насел.'!D7+пільги!D7+субсидії!D7+'держ.бюджет'!D7+'місц.-районн.бюджет'!D7+областной!D7+інші!D7</f>
        <v>22646.5</v>
      </c>
      <c r="E7" s="18">
        <f>'насел.'!E7+пільги!E7+субсидії!E7+'держ.бюджет'!E7+'місц.-районн.бюджет'!E7+областной!E7+інші!E7</f>
        <v>27306.299999999996</v>
      </c>
      <c r="F7" s="18">
        <f>'насел.'!F7+пільги!F7+субсидії!F7+'держ.бюджет'!F7+'місц.-районн.бюджет'!F7+областной!F7+інші!F7</f>
        <v>809.138683862924</v>
      </c>
      <c r="G7" s="18">
        <f>'насел.'!G7+пільги!G7+субсидії!G7+'держ.бюджет'!G7+'місц.-районн.бюджет'!G7+областной!G7+інші!G7</f>
        <v>22799.399999999998</v>
      </c>
      <c r="H7" s="18">
        <f>'насел.'!H7+пільги!H7+субсидії!H7+'держ.бюджет'!H7+'місц.-районн.бюджет'!H7+областной!H7+інші!H7</f>
        <v>15683.199999999997</v>
      </c>
      <c r="I7" s="18">
        <f>'насел.'!I7+пільги!I7+субсидії!I7+'держ.бюджет'!I7+'місц.-районн.бюджет'!I7+областной!I7+інші!I7</f>
        <v>800.499003860716</v>
      </c>
      <c r="J7" s="18">
        <f>'насел.'!J7+пільги!J7+субсидії!J7+'держ.бюджет'!J7+'місц.-районн.бюджет'!J7+областной!J7+інші!J7</f>
        <v>24130.8</v>
      </c>
      <c r="K7" s="18">
        <f>'насел.'!K7+пільги!K7+субсидії!K7+'держ.бюджет'!K7+'місц.-районн.бюджет'!K7+областной!K7+інші!K7</f>
        <v>31559.799999999996</v>
      </c>
      <c r="L7" s="18">
        <f>'насел.'!L7+пільги!L7+субсидії!L7+'держ.бюджет'!L7+'місц.-районн.бюджет'!L7+областной!L7+інші!L7</f>
        <v>1092.7074938269106</v>
      </c>
      <c r="M7" s="18">
        <f>'насел.'!M7+пільги!M7+субсидії!M7+'держ.бюджет'!M7+'місц.-районн.бюджет'!M7+областной!M7+інші!M7</f>
        <v>69576.69999999998</v>
      </c>
      <c r="N7" s="18">
        <f>'насел.'!N7+пільги!N7+субсидії!N7+'держ.бюджет'!N7+'місц.-районн.бюджет'!N7+областной!N7+інші!N7</f>
        <v>74549.3</v>
      </c>
      <c r="O7" s="11">
        <f aca="true" t="shared" si="0" ref="O7:O43">N7/M7*100</f>
        <v>107.14693280940317</v>
      </c>
      <c r="P7" s="18">
        <f>'насел.'!P7+пільги!P7+субсидії!P7+'держ.бюджет'!P7+'місц.-районн.бюджет'!P7+областной!P7+інші!P7</f>
        <v>23306.899999999998</v>
      </c>
      <c r="Q7" s="18">
        <f>'насел.'!Q7+пільги!Q7+субсидії!Q7+'держ.бюджет'!Q7+'місц.-районн.бюджет'!Q7+областной!Q7+інші!Q7</f>
        <v>28488.399999999998</v>
      </c>
      <c r="R7" s="18">
        <f>'насел.'!R7+пільги!R7+субсидії!R7+'держ.бюджет'!R7+'місц.-районн.бюджет'!R7+областной!R7+інші!R7</f>
        <v>781.5796975273923</v>
      </c>
      <c r="S7" s="18">
        <f>'насел.'!S7+пільги!S7+субсидії!S7+'держ.бюджет'!S7+'місц.-районн.бюджет'!S7+областной!S7+інші!S7</f>
        <v>19588.59999999999</v>
      </c>
      <c r="T7" s="18">
        <f>'насел.'!T7+пільги!T7+субсидії!T7+'держ.бюджет'!T7+'місц.-районн.бюджет'!T7+областной!T7+інші!T7</f>
        <v>14925.2</v>
      </c>
      <c r="U7" s="18">
        <f>'насел.'!U7+пільги!U7+субсидії!U7+'держ.бюджет'!U7+'місц.-районн.бюджет'!U7+областной!U7+інші!U7</f>
        <v>403.9657625618599</v>
      </c>
      <c r="V7" s="18">
        <f>'насел.'!V7+пільги!V7+субсидії!V7+'держ.бюджет'!V7+'місц.-районн.бюджет'!V7+областной!V7+інші!V7</f>
        <v>25406.4</v>
      </c>
      <c r="W7" s="18">
        <f>'насел.'!W7+пільги!W7+субсидії!W7+'держ.бюджет'!W7+'місц.-районн.бюджет'!W7+областной!W7+інші!W7</f>
        <v>19329.100000000002</v>
      </c>
      <c r="X7" s="18">
        <f>'насел.'!X7+пільги!X7+субсидії!X7+'держ.бюджет'!X7+'місц.-районн.бюджет'!X7+областной!X7+інші!X7</f>
        <v>687.8016379657893</v>
      </c>
      <c r="Y7" s="18">
        <f>'насел.'!Y7+пільги!Y7+субсидії!Y7+'держ.бюджет'!Y7+'місц.-районн.бюджет'!Y7+областной!Y7+інші!Y7</f>
        <v>68301.9</v>
      </c>
      <c r="Z7" s="18">
        <f>'насел.'!Z7+пільги!Z7+субсидії!Z7+'держ.бюджет'!Z7+'місц.-районн.бюджет'!Z7+областной!Z7+інші!Z7</f>
        <v>62742.700000000004</v>
      </c>
      <c r="AA7" s="11">
        <f aca="true" t="shared" si="1" ref="AA7:AA28">Z7/Y7*100</f>
        <v>91.860841352876</v>
      </c>
      <c r="AB7" s="18">
        <f>'насел.'!AB7+пільги!AB7+субсидії!AB7+'держ.бюджет'!AB7+'місц.-районн.бюджет'!AB7+областной!AB7+інші!AB7</f>
        <v>24157.130000000005</v>
      </c>
      <c r="AC7" s="18">
        <f>'насел.'!AC7+пільги!AC7+субсидії!AC7+'держ.бюджет'!AC7+'місц.-районн.бюджет'!AC7+областной!AC7+інші!AC7</f>
        <v>17876.96</v>
      </c>
      <c r="AD7" s="18">
        <f>'насел.'!AD7+пільги!AD7+субсидії!AD7+'держ.бюджет'!AD7+'місц.-районн.бюджет'!AD7+областной!AD7+інші!AD7</f>
        <v>486.96661018153236</v>
      </c>
      <c r="AE7" s="18">
        <f>'насел.'!AE7+пільги!AE7+субсидії!AE7+'держ.бюджет'!AE7+'місц.-районн.бюджет'!AE7+областной!AE7+інші!AE7</f>
        <v>33150.1</v>
      </c>
      <c r="AF7" s="18">
        <f>'насел.'!AF7+пільги!AF7+субсидії!AF7+'держ.бюджет'!AF7+'місц.-районн.бюджет'!AF7+областной!AF7+інші!AF7</f>
        <v>18980.1</v>
      </c>
      <c r="AG7" s="18">
        <f>'насел.'!AG7+пільги!AG7+субсидії!AG7+'держ.бюджет'!AG7+'місц.-районн.бюджет'!AG7+областной!AG7+інші!AG7</f>
        <v>565.4001099415882</v>
      </c>
      <c r="AH7" s="18">
        <f>'насел.'!AH7+пільги!AH7+субсидії!AH7+'держ.бюджет'!AH7+'місц.-районн.бюджет'!AH7+областной!AH7+інші!AH7</f>
        <v>28723.579999999994</v>
      </c>
      <c r="AI7" s="18">
        <f>'насел.'!AI7+пільги!AI7+субсидії!AI7+'держ.бюджет'!AI7+'місц.-районн.бюджет'!AI7+областной!AI7+інші!AI7</f>
        <v>27602.000000000004</v>
      </c>
      <c r="AJ7" s="18">
        <f>'насел.'!AJ7+пільги!AJ7+субсидії!AJ7+'держ.бюджет'!AJ7+'місц.-районн.бюджет'!AJ7+областной!AJ7+інші!AJ7</f>
        <v>86030.80999999998</v>
      </c>
      <c r="AK7" s="18">
        <f>'насел.'!AK7+пільги!AK7+субсидії!AK7+'держ.бюджет'!AK7+'місц.-районн.бюджет'!AK7+областной!AK7+інші!AK7</f>
        <v>64459.05999999999</v>
      </c>
      <c r="AL7" s="18">
        <f>AK7/AJ7*100</f>
        <v>74.92555283392079</v>
      </c>
      <c r="AM7" s="18">
        <f>'насел.'!AM7+пільги!AM7+субсидії!AM7+'держ.бюджет'!AM7+'місц.-районн.бюджет'!AM7+областной!AM7+інші!AM7</f>
        <v>26403.899999999994</v>
      </c>
      <c r="AN7" s="18">
        <f>'насел.'!AN7+пільги!AN7+субсидії!AN7+'держ.бюджет'!AN7+'місц.-районн.бюджет'!AN7+областной!AN7+інші!AN7</f>
        <v>21692.899999999994</v>
      </c>
      <c r="AO7" s="18">
        <f>'насел.'!AO7+пільги!AO7+субсидії!AO7+'держ.бюджет'!AO7+'місц.-районн.бюджет'!AO7+областной!AO7+інші!AO7</f>
        <v>250313.31000000006</v>
      </c>
      <c r="AP7" s="18">
        <f>'насел.'!AP7+пільги!AP7+субсидії!AP7+'держ.бюджет'!AP7+'місц.-районн.бюджет'!AP7+областной!AP7+інші!AP7</f>
        <v>223443.96000000005</v>
      </c>
      <c r="AQ7" s="11">
        <f aca="true" t="shared" si="2" ref="AQ7:AQ27">AP7/AO7*100</f>
        <v>89.26571263829318</v>
      </c>
      <c r="AR7" s="18">
        <f>'насел.'!AR7+пільги!AR7+субсидії!AR7+'держ.бюджет'!AR7+'місц.-районн.бюджет'!AR7+областной!AR7+інші!AR7</f>
        <v>26869.35</v>
      </c>
      <c r="AS7" s="18">
        <f>'насел.'!AS7+пільги!AS7+субсидії!AS7+'держ.бюджет'!AS7+'місц.-районн.бюджет'!AS7+областной!AS7+інші!AS7</f>
        <v>37969.94999999999</v>
      </c>
      <c r="AT7" s="48">
        <f>M7+Y7+AJ7+AM7</f>
        <v>250313.30999999997</v>
      </c>
      <c r="AU7" s="48">
        <f>N7+Z7+AK7+AN7</f>
        <v>223443.96</v>
      </c>
      <c r="AV7" s="48">
        <f>AT7-AU7</f>
        <v>26869.349999999977</v>
      </c>
      <c r="AW7" s="48">
        <f>C7+AT7-AU7</f>
        <v>37969.94999999998</v>
      </c>
    </row>
    <row r="8" spans="1:45" ht="27" customHeight="1">
      <c r="A8" s="13" t="s">
        <v>13</v>
      </c>
      <c r="B8" s="47" t="s">
        <v>91</v>
      </c>
      <c r="C8" s="18">
        <f>'насел.'!C8+пільги!C8+субсидії!C8+'держ.бюджет'!C8+'місц.-районн.бюджет'!C8+областной!C8+інші!C8</f>
        <v>-2009.1000000000004</v>
      </c>
      <c r="D8" s="14">
        <f>'насел.'!D8+пільги!D8+субсидії!D8+'держ.бюджет'!D8+'місц.-районн.бюджет'!D8+областной!D8+інші!D8</f>
        <v>1672.1</v>
      </c>
      <c r="E8" s="14">
        <f>'насел.'!E8+пільги!E8+субсидії!E8+'держ.бюджет'!E8+'місц.-районн.бюджет'!E8+областной!E8+інші!E8</f>
        <v>1523.3999999999999</v>
      </c>
      <c r="F8" s="11">
        <f>E8/D8*100</f>
        <v>91.10699120865976</v>
      </c>
      <c r="G8" s="14">
        <f>'насел.'!G8+пільги!G8+субсидії!G8+'держ.бюджет'!G8+'місц.-районн.бюджет'!G8+областной!G8+інші!G8</f>
        <v>1662.4</v>
      </c>
      <c r="H8" s="14">
        <f>'насел.'!H8+пільги!H8+субсидії!H8+'держ.бюджет'!H8+'місц.-районн.бюджет'!H8+областной!H8+інші!H8</f>
        <v>2410.8</v>
      </c>
      <c r="I8" s="11">
        <f aca="true" t="shared" si="3" ref="I8:I27">H8/G8*100</f>
        <v>145.01924927815207</v>
      </c>
      <c r="J8" s="14">
        <f>'насел.'!J8+пільги!J8+субсидії!J8+'держ.бюджет'!J8+'місц.-районн.бюджет'!J8+областной!J8+інші!J8</f>
        <v>1628.1999999999998</v>
      </c>
      <c r="K8" s="14">
        <f>'насел.'!AP8+пільги!AP8+субсидії!AP8+'держ.бюджет'!AP8+'місц.-районн.бюджет'!AP8+областной!AP8+інші!AP8</f>
        <v>16894.2</v>
      </c>
      <c r="L8" s="11">
        <f aca="true" t="shared" si="4" ref="L8:L28">K8/J8*100</f>
        <v>1037.599803463948</v>
      </c>
      <c r="M8" s="11">
        <f>'насел.'!M8+пільги!M8+субсидії!M8+'держ.бюджет'!M8+'місц.-районн.бюджет'!M8+областной!M8+інші!M8</f>
        <v>4962.700000000001</v>
      </c>
      <c r="N8" s="11">
        <f>'насел.'!N8+пільги!N8+субсидії!N8+'держ.бюджет'!N8+'місц.-районн.бюджет'!N8+областной!N8+інші!N8</f>
        <v>5963.7</v>
      </c>
      <c r="O8" s="11">
        <f t="shared" si="0"/>
        <v>120.17047171902391</v>
      </c>
      <c r="P8" s="18">
        <f>'насел.'!P8+пільги!P8+субсидії!P8+'держ.бюджет'!P8+'місц.-районн.бюджет'!P8+областной!P8+інші!P8</f>
        <v>1592.8999999999999</v>
      </c>
      <c r="Q8" s="18">
        <f>'насел.'!Q8+пільги!Q8+субсидії!Q8+'держ.бюджет'!Q8+'місц.-районн.бюджет'!Q8+областной!Q8+інші!Q8</f>
        <v>2471.2</v>
      </c>
      <c r="R8" s="11">
        <f aca="true" t="shared" si="5" ref="R8:R28">Q8/P8*100</f>
        <v>155.13842676878647</v>
      </c>
      <c r="S8" s="18">
        <f>'насел.'!S8+пільги!S8+субсидії!S8+'держ.бюджет'!S8+'місц.-районн.бюджет'!S8+областной!S8+інші!S8</f>
        <v>1644.8999999999999</v>
      </c>
      <c r="T8" s="18">
        <f>'насел.'!T8+пільги!T8+субсидії!T8+'держ.бюджет'!T8+'місц.-районн.бюджет'!T8+областной!T8+інші!T8</f>
        <v>1481.5000000000002</v>
      </c>
      <c r="U8" s="11">
        <f aca="true" t="shared" si="6" ref="U8:U28">T8/S8*100</f>
        <v>90.06626542646971</v>
      </c>
      <c r="V8" s="18">
        <f>'насел.'!V8+пільги!V8+субсидії!V8+'держ.бюджет'!V8+'місц.-районн.бюджет'!V8+областной!V8+інші!V8</f>
        <v>1631.5</v>
      </c>
      <c r="W8" s="18">
        <f>'насел.'!W8+пільги!W8+субсидії!W8+'держ.бюджет'!W8+'місц.-районн.бюджет'!W8+областной!W8+інші!W8</f>
        <v>2099.6</v>
      </c>
      <c r="X8" s="11">
        <f aca="true" t="shared" si="7" ref="X8:X28">W8/V8*100</f>
        <v>128.6913882929819</v>
      </c>
      <c r="Y8" s="18">
        <f>'насел.'!Y8+пільги!Y8+субсидії!Y8+'держ.бюджет'!Y8+'місц.-районн.бюджет'!Y8+областной!Y8+інші!Y8</f>
        <v>4869.299999999999</v>
      </c>
      <c r="Z8" s="18">
        <f>'насел.'!Z8+пільги!Z8+субсидії!Z8+'держ.бюджет'!Z8+'місц.-районн.бюджет'!Z8+областной!Z8+інші!Z8</f>
        <v>6052.300000000001</v>
      </c>
      <c r="AA8" s="11">
        <f t="shared" si="1"/>
        <v>124.29507321380902</v>
      </c>
      <c r="AB8" s="18">
        <f>'насел.'!AB8+пільги!AB8+субсидії!AB8+'держ.бюджет'!AB8+'місц.-районн.бюджет'!AB8+областной!AB8+інші!AB8</f>
        <v>1687.6999999999998</v>
      </c>
      <c r="AC8" s="18">
        <f>'насел.'!AC8+пільги!AC8+субсидії!AC8+'держ.бюджет'!AC8+'місц.-районн.бюджет'!AC8+областной!AC8+інші!AC8</f>
        <v>1230.7</v>
      </c>
      <c r="AD8" s="11">
        <f aca="true" t="shared" si="8" ref="AD8:AD28">AC8/AB8*100</f>
        <v>72.92172779522429</v>
      </c>
      <c r="AE8" s="18">
        <f>'насел.'!AE8+пільги!AE8+субсидії!AE8+'держ.бюджет'!AE8+'місц.-районн.бюджет'!AE8+областной!AE8+інші!AE8</f>
        <v>1659.7</v>
      </c>
      <c r="AF8" s="18">
        <f>'насел.'!AF8+пільги!AF8+субсидії!AF8+'держ.бюджет'!AF8+'місц.-районн.бюджет'!AF8+областной!AF8+інші!AF8</f>
        <v>1261.8</v>
      </c>
      <c r="AG8" s="11">
        <f aca="true" t="shared" si="9" ref="AG8:AG28">AF8/AE8*100</f>
        <v>76.02578779297463</v>
      </c>
      <c r="AH8" s="18">
        <f>'насел.'!AH8+пільги!AH8+субсидії!AH8+'держ.бюджет'!AH8+'місц.-районн.бюджет'!AH8+областной!AH8+інші!AH8</f>
        <v>1695.6999999999998</v>
      </c>
      <c r="AI8" s="18">
        <f>'насел.'!AI8+пільги!AI8+субсидії!AI8+'держ.бюджет'!AI8+'місц.-районн.бюджет'!AI8+областной!AI8+інші!AI8</f>
        <v>1191.1999999999998</v>
      </c>
      <c r="AJ8" s="18">
        <f>'насел.'!AJ8+пільги!AJ8+субсидії!AJ8+'держ.бюджет'!AJ8+'місц.-районн.бюджет'!AJ8+областной!AJ8+інші!AJ8</f>
        <v>5043.1</v>
      </c>
      <c r="AK8" s="18">
        <f>'насел.'!AK8+пільги!AK8+субсидії!AK8+'держ.бюджет'!AK8+'місц.-районн.бюджет'!AK8+областной!AK8+інші!AK8</f>
        <v>3683.7</v>
      </c>
      <c r="AL8" s="18">
        <f aca="true" t="shared" si="10" ref="AL8:AL43">AK8/AJ8*100</f>
        <v>73.04435763716761</v>
      </c>
      <c r="AM8" s="18">
        <f>'насел.'!AM8+пільги!AM8+субсидії!AM8+'держ.бюджет'!AM8+'місц.-районн.бюджет'!AM8+областной!AM8+інші!AM8</f>
        <v>1678.1999999999998</v>
      </c>
      <c r="AN8" s="18">
        <f>'насел.'!AN8+пільги!AN8+субсидії!AN8+'держ.бюджет'!AN8+'місц.-районн.бюджет'!AN8+областной!AN8+інші!AN8</f>
        <v>1194.5</v>
      </c>
      <c r="AO8" s="18">
        <f>'насел.'!AO8+пільги!AO8+субсидії!AO8+'держ.бюджет'!AO8+'місц.-районн.бюджет'!AO8+областной!AO8+інші!AO8</f>
        <v>16553.3</v>
      </c>
      <c r="AP8" s="18">
        <f>'насел.'!AP8+пільги!AP8+субсидії!AP8+'держ.бюджет'!AP8+'місц.-районн.бюджет'!AP8+областной!AP8+інші!AP8</f>
        <v>16894.2</v>
      </c>
      <c r="AQ8" s="11">
        <f t="shared" si="2"/>
        <v>102.05940809385442</v>
      </c>
      <c r="AR8" s="18">
        <f>'насел.'!AR8+пільги!AR8+субсидії!AR8+'держ.бюджет'!AR8+'місц.-районн.бюджет'!AR8+областной!AR8+інші!AR8</f>
        <v>-340.8999999999992</v>
      </c>
      <c r="AS8" s="141">
        <f>'насел.'!AS8+пільги!AS8+субсидії!AS8+'держ.бюджет'!AS8+'місц.-районн.бюджет'!AS8+областной!AS8+інші!AS8</f>
        <v>-2350</v>
      </c>
    </row>
    <row r="9" spans="1:45" ht="27" customHeight="1">
      <c r="A9" s="13" t="s">
        <v>14</v>
      </c>
      <c r="B9" s="47" t="s">
        <v>92</v>
      </c>
      <c r="C9" s="18">
        <f>'насел.'!C9+пільги!C9+субсидії!C9+'держ.бюджет'!C9+'місц.-районн.бюджет'!C9+областной!C9+інші!C9</f>
        <v>-652.5</v>
      </c>
      <c r="D9" s="14">
        <f>'насел.'!D9+пільги!D9+субсидії!D9+'держ.бюджет'!D9+'місц.-районн.бюджет'!D9+областной!D9+інші!D9</f>
        <v>272.8</v>
      </c>
      <c r="E9" s="14">
        <f>'насел.'!E9+пільги!E9+субсидії!E9+'держ.бюджет'!E9+'місц.-районн.бюджет'!E9+областной!E9+інші!E9</f>
        <v>783.8999999999999</v>
      </c>
      <c r="F9" s="11">
        <f aca="true" t="shared" si="11" ref="F9:F28">E9/D9*100</f>
        <v>287.35337243401756</v>
      </c>
      <c r="G9" s="14">
        <f>'насел.'!G9+пільги!G9+субсидії!G9+'держ.бюджет'!G9+'місц.-районн.бюджет'!G9+областной!G9+інші!G9</f>
        <v>280.8</v>
      </c>
      <c r="H9" s="14">
        <f>'насел.'!H9+пільги!H9+субсидії!H9+'держ.бюджет'!H9+'місц.-районн.бюджет'!H9+областной!H9+інші!H9</f>
        <v>123.80000000000001</v>
      </c>
      <c r="I9" s="11">
        <f t="shared" si="3"/>
        <v>44.08831908831909</v>
      </c>
      <c r="J9" s="14">
        <f>'насел.'!J9+пільги!J9+субсидії!J9+'держ.бюджет'!J9+'місц.-районн.бюджет'!J9+областной!J9+інші!J9</f>
        <v>279.9</v>
      </c>
      <c r="K9" s="14">
        <f>'насел.'!AP9+пільги!AP9+субсидії!AP9+'держ.бюджет'!AP9+'місц.-районн.бюджет'!AP9+областной!AP9+інші!AP9</f>
        <v>2658.2</v>
      </c>
      <c r="L9" s="11">
        <f t="shared" si="4"/>
        <v>949.6963201143265</v>
      </c>
      <c r="M9" s="11">
        <f>'насел.'!M9+пільги!M9+субсидії!M9+'держ.бюджет'!M9+'місц.-районн.бюджет'!M9+областной!M9+інші!M9</f>
        <v>833.4999999999999</v>
      </c>
      <c r="N9" s="11">
        <f>'насел.'!N9+пільги!N9+субсидії!N9+'держ.бюджет'!N9+'місц.-районн.бюджет'!N9+областной!N9+інші!N9</f>
        <v>1316.9999999999998</v>
      </c>
      <c r="O9" s="11">
        <f t="shared" si="0"/>
        <v>158.00839832033594</v>
      </c>
      <c r="P9" s="18">
        <f>'насел.'!P9+пільги!P9+субсидії!P9+'держ.бюджет'!P9+'місц.-районн.бюджет'!P9+областной!P9+інші!P9</f>
        <v>269.40000000000003</v>
      </c>
      <c r="Q9" s="18">
        <f>'насел.'!Q9+пільги!Q9+субсидії!Q9+'держ.бюджет'!Q9+'місц.-районн.бюджет'!Q9+областной!Q9+інші!Q9</f>
        <v>407.69999999999993</v>
      </c>
      <c r="R9" s="11">
        <f t="shared" si="5"/>
        <v>151.3363028953229</v>
      </c>
      <c r="S9" s="18">
        <f>'насел.'!S9+пільги!S9+субсидії!S9+'держ.бюджет'!S9+'місц.-районн.бюджет'!S9+областной!S9+інші!S9</f>
        <v>272.20000000000005</v>
      </c>
      <c r="T9" s="18">
        <f>'насел.'!T9+пільги!T9+субсидії!T9+'держ.бюджет'!T9+'місц.-районн.бюджет'!T9+областной!T9+інші!T9</f>
        <v>127.9</v>
      </c>
      <c r="U9" s="11">
        <f t="shared" si="6"/>
        <v>46.98750918442322</v>
      </c>
      <c r="V9" s="18">
        <f>'насел.'!V9+пільги!V9+субсидії!V9+'держ.бюджет'!V9+'місц.-районн.бюджет'!V9+областной!V9+інші!V9</f>
        <v>269.7</v>
      </c>
      <c r="W9" s="18">
        <f>'насел.'!W9+пільги!W9+субсидії!W9+'держ.бюджет'!W9+'місц.-районн.бюджет'!W9+областной!W9+інші!W9</f>
        <v>159.1</v>
      </c>
      <c r="X9" s="11">
        <f t="shared" si="7"/>
        <v>58.99147200593252</v>
      </c>
      <c r="Y9" s="18">
        <f>'насел.'!Y9+пільги!Y9+субсидії!Y9+'держ.бюджет'!Y9+'місц.-районн.бюджет'!Y9+областной!Y9+інші!Y9</f>
        <v>811.3</v>
      </c>
      <c r="Z9" s="18">
        <f>'насел.'!Z9+пільги!Z9+субсидії!Z9+'держ.бюджет'!Z9+'місц.-районн.бюджет'!Z9+областной!Z9+інші!Z9</f>
        <v>694.7</v>
      </c>
      <c r="AA9" s="11">
        <f t="shared" si="1"/>
        <v>85.62800443732283</v>
      </c>
      <c r="AB9" s="18">
        <f>'насел.'!AB9+пільги!AB9+субсидії!AB9+'держ.бюджет'!AB9+'місц.-районн.бюджет'!AB9+областной!AB9+інші!AB9</f>
        <v>248.99999999999997</v>
      </c>
      <c r="AC9" s="18">
        <f>'насел.'!AC9+пільги!AC9+субсидії!AC9+'держ.бюджет'!AC9+'місц.-районн.бюджет'!AC9+областной!AC9+інші!AC9</f>
        <v>177.99999999999997</v>
      </c>
      <c r="AD9" s="11">
        <f t="shared" si="8"/>
        <v>71.4859437751004</v>
      </c>
      <c r="AE9" s="18">
        <f>'насел.'!AE9+пільги!AE9+субсидії!AE9+'держ.бюджет'!AE9+'місц.-районн.бюджет'!AE9+областной!AE9+інші!AE9</f>
        <v>275.3</v>
      </c>
      <c r="AF9" s="18">
        <f>'насел.'!AF9+пільги!AF9+субсидії!AF9+'держ.бюджет'!AF9+'місц.-районн.бюджет'!AF9+областной!AF9+інші!AF9</f>
        <v>118.30000000000001</v>
      </c>
      <c r="AG9" s="11">
        <f t="shared" si="9"/>
        <v>42.97130403196513</v>
      </c>
      <c r="AH9" s="18">
        <f>'насел.'!AH9+пільги!AH9+субсидії!AH9+'держ.бюджет'!AH9+'місц.-районн.бюджет'!AH9+областной!AH9+інші!AH9</f>
        <v>226.6</v>
      </c>
      <c r="AI9" s="18">
        <f>'насел.'!AI9+пільги!AI9+субсидії!AI9+'держ.бюджет'!AI9+'місц.-районн.бюджет'!AI9+областной!AI9+інші!AI9</f>
        <v>192.7</v>
      </c>
      <c r="AJ9" s="18">
        <f>'насел.'!AJ9+пільги!AJ9+субсидії!AJ9+'держ.бюджет'!AJ9+'місц.-районн.бюджет'!AJ9+областной!AJ9+інші!AJ9</f>
        <v>750.8999999999999</v>
      </c>
      <c r="AK9" s="18">
        <f>'насел.'!AK9+пільги!AK9+субсидії!AK9+'держ.бюджет'!AK9+'місц.-районн.бюджет'!AK9+областной!AK9+інші!AK9</f>
        <v>489.00000000000006</v>
      </c>
      <c r="AL9" s="18">
        <f t="shared" si="10"/>
        <v>65.12185377546945</v>
      </c>
      <c r="AM9" s="18">
        <f>'насел.'!AM9+пільги!AM9+субсидії!AM9+'держ.бюджет'!AM9+'місц.-районн.бюджет'!AM9+областной!AM9+інші!AM9</f>
        <v>258.7</v>
      </c>
      <c r="AN9" s="18">
        <f>'насел.'!AN9+пільги!AN9+субсидії!AN9+'держ.бюджет'!AN9+'місц.-районн.бюджет'!AN9+областной!AN9+інші!AN9</f>
        <v>157.5</v>
      </c>
      <c r="AO9" s="18">
        <f>'насел.'!AO9+пільги!AO9+субсидії!AO9+'держ.бюджет'!AO9+'місц.-районн.бюджет'!AO9+областной!AO9+інші!AO9</f>
        <v>2654.3999999999996</v>
      </c>
      <c r="AP9" s="18">
        <f>'насел.'!AP9+пільги!AP9+субсидії!AP9+'держ.бюджет'!AP9+'місц.-районн.бюджет'!AP9+областной!AP9+інші!AP9</f>
        <v>2658.2</v>
      </c>
      <c r="AQ9" s="11">
        <f t="shared" si="2"/>
        <v>100.14315852923448</v>
      </c>
      <c r="AR9" s="18">
        <f>'насел.'!AR9+пільги!AR9+субсидії!AR9+'держ.бюджет'!AR9+'місц.-районн.бюджет'!AR9+областной!AR9+інші!AR9</f>
        <v>-3.7999999999998924</v>
      </c>
      <c r="AS9" s="141">
        <f>'насел.'!AS9+пільги!AS9+субсидії!AS9+'держ.бюджет'!AS9+'місц.-районн.бюджет'!AS9+областной!AS9+інші!AS9</f>
        <v>-656.3000000000001</v>
      </c>
    </row>
    <row r="10" spans="1:45" s="172" customFormat="1" ht="27" customHeight="1">
      <c r="A10" s="168" t="s">
        <v>15</v>
      </c>
      <c r="B10" s="169" t="s">
        <v>133</v>
      </c>
      <c r="C10" s="18">
        <f>'насел.'!C10+пільги!C10+субсидії!C10+'держ.бюджет'!C10+'місц.-районн.бюджет'!C10+областной!C10+інші!C10</f>
        <v>-95.9</v>
      </c>
      <c r="D10" s="170">
        <f>'насел.'!D10+пільги!D10+субсидії!D10+'держ.бюджет'!D10+'місц.-районн.бюджет'!D10+областной!D10+інші!D10</f>
        <v>65</v>
      </c>
      <c r="E10" s="170">
        <f>'насел.'!E10+пільги!E10+субсидії!E10+'держ.бюджет'!E10+'місц.-районн.бюджет'!E10+областной!E10+інші!E10</f>
        <v>107.2</v>
      </c>
      <c r="F10" s="145">
        <f t="shared" si="11"/>
        <v>164.92307692307693</v>
      </c>
      <c r="G10" s="170">
        <f>'насел.'!G10+пільги!G10+субсидії!G10+'держ.бюджет'!G10+'місц.-районн.бюджет'!G10+областной!G10+інші!G10</f>
        <v>88.89999999999999</v>
      </c>
      <c r="H10" s="170">
        <f>'насел.'!H10+пільги!H10+субсидії!H10+'держ.бюджет'!H10+'місц.-районн.бюджет'!H10+областной!H10+інші!H10</f>
        <v>23.799999999999997</v>
      </c>
      <c r="I10" s="145">
        <f t="shared" si="3"/>
        <v>26.77165354330708</v>
      </c>
      <c r="J10" s="170">
        <f>'насел.'!J10+пільги!J10+субсидії!J10+'держ.бюджет'!J10+'місц.-районн.бюджет'!J10+областной!J10+інші!J10</f>
        <v>91.7</v>
      </c>
      <c r="K10" s="170">
        <f>'насел.'!AP10+пільги!AP10+субсидії!AP10+'держ.бюджет'!AP10+'місц.-районн.бюджет'!AP10+областной!AP10+інші!AP10</f>
        <v>997.6999999999999</v>
      </c>
      <c r="L10" s="145">
        <f t="shared" si="4"/>
        <v>1088.0043620501635</v>
      </c>
      <c r="M10" s="11">
        <f>'насел.'!M10+пільги!M10+субсидії!M10+'держ.бюджет'!M10+'місц.-районн.бюджет'!M10+областной!M10+інші!M10</f>
        <v>245.60000000000002</v>
      </c>
      <c r="N10" s="11">
        <f>'насел.'!N10+пільги!N10+субсидії!N10+'держ.бюджет'!N10+'місц.-районн.бюджет'!N10+областной!N10+інші!N10</f>
        <v>180.8</v>
      </c>
      <c r="O10" s="11">
        <f t="shared" si="0"/>
        <v>73.61563517915309</v>
      </c>
      <c r="P10" s="18">
        <f>'насел.'!P10+пільги!P10+субсидії!P10+'держ.бюджет'!P10+'місц.-районн.бюджет'!P10+областной!P10+інші!P10</f>
        <v>87.10000000000001</v>
      </c>
      <c r="Q10" s="18">
        <f>'насел.'!Q10+пільги!Q10+субсидії!Q10+'держ.бюджет'!Q10+'місц.-районн.бюджет'!Q10+областной!Q10+інші!Q10</f>
        <v>408.59999999999997</v>
      </c>
      <c r="R10" s="141">
        <f t="shared" si="5"/>
        <v>469.1159586681974</v>
      </c>
      <c r="S10" s="18">
        <f>'насел.'!S10+пільги!S10+субсидії!S10+'держ.бюджет'!S10+'місц.-районн.бюджет'!S10+областной!S10+інші!S10</f>
        <v>70.8</v>
      </c>
      <c r="T10" s="18">
        <f>'насел.'!T10+пільги!T10+субсидії!T10+'держ.бюджет'!T10+'місц.-районн.бюджет'!T10+областной!T10+інші!T10</f>
        <v>34</v>
      </c>
      <c r="U10" s="141">
        <f t="shared" si="6"/>
        <v>48.0225988700565</v>
      </c>
      <c r="V10" s="18">
        <f>'насел.'!V10+пільги!V10+субсидії!V10+'держ.бюджет'!V10+'місц.-районн.бюджет'!V10+областной!V10+інші!V10</f>
        <v>319.40000000000003</v>
      </c>
      <c r="W10" s="18">
        <f>'насел.'!W10+пільги!W10+субсидії!W10+'держ.бюджет'!W10+'місц.-районн.бюджет'!W10+областной!W10+інші!W10</f>
        <v>31</v>
      </c>
      <c r="X10" s="141">
        <f t="shared" si="7"/>
        <v>9.705698184095178</v>
      </c>
      <c r="Y10" s="18">
        <f>'насел.'!Y10+пільги!Y10+субсидії!Y10+'держ.бюджет'!Y10+'місц.-районн.бюджет'!Y10+областной!Y10+інші!Y10</f>
        <v>477.30000000000007</v>
      </c>
      <c r="Z10" s="18">
        <f>'насел.'!Z10+пільги!Z10+субсидії!Z10+'держ.бюджет'!Z10+'місц.-районн.бюджет'!Z10+областной!Z10+інші!Z10</f>
        <v>473.59999999999997</v>
      </c>
      <c r="AA10" s="11">
        <f t="shared" si="1"/>
        <v>99.22480620155036</v>
      </c>
      <c r="AB10" s="18">
        <f>'насел.'!AB10+пільги!AB10+субсидії!AB10+'держ.бюджет'!AB10+'місц.-районн.бюджет'!AB10+областной!AB10+інші!AB10</f>
        <v>92.6</v>
      </c>
      <c r="AC10" s="18">
        <f>'насел.'!AC10+пільги!AC10+субсидії!AC10+'держ.бюджет'!AC10+'місц.-районн.бюджет'!AC10+областной!AC10+інші!AC10</f>
        <v>35.800000000000004</v>
      </c>
      <c r="AD10" s="141">
        <f t="shared" si="8"/>
        <v>38.66090712742981</v>
      </c>
      <c r="AE10" s="18">
        <f>'насел.'!AE10+пільги!AE10+субсидії!AE10+'держ.бюджет'!AE10+'місц.-районн.бюджет'!AE10+областной!AE10+інші!AE10</f>
        <v>107.6</v>
      </c>
      <c r="AF10" s="18">
        <f>'насел.'!AF10+пільги!AF10+субсидії!AF10+'держ.бюджет'!AF10+'місц.-районн.бюджет'!AF10+областной!AF10+інші!AF10</f>
        <v>71.89999999999999</v>
      </c>
      <c r="AG10" s="141">
        <f t="shared" si="9"/>
        <v>66.82156133828995</v>
      </c>
      <c r="AH10" s="18">
        <f>'насел.'!AH10+пільги!AH10+субсидії!AH10+'держ.бюджет'!AH10+'місц.-районн.бюджет'!AH10+областной!AH10+інші!AH10</f>
        <v>151.3</v>
      </c>
      <c r="AI10" s="18">
        <f>'насел.'!AI10+пільги!AI10+субсидії!AI10+'держ.бюджет'!AI10+'місц.-районн.бюджет'!AI10+областной!AI10+інші!AI10</f>
        <v>171.3</v>
      </c>
      <c r="AJ10" s="18">
        <f>'насел.'!AJ10+пільги!AJ10+субсидії!AJ10+'держ.бюджет'!AJ10+'місц.-районн.бюджет'!AJ10+областной!AJ10+інші!AJ10</f>
        <v>351.50000000000006</v>
      </c>
      <c r="AK10" s="18">
        <f>'насел.'!AK10+пільги!AK10+субсидії!AK10+'держ.бюджет'!AK10+'місц.-районн.бюджет'!AK10+областной!AK10+інші!AK10</f>
        <v>279</v>
      </c>
      <c r="AL10" s="18">
        <f t="shared" si="10"/>
        <v>79.3741109530583</v>
      </c>
      <c r="AM10" s="18">
        <f>'насел.'!AM10+пільги!AM10+субсидії!AM10+'держ.бюджет'!AM10+'місц.-районн.бюджет'!AM10+областной!AM10+інші!AM10</f>
        <v>113.2</v>
      </c>
      <c r="AN10" s="18">
        <f>'насел.'!AN10+пільги!AN10+субсидії!AN10+'держ.бюджет'!AN10+'місц.-районн.бюджет'!AN10+областной!AN10+інші!AN10</f>
        <v>64.3</v>
      </c>
      <c r="AO10" s="18">
        <f>'насел.'!AO10+пільги!AO10+субсидії!AO10+'держ.бюджет'!AO10+'місц.-районн.бюджет'!AO10+областной!AO10+інші!AO10</f>
        <v>1187.6000000000001</v>
      </c>
      <c r="AP10" s="18">
        <f>'насел.'!AP10+пільги!AP10+субсидії!AP10+'держ.бюджет'!AP10+'місц.-районн.бюджет'!AP10+областной!AP10+інші!AP10</f>
        <v>997.6999999999999</v>
      </c>
      <c r="AQ10" s="141">
        <f t="shared" si="2"/>
        <v>84.00976759851801</v>
      </c>
      <c r="AR10" s="171">
        <f>'насел.'!AR10+пільги!AR10+субсидії!AR10+'держ.бюджет'!AR10+'місц.-районн.бюджет'!AR10+областной!AR10+інші!AR10</f>
        <v>189.90000000000006</v>
      </c>
      <c r="AS10" s="141">
        <f>'насел.'!AS10+пільги!AS10+субсидії!AS10+'держ.бюджет'!AS10+'місц.-районн.бюджет'!AS10+областной!AS10+інші!AS10</f>
        <v>94.00000000000011</v>
      </c>
    </row>
    <row r="11" spans="1:45" ht="26.25" customHeight="1">
      <c r="A11" s="13" t="s">
        <v>16</v>
      </c>
      <c r="B11" s="47" t="s">
        <v>93</v>
      </c>
      <c r="C11" s="18">
        <f>'насел.'!C11+пільги!C11+субсидії!C11+'держ.бюджет'!C11+'місц.-районн.бюджет'!C11+областной!C11+інші!C11</f>
        <v>-556.1999999999999</v>
      </c>
      <c r="D11" s="14">
        <f>'насел.'!D11+пільги!D11+субсидії!D11+'держ.бюджет'!D11+'місц.-районн.бюджет'!D11+областной!D11+інші!D11</f>
        <v>941.9999999999999</v>
      </c>
      <c r="E11" s="14">
        <f>'насел.'!E11+пільги!E11+субсидії!E11+'держ.бюджет'!E11+'місц.-районн.бюджет'!E11+областной!E11+інші!E11</f>
        <v>733.6999999999999</v>
      </c>
      <c r="F11" s="11">
        <f t="shared" si="11"/>
        <v>77.88747346072186</v>
      </c>
      <c r="G11" s="14">
        <f>'насел.'!G11+пільги!G11+субсидії!G11+'держ.бюджет'!G11+'місц.-районн.бюджет'!G11+областной!G11+інші!G11</f>
        <v>424.4</v>
      </c>
      <c r="H11" s="14">
        <f>'насел.'!H11+пільги!H11+субсидії!H11+'держ.бюджет'!H11+'місц.-районн.бюджет'!H11+областной!H11+інші!H11</f>
        <v>675.1</v>
      </c>
      <c r="I11" s="11">
        <f t="shared" si="3"/>
        <v>159.07163053722903</v>
      </c>
      <c r="J11" s="14">
        <f>'насел.'!J11+пільги!J11+субсидії!J11+'держ.бюджет'!J11+'місц.-районн.бюджет'!J11+областной!J11+інші!J11</f>
        <v>596.8</v>
      </c>
      <c r="K11" s="14">
        <f>'насел.'!AP11+пільги!AP11+субсидії!AP11+'держ.бюджет'!AP11+'місц.-районн.бюджет'!AP11+областной!AP11+інші!AP11</f>
        <v>5404.800000000001</v>
      </c>
      <c r="L11" s="11">
        <f t="shared" si="4"/>
        <v>905.6300268096518</v>
      </c>
      <c r="M11" s="11">
        <f>'насел.'!M11+пільги!M11+субсидії!M11+'держ.бюджет'!M11+'місц.-районн.бюджет'!M11+областной!M11+інші!M11</f>
        <v>1963.2</v>
      </c>
      <c r="N11" s="11">
        <f>'насел.'!N11+пільги!N11+субсидії!N11+'держ.бюджет'!N11+'місц.-районн.бюджет'!N11+областной!N11+інші!N11</f>
        <v>2181.7</v>
      </c>
      <c r="O11" s="11">
        <f t="shared" si="0"/>
        <v>111.12978810105949</v>
      </c>
      <c r="P11" s="18">
        <f>'насел.'!P11+пільги!P11+субсидії!P11+'держ.бюджет'!P11+'місц.-районн.бюджет'!P11+областной!P11+інші!P11</f>
        <v>421.20000000000005</v>
      </c>
      <c r="Q11" s="18">
        <f>'насел.'!Q11+пільги!Q11+субсидії!Q11+'держ.бюджет'!Q11+'місц.-районн.бюджет'!Q11+областной!Q11+інші!Q11</f>
        <v>245.89999999999998</v>
      </c>
      <c r="R11" s="11">
        <f t="shared" si="5"/>
        <v>58.38081671415004</v>
      </c>
      <c r="S11" s="18">
        <f>'насел.'!S11+пільги!S11+субсидії!S11+'держ.бюджет'!S11+'місц.-районн.бюджет'!S11+областной!S11+інші!S11</f>
        <v>408.9</v>
      </c>
      <c r="T11" s="18">
        <f>'насел.'!T11+пільги!T11+субсидії!T11+'держ.бюджет'!T11+'місц.-районн.бюджет'!T11+областной!T11+інші!T11</f>
        <v>-255.3</v>
      </c>
      <c r="U11" s="11">
        <f t="shared" si="6"/>
        <v>-62.435803374908296</v>
      </c>
      <c r="V11" s="18">
        <f>'насел.'!V11+пільги!V11+субсидії!V11+'держ.бюджет'!V11+'місц.-районн.бюджет'!V11+областной!V11+інші!V11</f>
        <v>709.1000000000001</v>
      </c>
      <c r="W11" s="18">
        <f>'насел.'!W11+пільги!W11+субсидії!W11+'держ.бюджет'!W11+'місц.-районн.бюджет'!W11+областной!W11+інші!W11</f>
        <v>644.3</v>
      </c>
      <c r="X11" s="11">
        <f t="shared" si="7"/>
        <v>90.86165561979972</v>
      </c>
      <c r="Y11" s="18">
        <f>'насел.'!Y11+пільги!Y11+субсидії!Y11+'держ.бюджет'!Y11+'місц.-районн.бюджет'!Y11+областной!Y11+інші!Y11</f>
        <v>1539.1999999999998</v>
      </c>
      <c r="Z11" s="18">
        <f>'насел.'!Z11+пільги!Z11+субсидії!Z11+'держ.бюджет'!Z11+'місц.-районн.бюджет'!Z11+областной!Z11+інші!Z11</f>
        <v>634.9</v>
      </c>
      <c r="AA11" s="11">
        <f t="shared" si="1"/>
        <v>41.24870062370063</v>
      </c>
      <c r="AB11" s="18">
        <f>'насел.'!AB11+пільги!AB11+субсидії!AB11+'держ.бюджет'!AB11+'місц.-районн.бюджет'!AB11+областной!AB11+інші!AB11</f>
        <v>42.5</v>
      </c>
      <c r="AC11" s="18">
        <f>'насел.'!AC11+пільги!AC11+субсидії!AC11+'держ.бюджет'!AC11+'місц.-районн.бюджет'!AC11+областной!AC11+інші!AC11</f>
        <v>489.1</v>
      </c>
      <c r="AD11" s="11">
        <f t="shared" si="8"/>
        <v>1150.8235294117649</v>
      </c>
      <c r="AE11" s="18">
        <f>'насел.'!AE11+пільги!AE11+субсидії!AE11+'держ.бюджет'!AE11+'місц.-районн.бюджет'!AE11+областной!AE11+інші!AE11</f>
        <v>645.0999999999999</v>
      </c>
      <c r="AF11" s="18">
        <f>'насел.'!AF11+пільги!AF11+субсидії!AF11+'держ.бюджет'!AF11+'місц.-районн.бюджет'!AF11+областной!AF11+інші!AF11</f>
        <v>709.3000000000001</v>
      </c>
      <c r="AG11" s="11">
        <f t="shared" si="9"/>
        <v>109.95194543481632</v>
      </c>
      <c r="AH11" s="18">
        <f>'насел.'!AH11+пільги!AH11+субсидії!AH11+'держ.бюджет'!AH11+'місц.-районн.бюджет'!AH11+областной!AH11+інші!AH11</f>
        <v>596.1999999999999</v>
      </c>
      <c r="AI11" s="18">
        <f>'насел.'!AI11+пільги!AI11+субсидії!AI11+'держ.бюджет'!AI11+'місц.-районн.бюджет'!AI11+областной!AI11+інші!AI11</f>
        <v>728.4000000000001</v>
      </c>
      <c r="AJ11" s="18">
        <f>'насел.'!AJ11+пільги!AJ11+субсидії!AJ11+'держ.бюджет'!AJ11+'місц.-районн.бюджет'!AJ11+областной!AJ11+інші!AJ11</f>
        <v>1283.7999999999997</v>
      </c>
      <c r="AK11" s="18">
        <f>'насел.'!AK11+пільги!AK11+субсидії!AK11+'держ.бюджет'!AK11+'місц.-районн.бюджет'!AK11+областной!AK11+інші!AK11</f>
        <v>1926.8</v>
      </c>
      <c r="AL11" s="18">
        <f t="shared" si="10"/>
        <v>150.08568312821316</v>
      </c>
      <c r="AM11" s="18">
        <f>'насел.'!AM11+пільги!AM11+субсидії!AM11+'держ.бюджет'!AM11+'місц.-районн.бюджет'!AM11+областной!AM11+інші!AM11</f>
        <v>690.3</v>
      </c>
      <c r="AN11" s="18">
        <f>'насел.'!AN11+пільги!AN11+субсидії!AN11+'держ.бюджет'!AN11+'місц.-районн.бюджет'!AN11+областной!AN11+інші!AN11</f>
        <v>661.4</v>
      </c>
      <c r="AO11" s="18">
        <f>'насел.'!AO11+пільги!AO11+субсидії!AO11+'держ.бюджет'!AO11+'місц.-районн.бюджет'!AO11+областной!AO11+інші!AO11</f>
        <v>5476.5</v>
      </c>
      <c r="AP11" s="18">
        <f>'насел.'!AP11+пільги!AP11+субсидії!AP11+'держ.бюджет'!AP11+'місц.-районн.бюджет'!AP11+областной!AP11+інші!AP11</f>
        <v>5404.800000000001</v>
      </c>
      <c r="AQ11" s="11">
        <f t="shared" si="2"/>
        <v>98.69076965215011</v>
      </c>
      <c r="AR11" s="18">
        <f>'насел.'!AR11+пільги!AR11+субсидії!AR11+'держ.бюджет'!AR11+'місц.-районн.бюджет'!AR11+областной!AR11+інші!AR11</f>
        <v>71.69999999999958</v>
      </c>
      <c r="AS11" s="18">
        <f>'насел.'!AS11+пільги!AS11+субсидії!AS11+'держ.бюджет'!AS11+'місц.-районн.бюджет'!AS11+областной!AS11+інші!AS11</f>
        <v>-484.5000000000005</v>
      </c>
    </row>
    <row r="12" spans="1:45" s="172" customFormat="1" ht="25.5" customHeight="1">
      <c r="A12" s="168" t="s">
        <v>17</v>
      </c>
      <c r="B12" s="173" t="s">
        <v>94</v>
      </c>
      <c r="C12" s="18">
        <f>'насел.'!C12+пільги!C12+субсидії!C12+'держ.бюджет'!C12+'місц.-районн.бюджет'!C12+областной!C12+інші!C12</f>
        <v>51.90000000000005</v>
      </c>
      <c r="D12" s="174">
        <f>'насел.'!D12+пільги!D12+субсидії!D12+'держ.бюджет'!D12+'місц.-районн.бюджет'!D12+областной!D12+інші!D12</f>
        <v>369.29999999999995</v>
      </c>
      <c r="E12" s="174">
        <f>'насел.'!E12+пільги!E12+субсидії!E12+'держ.бюджет'!E12+'місц.-районн.бюджет'!E12+областной!E12+інші!E12</f>
        <v>615.6</v>
      </c>
      <c r="F12" s="64">
        <f t="shared" si="11"/>
        <v>166.693744922827</v>
      </c>
      <c r="G12" s="174">
        <f>'насел.'!G12+пільги!G12+субсидії!G12+'держ.бюджет'!G12+'місц.-районн.бюджет'!G12+областной!G12+інші!G12</f>
        <v>398.40000000000003</v>
      </c>
      <c r="H12" s="174">
        <f>'насел.'!H12+пільги!H12+субсидії!H12+'держ.бюджет'!H12+'місц.-районн.бюджет'!H12+областной!H12+інші!H12</f>
        <v>130.5</v>
      </c>
      <c r="I12" s="64">
        <f t="shared" si="3"/>
        <v>32.75602409638554</v>
      </c>
      <c r="J12" s="14">
        <f>'насел.'!J12+пільги!J12+субсидії!J12+'держ.бюджет'!J12+'місц.-районн.бюджет'!J12+областной!J12+інші!J12</f>
        <v>426.09999999999997</v>
      </c>
      <c r="K12" s="174">
        <f>'насел.'!AP12+пільги!AP12+субсидії!AP12+'держ.бюджет'!AP12+'місц.-районн.бюджет'!AP12+областной!AP12+інші!AP12</f>
        <v>4007.1999999999994</v>
      </c>
      <c r="L12" s="64">
        <f t="shared" si="4"/>
        <v>940.4365172494719</v>
      </c>
      <c r="M12" s="11">
        <f>'насел.'!M12+пільги!M12+субсидії!M12+'держ.бюджет'!M12+'місц.-районн.бюджет'!M12+областной!M12+інші!M12</f>
        <v>1193.8</v>
      </c>
      <c r="N12" s="11">
        <f>'насел.'!N12+пільги!N12+субсидії!N12+'держ.бюджет'!N12+'місц.-районн.бюджет'!N12+областной!N12+інші!N12</f>
        <v>1225.4</v>
      </c>
      <c r="O12" s="11">
        <f t="shared" si="0"/>
        <v>102.64700954933825</v>
      </c>
      <c r="P12" s="18">
        <f>'насел.'!P12+пільги!P12+субсидії!P12+'держ.бюджет'!P12+'місц.-районн.бюджет'!P12+областной!P12+інші!P12</f>
        <v>471.5</v>
      </c>
      <c r="Q12" s="18">
        <f>'насел.'!Q12+пільги!Q12+субсидії!Q12+'держ.бюджет'!Q12+'місц.-районн.бюджет'!Q12+областной!Q12+інші!Q12</f>
        <v>340.69999999999993</v>
      </c>
      <c r="R12" s="64">
        <f t="shared" si="5"/>
        <v>72.25874867444325</v>
      </c>
      <c r="S12" s="18">
        <f>'насел.'!S12+пільги!S12+субсидії!S12+'держ.бюджет'!S12+'місц.-районн.бюджет'!S12+областной!S12+інші!S12</f>
        <v>-261.8</v>
      </c>
      <c r="T12" s="18">
        <f>'насел.'!T12+пільги!T12+субсидії!T12+'держ.бюджет'!T12+'місц.-районн.бюджет'!T12+областной!T12+інші!T12</f>
        <v>179.3</v>
      </c>
      <c r="U12" s="64">
        <f t="shared" si="6"/>
        <v>-68.4873949579832</v>
      </c>
      <c r="V12" s="18">
        <f>'насел.'!V12+пільги!V12+субсидії!V12+'держ.бюджет'!V12+'місц.-районн.бюджет'!V12+областной!V12+інші!V12</f>
        <v>1006.0999999999999</v>
      </c>
      <c r="W12" s="18">
        <f>'насел.'!W12+пільги!W12+субсидії!W12+'держ.бюджет'!W12+'місц.-районн.бюджет'!W12+областной!W12+інші!W12</f>
        <v>235.3</v>
      </c>
      <c r="X12" s="64">
        <f t="shared" si="7"/>
        <v>23.38733724281881</v>
      </c>
      <c r="Y12" s="18">
        <f>'насел.'!Y12+пільги!Y12+субсидії!Y12+'держ.бюджет'!Y12+'місц.-районн.бюджет'!Y12+областной!Y12+інші!Y12</f>
        <v>1215.7999999999997</v>
      </c>
      <c r="Z12" s="18">
        <f>'насел.'!Z12+пільги!Z12+субсидії!Z12+'держ.бюджет'!Z12+'місц.-районн.бюджет'!Z12+областной!Z12+інші!Z12</f>
        <v>755.3000000000001</v>
      </c>
      <c r="AA12" s="11">
        <f t="shared" si="1"/>
        <v>62.123704556670525</v>
      </c>
      <c r="AB12" s="18">
        <f>'насел.'!AB12+пільги!AB12+субсидії!AB12+'держ.бюджет'!AB12+'місц.-районн.бюджет'!AB12+областной!AB12+інші!AB12</f>
        <v>366.09999999999997</v>
      </c>
      <c r="AC12" s="18">
        <f>'насел.'!AC12+пільги!AC12+субсидії!AC12+'держ.бюджет'!AC12+'місц.-районн.бюджет'!AC12+областной!AC12+інші!AC12</f>
        <v>236.1</v>
      </c>
      <c r="AD12" s="64">
        <f t="shared" si="8"/>
        <v>64.49057634526086</v>
      </c>
      <c r="AE12" s="18">
        <f>'насел.'!AE12+пільги!AE12+субсидії!AE12+'держ.бюджет'!AE12+'місц.-районн.бюджет'!AE12+областной!AE12+інші!AE12</f>
        <v>391.5</v>
      </c>
      <c r="AF12" s="18">
        <f>'насел.'!AF12+пільги!AF12+субсидії!AF12+'держ.бюджет'!AF12+'місц.-районн.бюджет'!AF12+областной!AF12+інші!AF12</f>
        <v>691.1</v>
      </c>
      <c r="AG12" s="64">
        <f t="shared" si="9"/>
        <v>176.52618135376756</v>
      </c>
      <c r="AH12" s="18">
        <f>'насел.'!AH12+пільги!AH12+субсидії!AH12+'держ.бюджет'!AH12+'місц.-районн.бюджет'!AH12+областной!AH12+інші!AH12</f>
        <v>404.6</v>
      </c>
      <c r="AI12" s="18">
        <f>'насел.'!AI12+пільги!AI12+субсидії!AI12+'держ.бюджет'!AI12+'місц.-районн.бюджет'!AI12+областной!AI12+інші!AI12</f>
        <v>767.3</v>
      </c>
      <c r="AJ12" s="18">
        <f>'насел.'!AJ12+пільги!AJ12+субсидії!AJ12+'держ.бюджет'!AJ12+'місц.-районн.бюджет'!AJ12+областной!AJ12+інші!AJ12</f>
        <v>1162.2000000000003</v>
      </c>
      <c r="AK12" s="18">
        <f>'насел.'!AK12+пільги!AK12+субсидії!AK12+'держ.бюджет'!AK12+'місц.-районн.бюджет'!AK12+областной!AK12+інші!AK12</f>
        <v>1694.5</v>
      </c>
      <c r="AL12" s="18">
        <f t="shared" si="10"/>
        <v>145.80106694200649</v>
      </c>
      <c r="AM12" s="18">
        <f>'насел.'!AM12+пільги!AM12+субсидії!AM12+'держ.бюджет'!AM12+'місц.-районн.бюджет'!AM12+областной!AM12+інші!AM12</f>
        <v>379.2</v>
      </c>
      <c r="AN12" s="18">
        <f>'насел.'!AN12+пільги!AN12+субсидії!AN12+'держ.бюджет'!AN12+'місц.-районн.бюджет'!AN12+областной!AN12+інші!AN12</f>
        <v>332</v>
      </c>
      <c r="AO12" s="18">
        <f>'насел.'!AO12+пільги!AO12+субсидії!AO12+'держ.бюджет'!AO12+'місц.-районн.бюджет'!AO12+областной!AO12+інші!AO12</f>
        <v>3950.9999999999995</v>
      </c>
      <c r="AP12" s="18">
        <f>'насел.'!AP12+пільги!AP12+субсидії!AP12+'держ.бюджет'!AP12+'місц.-районн.бюджет'!AP12+областной!AP12+інші!AP12</f>
        <v>4007.1999999999994</v>
      </c>
      <c r="AQ12" s="64">
        <f t="shared" si="2"/>
        <v>101.42242470260695</v>
      </c>
      <c r="AR12" s="175">
        <f>'насел.'!AR12+пільги!AR12+субсидії!AR12+'держ.бюджет'!AR12+'місц.-районн.бюджет'!AR12+областной!AR12+інші!AR12</f>
        <v>-56.200000000000045</v>
      </c>
      <c r="AS12" s="175">
        <f>'насел.'!AS12+пільги!AS12+субсидії!AS12+'держ.бюджет'!AS12+'місц.-районн.бюджет'!AS12+областной!AS12+інші!AS12</f>
        <v>-4.30000000000031</v>
      </c>
    </row>
    <row r="13" spans="1:45" ht="27" customHeight="1">
      <c r="A13" s="13" t="s">
        <v>18</v>
      </c>
      <c r="B13" s="47" t="s">
        <v>95</v>
      </c>
      <c r="C13" s="18">
        <f>'насел.'!C13+пільги!C13+субсидії!C13+'держ.бюджет'!C13+'місц.-районн.бюджет'!C13+областной!C13+інші!C13</f>
        <v>-739.9999999999999</v>
      </c>
      <c r="D13" s="14">
        <f>'насел.'!D13+пільги!D13+субсидії!D13+'держ.бюджет'!D13+'місц.-районн.бюджет'!D13+областной!D13+інші!D13</f>
        <v>394.79999999999995</v>
      </c>
      <c r="E13" s="14">
        <f>'насел.'!E13+пільги!E13+субсидії!E13+'держ.бюджет'!E13+'місц.-районн.бюджет'!E13+областной!E13+інші!E13</f>
        <v>366.3</v>
      </c>
      <c r="F13" s="11">
        <f t="shared" si="11"/>
        <v>92.78115501519758</v>
      </c>
      <c r="G13" s="14">
        <f>'насел.'!G13+пільги!G13+субсидії!G13+'держ.бюджет'!G13+'місц.-районн.бюджет'!G13+областной!G13+інші!G13</f>
        <v>438.2</v>
      </c>
      <c r="H13" s="14">
        <f>'насел.'!H13+пільги!H13+субсидії!H13+'держ.бюджет'!H13+'місц.-районн.бюджет'!H13+областной!H13+інші!H13</f>
        <v>239</v>
      </c>
      <c r="I13" s="11">
        <f t="shared" si="3"/>
        <v>54.54130534002739</v>
      </c>
      <c r="J13" s="14">
        <f>'насел.'!J13+пільги!J13+субсидії!J13+'держ.бюджет'!J13+'місц.-районн.бюджет'!J13+областной!J13+інші!J13</f>
        <v>415.0999999999999</v>
      </c>
      <c r="K13" s="14">
        <f>'насел.'!AP13+пільги!AP13+субсидії!AP13+'держ.бюджет'!AP13+'місц.-районн.бюджет'!AP13+областной!AP13+інші!AP13</f>
        <v>4361.1</v>
      </c>
      <c r="L13" s="11">
        <f t="shared" si="4"/>
        <v>1050.6143098048665</v>
      </c>
      <c r="M13" s="11">
        <f>'насел.'!M13+пільги!M13+субсидії!M13+'держ.бюджет'!M13+'місц.-районн.бюджет'!M13+областной!M13+інші!M13</f>
        <v>1248.1</v>
      </c>
      <c r="N13" s="11">
        <f>'насел.'!N13+пільги!N13+субсидії!N13+'держ.бюджет'!N13+'місц.-районн.бюджет'!N13+областной!N13+інші!N13</f>
        <v>1736.9000000000003</v>
      </c>
      <c r="O13" s="11">
        <f t="shared" si="0"/>
        <v>139.16352856341643</v>
      </c>
      <c r="P13" s="18">
        <f>'насел.'!P13+пільги!P13+субсидії!P13+'держ.бюджет'!P13+'місц.-районн.бюджет'!P13+областной!P13+інші!P13</f>
        <v>427.80000000000007</v>
      </c>
      <c r="Q13" s="18">
        <f>'насел.'!Q13+пільги!Q13+субсидії!Q13+'держ.бюджет'!Q13+'місц.-районн.бюджет'!Q13+областной!Q13+інші!Q13</f>
        <v>219.3</v>
      </c>
      <c r="R13" s="11">
        <f t="shared" si="5"/>
        <v>51.26227208976156</v>
      </c>
      <c r="S13" s="18">
        <f>'насел.'!S13+пільги!S13+субсидії!S13+'держ.бюджет'!S13+'місц.-районн.бюджет'!S13+областной!S13+інші!S13</f>
        <v>441.09999999999997</v>
      </c>
      <c r="T13" s="18">
        <f>'насел.'!T13+пільги!T13+субсидії!T13+'держ.бюджет'!T13+'місц.-районн.бюджет'!T13+областной!T13+інші!T13</f>
        <v>242.29999999999998</v>
      </c>
      <c r="U13" s="11">
        <f t="shared" si="6"/>
        <v>54.930854681478124</v>
      </c>
      <c r="V13" s="18">
        <f>'насел.'!V13+пільги!V13+субсидії!V13+'держ.бюджет'!V13+'місц.-районн.бюджет'!V13+областной!V13+інші!V13</f>
        <v>232.2</v>
      </c>
      <c r="W13" s="18">
        <f>'насел.'!W13+пільги!W13+субсидії!W13+'держ.бюджет'!W13+'місц.-районн.бюджет'!W13+областной!W13+інші!W13</f>
        <v>216.40000000000003</v>
      </c>
      <c r="X13" s="11">
        <f t="shared" si="7"/>
        <v>93.19552110249786</v>
      </c>
      <c r="Y13" s="18">
        <f>'насел.'!Y13+пільги!Y13+субсидії!Y13+'держ.бюджет'!Y13+'місц.-районн.бюджет'!Y13+областной!Y13+інші!Y13</f>
        <v>1101.1</v>
      </c>
      <c r="Z13" s="18">
        <f>'насел.'!Z13+пільги!Z13+субсидії!Z13+'держ.бюджет'!Z13+'місц.-районн.бюджет'!Z13+областной!Z13+інші!Z13</f>
        <v>678</v>
      </c>
      <c r="AA13" s="11">
        <f t="shared" si="1"/>
        <v>61.574788847516125</v>
      </c>
      <c r="AB13" s="18">
        <f>'насел.'!AB13+пільги!AB13+субсидії!AB13+'держ.бюджет'!AB13+'місц.-районн.бюджет'!AB13+областной!AB13+інші!AB13</f>
        <v>460.9</v>
      </c>
      <c r="AC13" s="18">
        <f>'насел.'!AC13+пільги!AC13+субсидії!AC13+'держ.бюджет'!AC13+'місц.-районн.бюджет'!AC13+областной!AC13+інші!AC13</f>
        <v>275.09999999999997</v>
      </c>
      <c r="AD13" s="11">
        <f t="shared" si="8"/>
        <v>59.687567802126274</v>
      </c>
      <c r="AE13" s="18">
        <f>'насел.'!AE13+пільги!AE13+субсидії!AE13+'держ.бюджет'!AE13+'місц.-районн.бюджет'!AE13+областной!AE13+інші!AE13</f>
        <v>547.3</v>
      </c>
      <c r="AF13" s="18">
        <f>'насел.'!AF13+пільги!AF13+субсидії!AF13+'держ.бюджет'!AF13+'місц.-районн.бюджет'!AF13+областной!AF13+інші!AF13</f>
        <v>327</v>
      </c>
      <c r="AG13" s="11">
        <f t="shared" si="9"/>
        <v>59.74785309702175</v>
      </c>
      <c r="AH13" s="18">
        <f>'насел.'!AH13+пільги!AH13+субсидії!AH13+'держ.бюджет'!AH13+'місц.-районн.бюджет'!AH13+областной!AH13+інші!AH13</f>
        <v>492.48</v>
      </c>
      <c r="AI13" s="18">
        <f>'насел.'!AI13+пільги!AI13+субсидії!AI13+'держ.бюджет'!AI13+'місц.-районн.бюджет'!AI13+областной!AI13+інші!AI13</f>
        <v>1030.3</v>
      </c>
      <c r="AJ13" s="18">
        <f>'насел.'!AJ13+пільги!AJ13+субсидії!AJ13+'держ.бюджет'!AJ13+'місц.-районн.бюджет'!AJ13+областной!AJ13+інші!AJ13</f>
        <v>1500.68</v>
      </c>
      <c r="AK13" s="18">
        <f>'насел.'!AK13+пільги!AK13+субсидії!AK13+'держ.бюджет'!AK13+'місц.-районн.бюджет'!AK13+областной!AK13+інші!AK13</f>
        <v>1632.3999999999999</v>
      </c>
      <c r="AL13" s="18">
        <f t="shared" si="10"/>
        <v>108.77735426606603</v>
      </c>
      <c r="AM13" s="18">
        <f>'насел.'!AM13+пільги!AM13+субсидії!AM13+'держ.бюджет'!AM13+'місц.-районн.бюджет'!AM13+областной!AM13+інші!AM13</f>
        <v>443.2</v>
      </c>
      <c r="AN13" s="18">
        <f>'насел.'!AN13+пільги!AN13+субсидії!AN13+'держ.бюджет'!AN13+'місц.-районн.бюджет'!AN13+областной!AN13+інші!AN13</f>
        <v>313.79999999999995</v>
      </c>
      <c r="AO13" s="18">
        <f>'насел.'!AO13+пільги!AO13+субсидії!AO13+'держ.бюджет'!AO13+'місц.-районн.бюджет'!AO13+областной!AO13+інші!AO13</f>
        <v>4293.079999999999</v>
      </c>
      <c r="AP13" s="18">
        <f>'насел.'!AP13+пільги!AP13+субсидії!AP13+'держ.бюджет'!AP13+'місц.-районн.бюджет'!AP13+областной!AP13+інші!AP13</f>
        <v>4361.1</v>
      </c>
      <c r="AQ13" s="11">
        <f t="shared" si="2"/>
        <v>101.58441026023277</v>
      </c>
      <c r="AR13" s="18">
        <f>'насел.'!AR13+пільги!AR13+субсидії!AR13+'держ.бюджет'!AR13+'місц.-районн.бюджет'!AR13+областной!AR13+інші!AR13</f>
        <v>-68.02000000000015</v>
      </c>
      <c r="AS13" s="18">
        <f>'насел.'!AS13+пільги!AS13+субсидії!AS13+'держ.бюджет'!AS13+'місц.-районн.бюджет'!AS13+областной!AS13+інші!AS13</f>
        <v>-808.0200000000002</v>
      </c>
    </row>
    <row r="14" spans="1:45" ht="27" customHeight="1">
      <c r="A14" s="13" t="s">
        <v>19</v>
      </c>
      <c r="B14" s="47" t="s">
        <v>96</v>
      </c>
      <c r="C14" s="18">
        <f>'насел.'!C14+пільги!C14+субсидії!C14+'держ.бюджет'!C14+'місц.-районн.бюджет'!C14+областной!C14+інші!C14</f>
        <v>-361.19999999999993</v>
      </c>
      <c r="D14" s="14">
        <f>'насел.'!D14+пільги!D14+субсидії!D14+'держ.бюджет'!D14+'місц.-районн.бюджет'!D14+областной!D14+інші!D14</f>
        <v>148.1</v>
      </c>
      <c r="E14" s="14">
        <f>'насел.'!E14+пільги!E14+субсидії!E14+'держ.бюджет'!E14+'місц.-районн.бюджет'!E14+областной!E14+інші!E14</f>
        <v>176.8</v>
      </c>
      <c r="F14" s="11">
        <f t="shared" si="11"/>
        <v>119.37879810938557</v>
      </c>
      <c r="G14" s="14">
        <f>'насел.'!G14+пільги!G14+субсидії!G14+'держ.бюджет'!G14+'місц.-районн.бюджет'!G14+областной!G14+інші!G14</f>
        <v>174.1</v>
      </c>
      <c r="H14" s="14">
        <f>'насел.'!H14+пільги!H14+субсидії!H14+'держ.бюджет'!H14+'місц.-районн.бюджет'!H14+областной!H14+інші!H14</f>
        <v>41.8</v>
      </c>
      <c r="I14" s="11">
        <f t="shared" si="3"/>
        <v>24.00919012062033</v>
      </c>
      <c r="J14" s="14">
        <f>'насел.'!J14+пільги!J14+субсидії!J14+'держ.бюджет'!J14+'місц.-районн.бюджет'!J14+областной!J14+інші!J14</f>
        <v>161.5</v>
      </c>
      <c r="K14" s="14">
        <f>'насел.'!AP14+пільги!AP14+субсидії!AP14+'держ.бюджет'!AP14+'місц.-районн.бюджет'!AP14+областной!AP14+інші!AP14</f>
        <v>1533.8000000000002</v>
      </c>
      <c r="L14" s="11">
        <f t="shared" si="4"/>
        <v>949.7213622291023</v>
      </c>
      <c r="M14" s="11">
        <f>'насел.'!M14+пільги!M14+субсидії!M14+'держ.бюджет'!M14+'місц.-районн.бюджет'!M14+областной!M14+інші!M14</f>
        <v>483.7</v>
      </c>
      <c r="N14" s="11">
        <f>'насел.'!N14+пільги!N14+субсидії!N14+'держ.бюджет'!N14+'місц.-районн.бюджет'!N14+областной!N14+інші!N14</f>
        <v>413.4</v>
      </c>
      <c r="O14" s="11">
        <f t="shared" si="0"/>
        <v>85.46619805664668</v>
      </c>
      <c r="P14" s="18">
        <f>'насел.'!P14+пільги!P14+субсидії!P14+'держ.бюджет'!P14+'місц.-районн.бюджет'!P14+областной!P14+інші!P14</f>
        <v>88.80000000000001</v>
      </c>
      <c r="Q14" s="18">
        <f>'насел.'!Q14+пільги!Q14+субсидії!Q14+'держ.бюджет'!Q14+'місц.-районн.бюджет'!Q14+областной!Q14+інші!Q14</f>
        <v>463.70000000000005</v>
      </c>
      <c r="R14" s="11">
        <f t="shared" si="5"/>
        <v>522.1846846846847</v>
      </c>
      <c r="S14" s="18">
        <f>'насел.'!S14+пільги!S14+субсидії!S14+'держ.бюджет'!S14+'місц.-районн.бюджет'!S14+областной!S14+інші!S14</f>
        <v>210.20000000000005</v>
      </c>
      <c r="T14" s="18">
        <f>'насел.'!T14+пільги!T14+субсидії!T14+'держ.бюджет'!T14+'місц.-районн.бюджет'!T14+областной!T14+інші!T14</f>
        <v>76.3</v>
      </c>
      <c r="U14" s="11">
        <f t="shared" si="6"/>
        <v>36.298763082778294</v>
      </c>
      <c r="V14" s="18">
        <f>'насел.'!V14+пільги!V14+субсидії!V14+'держ.бюджет'!V14+'місц.-районн.бюджет'!V14+областной!V14+інші!V14</f>
        <v>139.70000000000002</v>
      </c>
      <c r="W14" s="18">
        <f>'насел.'!W14+пільги!W14+субсидії!W14+'держ.бюджет'!W14+'місц.-районн.бюджет'!W14+областной!W14+інші!W14</f>
        <v>84.10000000000001</v>
      </c>
      <c r="X14" s="11">
        <f t="shared" si="7"/>
        <v>60.20042949176807</v>
      </c>
      <c r="Y14" s="18">
        <f>'насел.'!Y14+пільги!Y14+субсидії!Y14+'держ.бюджет'!Y14+'місц.-районн.бюджет'!Y14+областной!Y14+інші!Y14</f>
        <v>438.7</v>
      </c>
      <c r="Z14" s="18">
        <f>'насел.'!Z14+пільги!Z14+субсидії!Z14+'держ.бюджет'!Z14+'місц.-районн.бюджет'!Z14+областной!Z14+інші!Z14</f>
        <v>624.1</v>
      </c>
      <c r="AA14" s="11">
        <f t="shared" si="1"/>
        <v>142.26122635058127</v>
      </c>
      <c r="AB14" s="18">
        <f>'насел.'!AB14+пільги!AB14+субсидії!AB14+'держ.бюджет'!AB14+'місц.-районн.бюджет'!AB14+областной!AB14+інші!AB14</f>
        <v>163.39999999999998</v>
      </c>
      <c r="AC14" s="18">
        <f>'насел.'!AC14+пільги!AC14+субсидії!AC14+'держ.бюджет'!AC14+'місц.-районн.бюджет'!AC14+областной!AC14+інші!AC14</f>
        <v>80.8</v>
      </c>
      <c r="AD14" s="11">
        <f t="shared" si="8"/>
        <v>49.44920440636476</v>
      </c>
      <c r="AE14" s="18">
        <f>'насел.'!AE14+пільги!AE14+субсидії!AE14+'держ.бюджет'!AE14+'місц.-районн.бюджет'!AE14+областной!AE14+інші!AE14</f>
        <v>159</v>
      </c>
      <c r="AF14" s="18">
        <f>'насел.'!AF14+пільги!AF14+субсидії!AF14+'держ.бюджет'!AF14+'місц.-районн.бюджет'!AF14+областной!AF14+інші!AF14</f>
        <v>80.60000000000001</v>
      </c>
      <c r="AG14" s="11">
        <f t="shared" si="9"/>
        <v>50.691823899371066</v>
      </c>
      <c r="AH14" s="18">
        <f>'насел.'!AH14+пільги!AH14+субсидії!AH14+'держ.бюджет'!AH14+'місц.-районн.бюджет'!AH14+областной!AH14+інші!AH14</f>
        <v>155.69999999999996</v>
      </c>
      <c r="AI14" s="18">
        <f>'насел.'!AI14+пільги!AI14+субсидії!AI14+'держ.бюджет'!AI14+'місц.-районн.бюджет'!AI14+областной!AI14+інші!AI14</f>
        <v>148.29999999999998</v>
      </c>
      <c r="AJ14" s="18">
        <f>'насел.'!AJ14+пільги!AJ14+субсидії!AJ14+'держ.бюджет'!AJ14+'місц.-районн.бюджет'!AJ14+областной!AJ14+інші!AJ14</f>
        <v>478.09999999999997</v>
      </c>
      <c r="AK14" s="18">
        <f>'насел.'!AK14+пільги!AK14+субсидії!AK14+'держ.бюджет'!AK14+'місц.-районн.бюджет'!AK14+областной!AK14+інші!AK14</f>
        <v>309.7</v>
      </c>
      <c r="AL14" s="18">
        <f t="shared" si="10"/>
        <v>64.77724325454926</v>
      </c>
      <c r="AM14" s="18">
        <f>'насел.'!AM14+пільги!AM14+субсидії!AM14+'держ.бюджет'!AM14+'місц.-районн.бюджет'!AM14+областной!AM14+інші!AM14</f>
        <v>160.6</v>
      </c>
      <c r="AN14" s="18">
        <f>'насел.'!AN14+пільги!AN14+субсидії!AN14+'держ.бюджет'!AN14+'місц.-районн.бюджет'!AN14+областной!AN14+інші!AN14</f>
        <v>186.59999999999997</v>
      </c>
      <c r="AO14" s="18">
        <f>'насел.'!AO14+пільги!AO14+субсидії!AO14+'держ.бюджет'!AO14+'місц.-районн.бюджет'!AO14+областной!AO14+інші!AO14</f>
        <v>1561.1000000000001</v>
      </c>
      <c r="AP14" s="18">
        <f>'насел.'!AP14+пільги!AP14+субсидії!AP14+'держ.бюджет'!AP14+'місц.-районн.бюджет'!AP14+областной!AP14+інші!AP14</f>
        <v>1533.8000000000002</v>
      </c>
      <c r="AQ14" s="11">
        <f t="shared" si="2"/>
        <v>98.25123310486195</v>
      </c>
      <c r="AR14" s="18">
        <f>'насел.'!AR14+пільги!AR14+субсидії!AR14+'держ.бюджет'!AR14+'місц.-районн.бюджет'!AR14+областной!AR14+інші!AR14</f>
        <v>27.30000000000001</v>
      </c>
      <c r="AS14" s="18">
        <f>'насел.'!AS14+пільги!AS14+субсидії!AS14+'держ.бюджет'!AS14+'місц.-районн.бюджет'!AS14+областной!AS14+інші!AS14</f>
        <v>-333.8999999999999</v>
      </c>
    </row>
    <row r="15" spans="1:45" ht="27" customHeight="1">
      <c r="A15" s="13" t="s">
        <v>20</v>
      </c>
      <c r="B15" s="47" t="s">
        <v>97</v>
      </c>
      <c r="C15" s="18">
        <f>'насел.'!C15+пільги!C15+субсидії!C15+'держ.бюджет'!C15+'місц.-районн.бюджет'!C15+областной!C15+інші!C15</f>
        <v>-93.09999999999997</v>
      </c>
      <c r="D15" s="14">
        <f>'насел.'!D15+пільги!D15+субсидії!D15+'держ.бюджет'!D15+'місц.-районн.бюджет'!D15+областной!D15+інші!D15</f>
        <v>647.9000000000001</v>
      </c>
      <c r="E15" s="14">
        <f>'насел.'!E15+пільги!E15+субсидії!E15+'держ.бюджет'!E15+'місц.-районн.бюджет'!E15+областной!E15+інші!E15</f>
        <v>626.1999999999999</v>
      </c>
      <c r="F15" s="11">
        <f t="shared" si="11"/>
        <v>96.65071770334926</v>
      </c>
      <c r="G15" s="14">
        <f>'насел.'!G15+пільги!G15+субсидії!G15+'держ.бюджет'!G15+'місц.-районн.бюджет'!G15+областной!G15+інші!G15</f>
        <v>670.9000000000001</v>
      </c>
      <c r="H15" s="14">
        <f>'насел.'!H15+пільги!H15+субсидії!H15+'держ.бюджет'!H15+'місц.-районн.бюджет'!H15+областной!H15+інші!H15</f>
        <v>406.59999999999997</v>
      </c>
      <c r="I15" s="11">
        <f t="shared" si="3"/>
        <v>60.60515725145326</v>
      </c>
      <c r="J15" s="14">
        <f>'насел.'!J15+пільги!J15+субсидії!J15+'держ.бюджет'!J15+'місц.-районн.бюджет'!J15+областной!J15+інші!J15</f>
        <v>1766.7</v>
      </c>
      <c r="K15" s="14">
        <f>'насел.'!AP15+пільги!AP15+субсидії!AP15+'держ.бюджет'!AP15+'місц.-районн.бюджет'!AP15+областной!AP15+інші!AP15</f>
        <v>10113.8</v>
      </c>
      <c r="L15" s="11">
        <f t="shared" si="4"/>
        <v>572.4684439916227</v>
      </c>
      <c r="M15" s="11">
        <f>'насел.'!M15+пільги!M15+субсидії!M15+'держ.бюджет'!M15+'місц.-районн.бюджет'!M15+областной!M15+інші!M15</f>
        <v>3085.5</v>
      </c>
      <c r="N15" s="11">
        <f>'насел.'!N15+пільги!N15+субсидії!N15+'держ.бюджет'!N15+'місц.-районн.бюджет'!N15+областной!N15+інші!N15</f>
        <v>2268.8</v>
      </c>
      <c r="O15" s="11">
        <f t="shared" si="0"/>
        <v>73.5310322476098</v>
      </c>
      <c r="P15" s="18">
        <f>'насел.'!P15+пільги!P15+субсидії!P15+'держ.бюджет'!P15+'місц.-районн.бюджет'!P15+областной!P15+інші!P15</f>
        <v>1178.3999999999999</v>
      </c>
      <c r="Q15" s="18">
        <f>'насел.'!Q15+пільги!Q15+субсидії!Q15+'держ.бюджет'!Q15+'місц.-районн.бюджет'!Q15+областной!Q15+інші!Q15</f>
        <v>1907</v>
      </c>
      <c r="R15" s="11">
        <f t="shared" si="5"/>
        <v>161.82959945689072</v>
      </c>
      <c r="S15" s="18">
        <f>'насел.'!S15+пільги!S15+субсидії!S15+'держ.бюджет'!S15+'місц.-районн.бюджет'!S15+областной!S15+інші!S15</f>
        <v>1305.2999999999997</v>
      </c>
      <c r="T15" s="18">
        <f>'насел.'!T15+пільги!T15+субсидії!T15+'держ.бюджет'!T15+'місц.-районн.бюджет'!T15+областной!T15+інші!T15</f>
        <v>1257.8999999999999</v>
      </c>
      <c r="U15" s="11">
        <f t="shared" si="6"/>
        <v>96.36865088485406</v>
      </c>
      <c r="V15" s="18">
        <f>'насел.'!V15+пільги!V15+субсидії!V15+'держ.бюджет'!V15+'місц.-районн.бюджет'!V15+областной!V15+інші!V15</f>
        <v>1358</v>
      </c>
      <c r="W15" s="18">
        <f>'насел.'!W15+пільги!W15+субсидії!W15+'держ.бюджет'!W15+'місц.-районн.бюджет'!W15+областной!W15+інші!W15</f>
        <v>977.8000000000002</v>
      </c>
      <c r="X15" s="11">
        <f t="shared" si="7"/>
        <v>72.00294550810015</v>
      </c>
      <c r="Y15" s="18">
        <f>'насел.'!Y15+пільги!Y15+субсидії!Y15+'держ.бюджет'!Y15+'місц.-районн.бюджет'!Y15+областной!Y15+інші!Y15</f>
        <v>3841.7000000000003</v>
      </c>
      <c r="Z15" s="18">
        <f>'насел.'!Z15+пільги!Z15+субсидії!Z15+'держ.бюджет'!Z15+'місц.-районн.бюджет'!Z15+областной!Z15+інші!Z15</f>
        <v>4142.7</v>
      </c>
      <c r="AA15" s="11">
        <f t="shared" si="1"/>
        <v>107.83507301455084</v>
      </c>
      <c r="AB15" s="18">
        <f>'насел.'!AB15+пільги!AB15+субсидії!AB15+'держ.бюджет'!AB15+'місц.-районн.бюджет'!AB15+областной!AB15+інші!AB15</f>
        <v>1080.3</v>
      </c>
      <c r="AC15" s="18">
        <f>'насел.'!AC15+пільги!AC15+субсидії!AC15+'держ.бюджет'!AC15+'місц.-районн.бюджет'!AC15+областной!AC15+інші!AC15</f>
        <v>708.6999999999999</v>
      </c>
      <c r="AD15" s="11">
        <f t="shared" si="8"/>
        <v>65.60214755160602</v>
      </c>
      <c r="AE15" s="18">
        <f>'насел.'!AE15+пільги!AE15+субсидії!AE15+'держ.бюджет'!AE15+'місц.-районн.бюджет'!AE15+областной!AE15+інші!AE15</f>
        <v>1195.4</v>
      </c>
      <c r="AF15" s="18">
        <f>'насел.'!AF15+пільги!AF15+субсидії!AF15+'держ.бюджет'!AF15+'місц.-районн.бюджет'!AF15+областной!AF15+інші!AF15</f>
        <v>918.5000000000001</v>
      </c>
      <c r="AG15" s="11">
        <f t="shared" si="9"/>
        <v>76.83620545424125</v>
      </c>
      <c r="AH15" s="18">
        <f>'насел.'!AH15+пільги!AH15+субсидії!AH15+'держ.бюджет'!AH15+'місц.-районн.бюджет'!AH15+областной!AH15+інші!AH15</f>
        <v>1244.5000000000002</v>
      </c>
      <c r="AI15" s="18">
        <f>'насел.'!AI15+пільги!AI15+субсидії!AI15+'держ.бюджет'!AI15+'місц.-районн.бюджет'!AI15+областной!AI15+інші!AI15</f>
        <v>1173.8</v>
      </c>
      <c r="AJ15" s="18">
        <f>'насел.'!AJ15+пільги!AJ15+субсидії!AJ15+'держ.бюджет'!AJ15+'місц.-районн.бюджет'!AJ15+областной!AJ15+інші!AJ15</f>
        <v>3520.2</v>
      </c>
      <c r="AK15" s="18">
        <f>'насел.'!AK15+пільги!AK15+субсидії!AK15+'держ.бюджет'!AK15+'місц.-районн.бюджет'!AK15+областной!AK15+інші!AK15</f>
        <v>2801</v>
      </c>
      <c r="AL15" s="18">
        <f t="shared" si="10"/>
        <v>79.56934265098575</v>
      </c>
      <c r="AM15" s="18">
        <f>'насел.'!AM15+пільги!AM15+субсидії!AM15+'держ.бюджет'!AM15+'місц.-районн.бюджет'!AM15+областной!AM15+інші!AM15</f>
        <v>1246.1</v>
      </c>
      <c r="AN15" s="18">
        <f>'насел.'!AN15+пільги!AN15+субсидії!AN15+'держ.бюджет'!AN15+'місц.-районн.бюджет'!AN15+областной!AN15+інші!AN15</f>
        <v>901.3000000000001</v>
      </c>
      <c r="AO15" s="18">
        <f>'насел.'!AO15+пільги!AO15+субсидії!AO15+'держ.бюджет'!AO15+'місц.-районн.бюджет'!AO15+областной!AO15+інші!AO15</f>
        <v>11693.499999999998</v>
      </c>
      <c r="AP15" s="18">
        <f>'насел.'!AP15+пільги!AP15+субсидії!AP15+'держ.бюджет'!AP15+'місц.-районн.бюджет'!AP15+областной!AP15+інші!AP15</f>
        <v>10113.8</v>
      </c>
      <c r="AQ15" s="11">
        <f t="shared" si="2"/>
        <v>86.49078547911233</v>
      </c>
      <c r="AR15" s="18">
        <f>'насел.'!AR15+пільги!AR15+субсидії!AR15+'держ.бюджет'!AR15+'місц.-районн.бюджет'!AR15+областной!AR15+інші!AR15</f>
        <v>1579.6999999999996</v>
      </c>
      <c r="AS15" s="18">
        <f>'насел.'!AS15+пільги!AS15+субсидії!AS15+'держ.бюджет'!AS15+'місц.-районн.бюджет'!AS15+областной!AS15+інші!AS15</f>
        <v>1486.5999999999995</v>
      </c>
    </row>
    <row r="16" spans="1:45" ht="27" customHeight="1">
      <c r="A16" s="13" t="s">
        <v>21</v>
      </c>
      <c r="B16" s="47" t="s">
        <v>98</v>
      </c>
      <c r="C16" s="18">
        <f>'насел.'!C16+пільги!C16+субсидії!C16+'держ.бюджет'!C16+'місц.-районн.бюджет'!C16+областной!C16+інші!C16</f>
        <v>-39.3</v>
      </c>
      <c r="D16" s="14">
        <f>'насел.'!D16+пільги!D16+субсидії!D16+'держ.бюджет'!D16+'місц.-районн.бюджет'!D16+областной!D16+інші!D16</f>
        <v>39.599999999999994</v>
      </c>
      <c r="E16" s="14">
        <f>'насел.'!E16+пільги!E16+субсидії!E16+'держ.бюджет'!E16+'місц.-районн.бюджет'!E16+областной!E16+інші!E16</f>
        <v>79.89999999999999</v>
      </c>
      <c r="F16" s="11">
        <f t="shared" si="11"/>
        <v>201.76767676767676</v>
      </c>
      <c r="G16" s="14">
        <f>'насел.'!G16+пільги!G16+субсидії!G16+'держ.бюджет'!G16+'місц.-районн.бюджет'!G16+областной!G16+інші!G16</f>
        <v>38.8</v>
      </c>
      <c r="H16" s="14">
        <f>'насел.'!H16+пільги!H16+субсидії!H16+'держ.бюджет'!H16+'місц.-районн.бюджет'!H16+областной!H16+інші!H16</f>
        <v>15.700000000000001</v>
      </c>
      <c r="I16" s="11">
        <f t="shared" si="3"/>
        <v>40.463917525773205</v>
      </c>
      <c r="J16" s="14">
        <f>'насел.'!J16+пільги!J16+субсидії!J16+'держ.бюджет'!J16+'місц.-районн.бюджет'!J16+областной!J16+інші!J16</f>
        <v>40.699999999999996</v>
      </c>
      <c r="K16" s="14">
        <f>'насел.'!AP16+пільги!AP16+субсидії!AP16+'держ.бюджет'!AP16+'місц.-районн.бюджет'!AP16+областной!AP16+інші!AP16</f>
        <v>413.19999999999993</v>
      </c>
      <c r="L16" s="11">
        <f t="shared" si="4"/>
        <v>1015.2334152334153</v>
      </c>
      <c r="M16" s="11">
        <f>'насел.'!M16+пільги!M16+субсидії!M16+'держ.бюджет'!M16+'місц.-районн.бюджет'!M16+областной!M16+інші!M16</f>
        <v>119.09999999999997</v>
      </c>
      <c r="N16" s="11">
        <f>'насел.'!N16+пільги!N16+субсидії!N16+'держ.бюджет'!N16+'місц.-районн.бюджет'!N16+областной!N16+інші!N16</f>
        <v>154.6</v>
      </c>
      <c r="O16" s="11">
        <f t="shared" si="0"/>
        <v>129.80688497061297</v>
      </c>
      <c r="P16" s="18">
        <f>'насел.'!P16+пільги!P16+субсидії!P16+'держ.бюджет'!P16+'місц.-районн.бюджет'!P16+областной!P16+інші!P16</f>
        <v>39.599999999999994</v>
      </c>
      <c r="Q16" s="18">
        <f>'насел.'!Q16+пільги!Q16+субсидії!Q16+'держ.бюджет'!Q16+'місц.-районн.бюджет'!Q16+областной!Q16+інші!Q16</f>
        <v>44.3</v>
      </c>
      <c r="R16" s="11">
        <f t="shared" si="5"/>
        <v>111.86868686868688</v>
      </c>
      <c r="S16" s="18">
        <f>'насел.'!S16+пільги!S16+субсидії!S16+'держ.бюджет'!S16+'місц.-районн.бюджет'!S16+областной!S16+інші!S16</f>
        <v>37.699999999999996</v>
      </c>
      <c r="T16" s="18">
        <f>'насел.'!T16+пільги!T16+субсидії!T16+'держ.бюджет'!T16+'місц.-районн.бюджет'!T16+областной!T16+інші!T16</f>
        <v>19.3</v>
      </c>
      <c r="U16" s="11">
        <f t="shared" si="6"/>
        <v>51.19363395225464</v>
      </c>
      <c r="V16" s="18">
        <f>'насел.'!V16+пільги!V16+субсидії!V16+'держ.бюджет'!V16+'місц.-районн.бюджет'!V16+областной!V16+інші!V16</f>
        <v>42.699999999999996</v>
      </c>
      <c r="W16" s="18">
        <f>'насел.'!W16+пільги!W16+субсидії!W16+'держ.бюджет'!W16+'місц.-районн.бюджет'!W16+областной!W16+інші!W16</f>
        <v>76.8</v>
      </c>
      <c r="X16" s="11">
        <f t="shared" si="7"/>
        <v>179.8594847775176</v>
      </c>
      <c r="Y16" s="18">
        <f>'насел.'!Y16+пільги!Y16+субсидії!Y16+'держ.бюджет'!Y16+'місц.-районн.бюджет'!Y16+областной!Y16+інші!Y16</f>
        <v>119.99999999999999</v>
      </c>
      <c r="Z16" s="18">
        <f>'насел.'!Z16+пільги!Z16+субсидії!Z16+'держ.бюджет'!Z16+'місц.-районн.бюджет'!Z16+областной!Z16+інші!Z16</f>
        <v>140.4</v>
      </c>
      <c r="AA16" s="11">
        <f t="shared" si="1"/>
        <v>117.00000000000001</v>
      </c>
      <c r="AB16" s="18">
        <f>'насел.'!AB16+пільги!AB16+субсидії!AB16+'держ.бюджет'!AB16+'місц.-районн.бюджет'!AB16+областной!AB16+інші!AB16</f>
        <v>44.900000000000006</v>
      </c>
      <c r="AC16" s="18">
        <f>'насел.'!AC16+пільги!AC16+субсидії!AC16+'держ.бюджет'!AC16+'місц.-районн.бюджет'!AC16+областной!AC16+інші!AC16</f>
        <v>28.1</v>
      </c>
      <c r="AD16" s="11">
        <f t="shared" si="8"/>
        <v>62.58351893095768</v>
      </c>
      <c r="AE16" s="18">
        <f>'насел.'!AE16+пільги!AE16+субсидії!AE16+'держ.бюджет'!AE16+'місц.-районн.бюджет'!AE16+областной!AE16+інші!AE16</f>
        <v>43.3</v>
      </c>
      <c r="AF16" s="18">
        <f>'насел.'!AF16+пільги!AF16+субсидії!AF16+'держ.бюджет'!AF16+'місц.-районн.бюджет'!AF16+областной!AF16+інші!AF16</f>
        <v>31.3</v>
      </c>
      <c r="AG16" s="11">
        <f t="shared" si="9"/>
        <v>72.2863741339492</v>
      </c>
      <c r="AH16" s="18">
        <f>'насел.'!AH16+пільги!AH16+субсидії!AH16+'держ.бюджет'!AH16+'місц.-районн.бюджет'!AH16+областной!AH16+інші!AH16</f>
        <v>40</v>
      </c>
      <c r="AI16" s="18">
        <f>'насел.'!AI16+пільги!AI16+субсидії!AI16+'держ.бюджет'!AI16+'місц.-районн.бюджет'!AI16+областной!AI16+інші!AI16</f>
        <v>37.3</v>
      </c>
      <c r="AJ16" s="18">
        <f>'насел.'!AJ16+пільги!AJ16+субсидії!AJ16+'держ.бюджет'!AJ16+'місц.-районн.бюджет'!AJ16+областной!AJ16+інші!AJ16</f>
        <v>128.2</v>
      </c>
      <c r="AK16" s="18">
        <f>'насел.'!AK16+пільги!AK16+субсидії!AK16+'держ.бюджет'!AK16+'місц.-районн.бюджет'!AK16+областной!AK16+інші!AK16</f>
        <v>96.7</v>
      </c>
      <c r="AL16" s="18">
        <f t="shared" si="10"/>
        <v>75.42901716068644</v>
      </c>
      <c r="AM16" s="18">
        <f>'насел.'!AM16+пільги!AM16+субсидії!AM16+'держ.бюджет'!AM16+'місц.-районн.бюджет'!AM16+областной!AM16+інші!AM16</f>
        <v>39.6</v>
      </c>
      <c r="AN16" s="18">
        <f>'насел.'!AN16+пільги!AN16+субсидії!AN16+'держ.бюджет'!AN16+'місц.-районн.бюджет'!AN16+областной!AN16+інші!AN16</f>
        <v>21.500000000000004</v>
      </c>
      <c r="AO16" s="18">
        <f>'насел.'!AO16+пільги!AO16+субсидії!AO16+'держ.бюджет'!AO16+'місц.-районн.бюджет'!AO16+областной!AO16+інші!AO16</f>
        <v>406.9</v>
      </c>
      <c r="AP16" s="18">
        <f>'насел.'!AP16+пільги!AP16+субсидії!AP16+'держ.бюджет'!AP16+'місц.-районн.бюджет'!AP16+областной!AP16+інші!AP16</f>
        <v>413.19999999999993</v>
      </c>
      <c r="AQ16" s="11">
        <f t="shared" si="2"/>
        <v>101.54829196362742</v>
      </c>
      <c r="AR16" s="18">
        <f>'насел.'!AR16+пільги!AR16+субсидії!AR16+'держ.бюджет'!AR16+'місц.-районн.бюджет'!AR16+областной!AR16+інші!AR16</f>
        <v>-6.300000000000004</v>
      </c>
      <c r="AS16" s="18">
        <f>'насел.'!AS16+пільги!AS16+субсидії!AS16+'держ.бюджет'!AS16+'місц.-районн.бюджет'!AS16+областной!AS16+інші!AS16</f>
        <v>-45.6</v>
      </c>
    </row>
    <row r="17" spans="1:47" ht="27" customHeight="1">
      <c r="A17" s="13" t="s">
        <v>22</v>
      </c>
      <c r="B17" s="15" t="s">
        <v>99</v>
      </c>
      <c r="C17" s="18">
        <f>'насел.'!C17+пільги!C17+субсидії!C17+'держ.бюджет'!C17+'місц.-районн.бюджет'!C17+областной!C17+інші!C17</f>
        <v>5515.999999999999</v>
      </c>
      <c r="D17" s="14">
        <f>'насел.'!D17+пільги!D17+субсидії!D17+'держ.бюджет'!D17+'місц.-районн.бюджет'!D17+областной!D17+інші!D17</f>
        <v>1037.6</v>
      </c>
      <c r="E17" s="14">
        <f>'насел.'!E17+пільги!E17+субсидії!E17+'держ.бюджет'!E17+'місц.-районн.бюджет'!E17+областной!E17+інші!E17</f>
        <v>1012.0999999999999</v>
      </c>
      <c r="F17" s="11">
        <f t="shared" si="11"/>
        <v>97.54240555127217</v>
      </c>
      <c r="G17" s="14">
        <f>'насел.'!G17+пільги!G17+субсидії!G17+'держ.бюджет'!G17+'місц.-районн.бюджет'!G17+областной!G17+інші!G17</f>
        <v>957.8</v>
      </c>
      <c r="H17" s="14">
        <f>'насел.'!H17+пільги!H17+субсидії!H17+'держ.бюджет'!H17+'місц.-районн.бюджет'!H17+областной!H17+інші!H17</f>
        <v>838.4</v>
      </c>
      <c r="I17" s="11">
        <f t="shared" si="3"/>
        <v>87.53393192733347</v>
      </c>
      <c r="J17" s="14">
        <f>'насел.'!J17+пільги!J17+субсидії!J17+'держ.бюджет'!J17+'місц.-районн.бюджет'!J17+областной!J17+інші!J17</f>
        <v>1255.6</v>
      </c>
      <c r="K17" s="14">
        <f>'насел.'!AP17+пільги!AP17+субсидії!AP17+'держ.бюджет'!AP17+'місц.-районн.бюджет'!AP17+областной!AP17+інші!AP17</f>
        <v>9511.999999999998</v>
      </c>
      <c r="L17" s="11">
        <f t="shared" si="4"/>
        <v>757.5661038547307</v>
      </c>
      <c r="M17" s="11">
        <f>'насел.'!M17+пільги!M17+субсидії!M17+'держ.бюджет'!M17+'місц.-районн.бюджет'!M17+областной!M17+інші!M17</f>
        <v>3251</v>
      </c>
      <c r="N17" s="11">
        <f>'насел.'!N17+пільги!N17+субсидії!N17+'держ.бюджет'!N17+'місц.-районн.бюджет'!N17+областной!N17+інші!N17</f>
        <v>3037.2999999999993</v>
      </c>
      <c r="O17" s="11">
        <f t="shared" si="0"/>
        <v>93.42663795755149</v>
      </c>
      <c r="P17" s="18">
        <f>'насел.'!P17+пільги!P17+субсидії!P17+'держ.бюджет'!P17+'місц.-районн.бюджет'!P17+областной!P17+інші!P17</f>
        <v>1054</v>
      </c>
      <c r="Q17" s="18">
        <f>'насел.'!Q17+пільги!Q17+субсидії!Q17+'держ.бюджет'!Q17+'місц.-районн.бюджет'!Q17+областной!Q17+інші!Q17</f>
        <v>1065.5</v>
      </c>
      <c r="R17" s="11">
        <f t="shared" si="5"/>
        <v>101.0910815939279</v>
      </c>
      <c r="S17" s="18">
        <f>'насел.'!S17+пільги!S17+субсидії!S17+'держ.бюджет'!S17+'місц.-районн.бюджет'!S17+областной!S17+інші!S17</f>
        <v>1275.8</v>
      </c>
      <c r="T17" s="18">
        <f>'насел.'!T17+пільги!T17+субсидії!T17+'держ.бюджет'!T17+'місц.-районн.бюджет'!T17+областной!T17+інші!T17</f>
        <v>1095.2000000000003</v>
      </c>
      <c r="U17" s="11">
        <f t="shared" si="6"/>
        <v>85.84417620316667</v>
      </c>
      <c r="V17" s="18">
        <f>'насел.'!V17+пільги!V17+субсидії!V17+'держ.бюджет'!V17+'місц.-районн.бюджет'!V17+областной!V17+інші!V17</f>
        <v>1037.3000000000002</v>
      </c>
      <c r="W17" s="18">
        <f>'насел.'!W17+пільги!W17+субсидії!W17+'держ.бюджет'!W17+'місц.-районн.бюджет'!W17+областной!W17+інші!W17</f>
        <v>1150.3</v>
      </c>
      <c r="X17" s="11">
        <f t="shared" si="7"/>
        <v>110.89366624891544</v>
      </c>
      <c r="Y17" s="18">
        <f>'насел.'!Y17+пільги!Y17+субсидії!Y17+'держ.бюджет'!Y17+'місц.-районн.бюджет'!Y17+областной!Y17+інші!Y17</f>
        <v>3367.1</v>
      </c>
      <c r="Z17" s="18">
        <f>'насел.'!Z17+пільги!Z17+субсидії!Z17+'держ.бюджет'!Z17+'місц.-районн.бюджет'!Z17+областной!Z17+інші!Z17</f>
        <v>3311</v>
      </c>
      <c r="AA17" s="11">
        <f t="shared" si="1"/>
        <v>98.33387781770664</v>
      </c>
      <c r="AB17" s="18">
        <f>'насел.'!AB17+пільги!AB17+субсидії!AB17+'держ.бюджет'!AB17+'місц.-районн.бюджет'!AB17+областной!AB17+інші!AB17</f>
        <v>1018.8000000000001</v>
      </c>
      <c r="AC17" s="18">
        <f>'насел.'!AC17+пільги!AC17+субсидії!AC17+'держ.бюджет'!AC17+'місц.-районн.бюджет'!AC17+областной!AC17+інші!AC17</f>
        <v>737.6999999999999</v>
      </c>
      <c r="AD17" s="11">
        <f t="shared" si="8"/>
        <v>72.40871613663133</v>
      </c>
      <c r="AE17" s="18">
        <f>'насел.'!AE17+пільги!AE17+субсидії!AE17+'держ.бюджет'!AE17+'місц.-районн.бюджет'!AE17+областной!AE17+інші!AE17</f>
        <v>897.1</v>
      </c>
      <c r="AF17" s="18">
        <f>'насел.'!AF17+пільги!AF17+субсидії!AF17+'держ.бюджет'!AF17+'місц.-районн.бюджет'!AF17+областной!AF17+інші!AF17</f>
        <v>682.1999999999999</v>
      </c>
      <c r="AG17" s="11">
        <f t="shared" si="9"/>
        <v>76.04503399843941</v>
      </c>
      <c r="AH17" s="18">
        <f>'насел.'!AH17+пільги!AH17+субсидії!AH17+'держ.бюджет'!AH17+'місц.-районн.бюджет'!AH17+областной!AH17+інші!AH17</f>
        <v>868</v>
      </c>
      <c r="AI17" s="18">
        <f>'насел.'!AI17+пільги!AI17+субсидії!AI17+'держ.бюджет'!AI17+'місц.-районн.бюджет'!AI17+областной!AI17+інші!AI17</f>
        <v>966.1</v>
      </c>
      <c r="AJ17" s="18">
        <f>'насел.'!AJ17+пільги!AJ17+субсидії!AJ17+'держ.бюджет'!AJ17+'місц.-районн.бюджет'!AJ17+областной!AJ17+інші!AJ17</f>
        <v>2783.8999999999996</v>
      </c>
      <c r="AK17" s="18">
        <f>'насел.'!AK17+пільги!AK17+субсидії!AK17+'держ.бюджет'!AK17+'місц.-районн.бюджет'!AK17+областной!AK17+інші!AK17</f>
        <v>2385.9999999999995</v>
      </c>
      <c r="AL17" s="18">
        <f t="shared" si="10"/>
        <v>85.7071015481878</v>
      </c>
      <c r="AM17" s="18">
        <f>'насел.'!AM17+пільги!AM17+субсидії!AM17+'держ.бюджет'!AM17+'місц.-районн.бюджет'!AM17+областной!AM17+інші!AM17</f>
        <v>1053.8999999999999</v>
      </c>
      <c r="AN17" s="18">
        <f>'насел.'!AN17+пільги!AN17+субсидії!AN17+'держ.бюджет'!AN17+'місц.-районн.бюджет'!AN17+областной!AN17+інші!AN17</f>
        <v>777.7</v>
      </c>
      <c r="AO17" s="18">
        <f>'насел.'!AO17+пільги!AO17+субсидії!AO17+'держ.бюджет'!AO17+'місц.-районн.бюджет'!AO17+областной!AO17+інші!AO17</f>
        <v>10455.9</v>
      </c>
      <c r="AP17" s="18">
        <f>'насел.'!AP17+пільги!AP17+субсидії!AP17+'держ.бюджет'!AP17+'місц.-районн.бюджет'!AP17+областной!AP17+інші!AP17</f>
        <v>9511.999999999998</v>
      </c>
      <c r="AQ17" s="11">
        <f t="shared" si="2"/>
        <v>90.97256094645128</v>
      </c>
      <c r="AR17" s="18">
        <f>'насел.'!AR17+пільги!AR17+субсидії!AR17+'держ.бюджет'!AR17+'місц.-районн.бюджет'!AR17+областной!AR17+інші!AR17</f>
        <v>943.9000000000015</v>
      </c>
      <c r="AS17" s="18">
        <f>'насел.'!AS17+пільги!AS17+субсидії!AS17+'держ.бюджет'!AS17+'місц.-районн.бюджет'!AS17+областной!AS17+інші!AS17</f>
        <v>6459.9</v>
      </c>
      <c r="AU17" s="176"/>
    </row>
    <row r="18" spans="1:45" ht="27" customHeight="1">
      <c r="A18" s="13" t="s">
        <v>23</v>
      </c>
      <c r="B18" s="15" t="s">
        <v>100</v>
      </c>
      <c r="C18" s="18">
        <f>'насел.'!C18+пільги!C18+субсидії!C18+'держ.бюджет'!C18+'місц.-районн.бюджет'!C18+областной!C18+інші!C18</f>
        <v>380.00000000000006</v>
      </c>
      <c r="D18" s="14">
        <f>'насел.'!D18+пільги!D18+субсидії!D18+'держ.бюджет'!D18+'місц.-районн.бюджет'!D18+областной!D18+інші!D18</f>
        <v>263</v>
      </c>
      <c r="E18" s="14">
        <f>'насел.'!E18+пільги!E18+субсидії!E18+'держ.бюджет'!E18+'місц.-районн.бюджет'!E18+областной!E18+інші!E18</f>
        <v>466.3999999999999</v>
      </c>
      <c r="F18" s="11">
        <f t="shared" si="11"/>
        <v>177.33840304182507</v>
      </c>
      <c r="G18" s="14">
        <f>'насел.'!G18+пільги!G18+субсидії!G18+'держ.бюджет'!G18+'місц.-районн.бюджет'!G18+областной!G18+інші!G18</f>
        <v>268.1</v>
      </c>
      <c r="H18" s="14">
        <f>'насел.'!H18+пільги!H18+субсидії!H18+'держ.бюджет'!H18+'місц.-районн.бюджет'!H18+областной!H18+інші!H18</f>
        <v>104.60000000000001</v>
      </c>
      <c r="I18" s="11">
        <f t="shared" si="3"/>
        <v>39.01529280119359</v>
      </c>
      <c r="J18" s="14">
        <f>'насел.'!J18+пільги!J18+субсидії!J18+'держ.бюджет'!J18+'місц.-районн.бюджет'!J18+областной!J18+інші!J18</f>
        <v>288.8</v>
      </c>
      <c r="K18" s="14">
        <f>'насел.'!K18+пільги!K18+субсидії!K18+'держ.бюджет'!K18+'місц.-районн.бюджет'!K18+областной!K18+інші!K18</f>
        <v>280.20000000000005</v>
      </c>
      <c r="L18" s="11">
        <f t="shared" si="4"/>
        <v>97.02216066481995</v>
      </c>
      <c r="M18" s="11">
        <f>'насел.'!M18+пільги!M18+субсидії!M18+'держ.бюджет'!M18+'місц.-районн.бюджет'!M18+областной!M18+інші!M18</f>
        <v>819.8999999999999</v>
      </c>
      <c r="N18" s="11">
        <f>'насел.'!N18+пільги!N18+субсидії!N18+'держ.бюджет'!N18+'місц.-районн.бюджет'!N18+областной!N18+інші!N18</f>
        <v>851.2</v>
      </c>
      <c r="O18" s="11">
        <f t="shared" si="0"/>
        <v>103.8175387242347</v>
      </c>
      <c r="P18" s="18">
        <f>'насел.'!P18+пільги!P18+субсидії!P18+'держ.бюджет'!P18+'місц.-районн.бюджет'!P18+областной!P18+інші!P18</f>
        <v>216.4</v>
      </c>
      <c r="Q18" s="18">
        <f>'насел.'!Q18+пільги!Q18+субсидії!Q18+'держ.бюджет'!Q18+'місц.-районн.бюджет'!Q18+областной!Q18+інші!Q18</f>
        <v>629.0999999999999</v>
      </c>
      <c r="R18" s="11">
        <f t="shared" si="5"/>
        <v>290.7116451016635</v>
      </c>
      <c r="S18" s="18">
        <f>'насел.'!S18+пільги!S18+субсидії!S18+'держ.бюджет'!S18+'місц.-районн.бюджет'!S18+областной!S18+інші!S18</f>
        <v>211.9</v>
      </c>
      <c r="T18" s="18">
        <f>'насел.'!T18+пільги!T18+субсидії!T18+'держ.бюджет'!T18+'місц.-районн.бюджет'!T18+областной!T18+інші!T18</f>
        <v>134.5</v>
      </c>
      <c r="U18" s="11">
        <f t="shared" si="6"/>
        <v>63.47333647947144</v>
      </c>
      <c r="V18" s="18">
        <f>'насел.'!V18+пільги!V18+субсидії!V18+'держ.бюджет'!V18+'місц.-районн.бюджет'!V18+областной!V18+інші!V18</f>
        <v>242.9</v>
      </c>
      <c r="W18" s="18">
        <f>'насел.'!W18+пільги!W18+субсидії!W18+'держ.бюджет'!W18+'місц.-районн.бюджет'!W18+областной!W18+інші!W18</f>
        <v>124.69999999999999</v>
      </c>
      <c r="X18" s="11">
        <f t="shared" si="7"/>
        <v>51.33799917661589</v>
      </c>
      <c r="Y18" s="18">
        <f>'насел.'!Y18+пільги!Y18+субсидії!Y18+'держ.бюджет'!Y18+'місц.-районн.бюджет'!Y18+областной!Y18+інші!Y18</f>
        <v>671.1999999999999</v>
      </c>
      <c r="Z18" s="18">
        <f>'насел.'!Z18+пільги!Z18+субсидії!Z18+'держ.бюджет'!Z18+'місц.-районн.бюджет'!Z18+областной!Z18+інші!Z18</f>
        <v>888.3</v>
      </c>
      <c r="AA18" s="11">
        <f t="shared" si="1"/>
        <v>132.3450536352801</v>
      </c>
      <c r="AB18" s="18">
        <f>'насел.'!AB18+пільги!AB18+субсидії!AB18+'держ.бюджет'!AB18+'місц.-районн.бюджет'!AB18+областной!AB18+інші!AB18</f>
        <v>-101.60000000000001</v>
      </c>
      <c r="AC18" s="18">
        <f>'насел.'!AC18+пільги!AC18+субсидії!AC18+'держ.бюджет'!AC18+'місц.-районн.бюджет'!AC18+областной!AC18+інші!AC18</f>
        <v>137.5</v>
      </c>
      <c r="AD18" s="11">
        <f t="shared" si="8"/>
        <v>-135.33464566929132</v>
      </c>
      <c r="AE18" s="18">
        <f>'насел.'!AE18+пільги!AE18+субсидії!AE18+'держ.бюджет'!AE18+'місц.-районн.бюджет'!AE18+областной!AE18+інші!AE18</f>
        <v>244.79999999999998</v>
      </c>
      <c r="AF18" s="18">
        <f>'насел.'!AF18+пільги!AF18+субсидії!AF18+'держ.бюджет'!AF18+'місц.-районн.бюджет'!AF18+областной!AF18+інші!AF18</f>
        <v>121.99999999999999</v>
      </c>
      <c r="AG18" s="11">
        <f t="shared" si="9"/>
        <v>49.83660130718954</v>
      </c>
      <c r="AH18" s="18">
        <f>'насел.'!AH18+пільги!AH18+субсидії!AH18+'держ.бюджет'!AH18+'місц.-районн.бюджет'!AH18+областной!AH18+інші!AH18</f>
        <v>217.5</v>
      </c>
      <c r="AI18" s="18">
        <f>'насел.'!AI18+пільги!AI18+субсидії!AI18+'держ.бюджет'!AI18+'місц.-районн.бюджет'!AI18+областной!AI18+інші!AI18</f>
        <v>143.4</v>
      </c>
      <c r="AJ18" s="18">
        <f>'насел.'!AJ18+пільги!AJ18+субсидії!AJ18+'держ.бюджет'!AJ18+'місц.-районн.бюджет'!AJ18+областной!AJ18+інші!AJ18</f>
        <v>360.7</v>
      </c>
      <c r="AK18" s="18">
        <f>'насел.'!AK18+пільги!AK18+субсидії!AK18+'держ.бюджет'!AK18+'місц.-районн.бюджет'!AK18+областной!AK18+інші!AK18</f>
        <v>402.90000000000003</v>
      </c>
      <c r="AL18" s="18">
        <f t="shared" si="10"/>
        <v>111.6994732464652</v>
      </c>
      <c r="AM18" s="18">
        <f>'насел.'!AM18+пільги!AM18+субсидії!AM18+'держ.бюджет'!AM18+'місц.-районн.бюджет'!AM18+областной!AM18+інші!AM18</f>
        <v>209.70000000000002</v>
      </c>
      <c r="AN18" s="18">
        <f>'насел.'!AN18+пільги!AN18+субсидії!AN18+'держ.бюджет'!AN18+'місц.-районн.бюджет'!AN18+областной!AN18+інші!AN18</f>
        <v>198.39999999999998</v>
      </c>
      <c r="AO18" s="18">
        <f>'насел.'!AO18+пільги!AO18+субсидії!AO18+'держ.бюджет'!AO18+'місц.-районн.бюджет'!AO18+областной!AO18+інші!AO18</f>
        <v>2061.5</v>
      </c>
      <c r="AP18" s="18">
        <f>'насел.'!AP18+пільги!AP18+субсидії!AP18+'держ.бюджет'!AP18+'місц.-районн.бюджет'!AP18+областной!AP18+інші!AP18</f>
        <v>2340.7999999999997</v>
      </c>
      <c r="AQ18" s="11">
        <f t="shared" si="2"/>
        <v>113.54838709677418</v>
      </c>
      <c r="AR18" s="18">
        <f>'насел.'!AR18+пільги!AR18+субсидії!AR18+'держ.бюджет'!AR18+'місц.-районн.бюджет'!AR18+областной!AR18+інші!AR18</f>
        <v>-279.29999999999995</v>
      </c>
      <c r="AS18" s="18">
        <f>'насел.'!AS18+пільги!AS18+субсидії!AS18+'держ.бюджет'!AS18+'місц.-районн.бюджет'!AS18+областной!AS18+інші!AS18</f>
        <v>100.7000000000002</v>
      </c>
    </row>
    <row r="19" spans="1:45" ht="27" customHeight="1">
      <c r="A19" s="13" t="s">
        <v>24</v>
      </c>
      <c r="B19" s="47" t="s">
        <v>101</v>
      </c>
      <c r="C19" s="18">
        <f>'насел.'!C19+пільги!C19+субсидії!C19+'держ.бюджет'!C19+'місц.-районн.бюджет'!C19+областной!C19+інші!C19</f>
        <v>917.0999999999999</v>
      </c>
      <c r="D19" s="14">
        <f>'насел.'!D19+пільги!D19+субсидії!D19+'держ.бюджет'!D19+'місц.-районн.бюджет'!D19+областной!D19+інші!D19</f>
        <v>754.5</v>
      </c>
      <c r="E19" s="14">
        <f>'насел.'!E19+пільги!E19+субсидії!E19+'держ.бюджет'!E19+'місц.-районн.бюджет'!E19+областной!E19+інші!E19</f>
        <v>573.9000000000001</v>
      </c>
      <c r="F19" s="11">
        <f t="shared" si="11"/>
        <v>76.06361829025846</v>
      </c>
      <c r="G19" s="14">
        <f>'насел.'!G19+пільги!G19+субсидії!G19+'держ.бюджет'!G19+'місц.-районн.бюджет'!G19+областной!G19+інші!G19</f>
        <v>750.9</v>
      </c>
      <c r="H19" s="14">
        <f>'насел.'!H19+пільги!H19+субсидії!H19+'держ.бюджет'!H19+'місц.-районн.бюджет'!H19+областной!H19+інші!H19</f>
        <v>599.1</v>
      </c>
      <c r="I19" s="11">
        <f t="shared" si="3"/>
        <v>79.7842588893328</v>
      </c>
      <c r="J19" s="14">
        <f>'насел.'!J19+пільги!J19+субсидії!J19+'держ.бюджет'!J19+'місц.-районн.бюджет'!J19+областной!J19+інші!J19</f>
        <v>758.1000000000001</v>
      </c>
      <c r="K19" s="14">
        <f>'насел.'!AP19+пільги!AP19+субсидії!AP19+'держ.бюджет'!AP19+'місц.-районн.бюджет'!AP19+областной!AP19+інші!AP19</f>
        <v>8468.7</v>
      </c>
      <c r="L19" s="11">
        <f t="shared" si="4"/>
        <v>1117.0953700039572</v>
      </c>
      <c r="M19" s="11">
        <f>'насел.'!M19+пільги!M19+субсидії!M19+'держ.бюджет'!M19+'місц.-районн.бюджет'!M19+областной!M19+інші!M19</f>
        <v>2263.5</v>
      </c>
      <c r="N19" s="11">
        <f>'насел.'!N19+пільги!N19+субсидії!N19+'держ.бюджет'!N19+'місц.-районн.бюджет'!N19+областной!N19+інші!N19</f>
        <v>1682.6999999999998</v>
      </c>
      <c r="O19" s="11">
        <f t="shared" si="0"/>
        <v>74.3406229290921</v>
      </c>
      <c r="P19" s="18">
        <f>'насел.'!P19+пільги!P19+субсидії!P19+'держ.бюджет'!P19+'місц.-районн.бюджет'!P19+областной!P19+інші!P19</f>
        <v>695.1</v>
      </c>
      <c r="Q19" s="18">
        <f>'насел.'!Q19+пільги!Q19+субсидії!Q19+'держ.бюджет'!Q19+'місц.-районн.бюджет'!Q19+областной!Q19+інші!Q19</f>
        <v>915.1000000000001</v>
      </c>
      <c r="R19" s="11">
        <f t="shared" si="5"/>
        <v>131.6501222845634</v>
      </c>
      <c r="S19" s="18">
        <f>'насел.'!S19+пільги!S19+субсидії!S19+'держ.бюджет'!S19+'місц.-районн.бюджет'!S19+областной!S19+інші!S19</f>
        <v>899.8999999999999</v>
      </c>
      <c r="T19" s="18">
        <f>'насел.'!T19+пільги!T19+субсидії!T19+'держ.бюджет'!T19+'місц.-районн.бюджет'!T19+областной!T19+інші!T19</f>
        <v>498.70000000000005</v>
      </c>
      <c r="U19" s="11">
        <f t="shared" si="6"/>
        <v>55.417268585398396</v>
      </c>
      <c r="V19" s="18">
        <f>'насел.'!V19+пільги!V19+субсидії!V19+'держ.бюджет'!V19+'місц.-районн.бюджет'!V19+областной!V19+інші!V19</f>
        <v>1007.5</v>
      </c>
      <c r="W19" s="18">
        <f>'насел.'!W19+пільги!W19+субсидії!W19+'держ.бюджет'!W19+'місц.-районн.бюджет'!W19+областной!W19+інші!W19</f>
        <v>2249.1000000000004</v>
      </c>
      <c r="X19" s="11">
        <f t="shared" si="7"/>
        <v>223.23573200992558</v>
      </c>
      <c r="Y19" s="18">
        <f>'насел.'!Y19+пільги!Y19+субсидії!Y19+'держ.бюджет'!Y19+'місц.-районн.бюджет'!Y19+областной!Y19+інші!Y19</f>
        <v>2602.4999999999995</v>
      </c>
      <c r="Z19" s="18">
        <f>'насел.'!Z19+пільги!Z19+субсидії!Z19+'держ.бюджет'!Z19+'місц.-районн.бюджет'!Z19+областной!Z19+інші!Z19</f>
        <v>3662.9000000000005</v>
      </c>
      <c r="AA19" s="11">
        <f t="shared" si="1"/>
        <v>140.7454370797311</v>
      </c>
      <c r="AB19" s="18">
        <f>'насел.'!AB19+пільги!AB19+субсидії!AB19+'держ.бюджет'!AB19+'місц.-районн.бюджет'!AB19+областной!AB19+інші!AB19</f>
        <v>1011.4000000000001</v>
      </c>
      <c r="AC19" s="18">
        <f>'насел.'!AC19+пільги!AC19+субсидії!AC19+'держ.бюджет'!AC19+'місц.-районн.бюджет'!AC19+областной!AC19+інші!AC19</f>
        <v>901.3000000000001</v>
      </c>
      <c r="AD19" s="11">
        <f t="shared" si="8"/>
        <v>89.11409926834091</v>
      </c>
      <c r="AE19" s="18">
        <f>'насел.'!AE19+пільги!AE19+субсидії!AE19+'держ.бюджет'!AE19+'місц.-районн.бюджет'!AE19+областной!AE19+інші!AE19</f>
        <v>1033.8999999999999</v>
      </c>
      <c r="AF19" s="18">
        <f>'насел.'!AF19+пільги!AF19+субсидії!AF19+'держ.бюджет'!AF19+'місц.-районн.бюджет'!AF19+областной!AF19+інші!AF19</f>
        <v>704.0999999999999</v>
      </c>
      <c r="AG19" s="11">
        <f t="shared" si="9"/>
        <v>68.10136376825612</v>
      </c>
      <c r="AH19" s="18">
        <f>'насел.'!AH19+пільги!AH19+субсидії!AH19+'держ.бюджет'!AH19+'місц.-районн.бюджет'!AH19+областной!AH19+інші!AH19</f>
        <v>1034</v>
      </c>
      <c r="AI19" s="18">
        <f>'насел.'!AI19+пільги!AI19+субсидії!AI19+'держ.бюджет'!AI19+'місц.-районн.бюджет'!AI19+областной!AI19+інші!AI19</f>
        <v>717.0999999999999</v>
      </c>
      <c r="AJ19" s="18">
        <f>'насел.'!AJ19+пільги!AJ19+субсидії!AJ19+'держ.бюджет'!AJ19+'місц.-районн.бюджет'!AJ19+областной!AJ19+інші!AJ19</f>
        <v>3079.3</v>
      </c>
      <c r="AK19" s="18">
        <f>'насел.'!AK19+пільги!AK19+субсидії!AK19+'держ.бюджет'!AK19+'місц.-районн.бюджет'!AK19+областной!AK19+інші!AK19</f>
        <v>2322.5</v>
      </c>
      <c r="AL19" s="18">
        <f t="shared" si="10"/>
        <v>75.42298574351312</v>
      </c>
      <c r="AM19" s="18">
        <f>'насел.'!AM19+пільги!AM19+субсидії!AM19+'держ.бюджет'!AM19+'місц.-районн.бюджет'!AM19+областной!AM19+інші!AM19</f>
        <v>1051.5</v>
      </c>
      <c r="AN19" s="18">
        <f>'насел.'!AN19+пільги!AN19+субсидії!AN19+'держ.бюджет'!AN19+'місц.-районн.бюджет'!AN19+областной!AN19+інші!AN19</f>
        <v>800.6</v>
      </c>
      <c r="AO19" s="18">
        <f>'насел.'!AO19+пільги!AO19+субсидії!AO19+'держ.бюджет'!AO19+'місц.-районн.бюджет'!AO19+областной!AO19+інші!AO19</f>
        <v>8996.800000000001</v>
      </c>
      <c r="AP19" s="18">
        <f>'насел.'!AP19+пільги!AP19+субсидії!AP19+'держ.бюджет'!AP19+'місц.-районн.бюджет'!AP19+областной!AP19+інші!AP19</f>
        <v>8468.7</v>
      </c>
      <c r="AQ19" s="11">
        <f t="shared" si="2"/>
        <v>94.13013515916771</v>
      </c>
      <c r="AR19" s="18">
        <f>'насел.'!AR19+пільги!AR19+субсидії!AR19+'держ.бюджет'!AR19+'місц.-районн.бюджет'!AR19+областной!AR19+інші!AR19</f>
        <v>528.0999999999992</v>
      </c>
      <c r="AS19" s="18">
        <f>'насел.'!AS19+пільги!AS19+субсидії!AS19+'держ.бюджет'!AS19+'місц.-районн.бюджет'!AS19+областной!AS19+інші!AS19</f>
        <v>1445.1999999999994</v>
      </c>
    </row>
    <row r="20" spans="1:45" ht="27" customHeight="1">
      <c r="A20" s="13" t="s">
        <v>25</v>
      </c>
      <c r="B20" s="15" t="s">
        <v>102</v>
      </c>
      <c r="C20" s="18">
        <f>'насел.'!C20+пільги!C20+субсидії!C20+'держ.бюджет'!C20+'місц.-районн.бюджет'!C20+областной!C20+інші!C20</f>
        <v>183.4</v>
      </c>
      <c r="D20" s="14">
        <f>'насел.'!D20+пільги!D20+субсидії!D20+'держ.бюджет'!D20+'місц.-районн.бюджет'!D20+областной!D20+інші!D20</f>
        <v>159.2</v>
      </c>
      <c r="E20" s="14">
        <f>'насел.'!E20+пільги!E20+субсидії!E20+'держ.бюджет'!E20+'місц.-районн.бюджет'!E20+областной!E20+інші!E20</f>
        <v>279.1</v>
      </c>
      <c r="F20" s="11">
        <f t="shared" si="11"/>
        <v>175.3140703517588</v>
      </c>
      <c r="G20" s="14">
        <f>'насел.'!G20+пільги!G20+субсидії!G20+'держ.бюджет'!G20+'місц.-районн.бюджет'!G20+областной!G20+інші!G20</f>
        <v>156.7</v>
      </c>
      <c r="H20" s="14">
        <f>'насел.'!H20+пільги!H20+субсидії!H20+'держ.бюджет'!H20+'місц.-районн.бюджет'!H20+областной!H20+інші!H20</f>
        <v>69.5</v>
      </c>
      <c r="I20" s="11">
        <f t="shared" si="3"/>
        <v>44.35226547543076</v>
      </c>
      <c r="J20" s="14">
        <f>'насел.'!J20+пільги!J20+субсидії!J20+'держ.бюджет'!J20+'місц.-районн.бюджет'!J20+областной!J20+інші!J20</f>
        <v>159.29999999999998</v>
      </c>
      <c r="K20" s="14">
        <f>'насел.'!AP20+пільги!AP20+субсидії!AP20+'держ.бюджет'!AP20+'місц.-районн.бюджет'!AP20+областной!AP20+інші!AP20</f>
        <v>1603.4999999999998</v>
      </c>
      <c r="L20" s="11">
        <f t="shared" si="4"/>
        <v>1006.5913370998115</v>
      </c>
      <c r="M20" s="11">
        <f>'насел.'!M20+пільги!M20+субсидії!M20+'держ.бюджет'!M20+'місц.-районн.бюджет'!M20+областной!M20+інші!M20</f>
        <v>475.2</v>
      </c>
      <c r="N20" s="11">
        <f>'насел.'!N20+пільги!N20+субсидії!N20+'держ.бюджет'!N20+'місц.-районн.бюджет'!N20+областной!N20+інші!N20</f>
        <v>507.5</v>
      </c>
      <c r="O20" s="11">
        <f t="shared" si="0"/>
        <v>106.79713804713803</v>
      </c>
      <c r="P20" s="18">
        <f>'насел.'!P20+пільги!P20+субсидії!P20+'держ.бюджет'!P20+'місц.-районн.бюджет'!P20+областной!P20+інші!P20</f>
        <v>347.59999999999997</v>
      </c>
      <c r="Q20" s="18">
        <f>'насел.'!Q20+пільги!Q20+субсидії!Q20+'держ.бюджет'!Q20+'місц.-районн.бюджет'!Q20+областной!Q20+інші!Q20</f>
        <v>305.29999999999995</v>
      </c>
      <c r="R20" s="11">
        <f t="shared" si="5"/>
        <v>87.8308400460299</v>
      </c>
      <c r="S20" s="18">
        <f>'насел.'!S20+пільги!S20+субсидії!S20+'держ.бюджет'!S20+'місц.-районн.бюджет'!S20+областной!S20+інші!S20</f>
        <v>162.99999999999997</v>
      </c>
      <c r="T20" s="18">
        <f>'насел.'!T20+пільги!T20+субсидії!T20+'держ.бюджет'!T20+'місц.-районн.бюджет'!T20+областной!T20+інші!T20</f>
        <v>105.6</v>
      </c>
      <c r="U20" s="11">
        <f t="shared" si="6"/>
        <v>64.78527607361964</v>
      </c>
      <c r="V20" s="18">
        <f>'насел.'!V20+пільги!V20+субсидії!V20+'держ.бюджет'!V20+'місц.-районн.бюджет'!V20+областной!V20+інші!V20</f>
        <v>153</v>
      </c>
      <c r="W20" s="18">
        <f>'насел.'!W20+пільги!W20+субсидії!W20+'держ.бюджет'!W20+'місц.-районн.бюджет'!W20+областной!W20+інші!W20</f>
        <v>143.79999999999998</v>
      </c>
      <c r="X20" s="11">
        <f t="shared" si="7"/>
        <v>93.98692810457516</v>
      </c>
      <c r="Y20" s="18">
        <f>'насел.'!Y20+пільги!Y20+субсидії!Y20+'держ.бюджет'!Y20+'місц.-районн.бюджет'!Y20+областной!Y20+інші!Y20</f>
        <v>663.6</v>
      </c>
      <c r="Z20" s="18">
        <f>'насел.'!Z20+пільги!Z20+субсидії!Z20+'держ.бюджет'!Z20+'місц.-районн.бюджет'!Z20+областной!Z20+інші!Z20</f>
        <v>554.6999999999999</v>
      </c>
      <c r="AA20" s="11">
        <f t="shared" si="1"/>
        <v>83.5895117540687</v>
      </c>
      <c r="AB20" s="18">
        <f>'насел.'!AB20+пільги!AB20+субсидії!AB20+'держ.бюджет'!AB20+'місц.-районн.бюджет'!AB20+областной!AB20+інші!AB20</f>
        <v>235.9</v>
      </c>
      <c r="AC20" s="18">
        <f>'насел.'!AC20+пільги!AC20+субсидії!AC20+'держ.бюджет'!AC20+'місц.-районн.бюджет'!AC20+областной!AC20+інші!AC20</f>
        <v>80.1</v>
      </c>
      <c r="AD20" s="11">
        <f t="shared" si="8"/>
        <v>33.95506570580754</v>
      </c>
      <c r="AE20" s="18">
        <f>'насел.'!AE20+пільги!AE20+субсидії!AE20+'держ.бюджет'!AE20+'місц.-районн.бюджет'!AE20+областной!AE20+інші!AE20</f>
        <v>205.1</v>
      </c>
      <c r="AF20" s="18">
        <f>'насел.'!AF20+пільги!AF20+субсидії!AF20+'держ.бюджет'!AF20+'місц.-районн.бюджет'!AF20+областной!AF20+інші!AF20</f>
        <v>144.60000000000002</v>
      </c>
      <c r="AG20" s="11">
        <f t="shared" si="9"/>
        <v>70.50219405168212</v>
      </c>
      <c r="AH20" s="18">
        <f>'насел.'!AH20+пільги!AH20+субсидії!AH20+'держ.бюджет'!AH20+'місц.-районн.бюджет'!AH20+областной!AH20+інші!AH20</f>
        <v>200.39999999999998</v>
      </c>
      <c r="AI20" s="18">
        <f>'насел.'!AI20+пільги!AI20+субсидії!AI20+'держ.бюджет'!AI20+'місц.-районн.бюджет'!AI20+областной!AI20+інші!AI20</f>
        <v>148</v>
      </c>
      <c r="AJ20" s="18">
        <f>'насел.'!AJ20+пільги!AJ20+субсидії!AJ20+'держ.бюджет'!AJ20+'місц.-районн.бюджет'!AJ20+областной!AJ20+інші!AJ20</f>
        <v>641.4</v>
      </c>
      <c r="AK20" s="18">
        <f>'насел.'!AK20+пільги!AK20+субсидії!AK20+'держ.бюджет'!AK20+'місц.-районн.бюджет'!AK20+областной!AK20+інші!AK20</f>
        <v>372.7</v>
      </c>
      <c r="AL20" s="18">
        <f t="shared" si="10"/>
        <v>58.10726535703149</v>
      </c>
      <c r="AM20" s="18">
        <f>'насел.'!AM20+пільги!AM20+субсидії!AM20+'держ.бюджет'!AM20+'місц.-районн.бюджет'!AM20+областной!AM20+інші!AM20</f>
        <v>219.5</v>
      </c>
      <c r="AN20" s="18">
        <f>'насел.'!AN20+пільги!AN20+субсидії!AN20+'держ.бюджет'!AN20+'місц.-районн.бюджет'!AN20+областной!AN20+інші!AN20</f>
        <v>168.6</v>
      </c>
      <c r="AO20" s="18">
        <f>'насел.'!AO20+пільги!AO20+субсидії!AO20+'держ.бюджет'!AO20+'місц.-районн.бюджет'!AO20+областной!AO20+інші!AO20</f>
        <v>1999.6999999999998</v>
      </c>
      <c r="AP20" s="18">
        <f>'насел.'!AP20+пільги!AP20+субсидії!AP20+'держ.бюджет'!AP20+'місц.-районн.бюджет'!AP20+областной!AP20+інші!AP20</f>
        <v>1603.4999999999998</v>
      </c>
      <c r="AQ20" s="11">
        <f t="shared" si="2"/>
        <v>80.18702805420813</v>
      </c>
      <c r="AR20" s="18">
        <f>'насел.'!AR20+пільги!AR20+субсидії!AR20+'держ.бюджет'!AR20+'місц.-районн.бюджет'!AR20+областной!AR20+інші!AR20</f>
        <v>396.19999999999993</v>
      </c>
      <c r="AS20" s="18">
        <f>'насел.'!AS20+пільги!AS20+субсидії!AS20+'держ.бюджет'!AS20+'місц.-районн.бюджет'!AS20+областной!AS20+інші!AS20</f>
        <v>579.5999999999999</v>
      </c>
    </row>
    <row r="21" spans="1:45" s="57" customFormat="1" ht="27" customHeight="1">
      <c r="A21" s="13" t="s">
        <v>26</v>
      </c>
      <c r="B21" s="56" t="s">
        <v>103</v>
      </c>
      <c r="C21" s="18">
        <f>'насел.'!C21+пільги!C21+субсидії!C21+'держ.бюджет'!C21+'місц.-районн.бюджет'!C21+областной!C21+інші!C21</f>
        <v>63.800000000000004</v>
      </c>
      <c r="D21" s="14">
        <f>'насел.'!D21+пільги!D21+субсидії!D21+'держ.бюджет'!D21+'місц.-районн.бюджет'!D21+областной!D21+інші!D21</f>
        <v>38.699999999999996</v>
      </c>
      <c r="E21" s="14">
        <f>'насел.'!E21+пільги!E21+субсидії!E21+'держ.бюджет'!E21+'місц.-районн.бюджет'!E21+областной!E21+інші!E21</f>
        <v>64.8</v>
      </c>
      <c r="F21" s="11">
        <f t="shared" si="11"/>
        <v>167.4418604651163</v>
      </c>
      <c r="G21" s="14">
        <f>'насел.'!G21+пільги!G21+субсидії!G21+'держ.бюджет'!G21+'місц.-районн.бюджет'!G21+областной!G21+інші!G21</f>
        <v>35.2</v>
      </c>
      <c r="H21" s="14">
        <f>'насел.'!H21+пільги!H21+субсидії!H21+'держ.бюджет'!H21+'місц.-районн.бюджет'!H21+областной!H21+інші!H21</f>
        <v>7.3</v>
      </c>
      <c r="I21" s="11">
        <f t="shared" si="3"/>
        <v>20.738636363636363</v>
      </c>
      <c r="J21" s="14">
        <f>'насел.'!J21+пільги!J21+субсидії!J21+'держ.бюджет'!J21+'місц.-районн.бюджет'!J21+областной!J21+інші!J21</f>
        <v>42.7</v>
      </c>
      <c r="K21" s="14">
        <f>'насел.'!AP21+пільги!AP21+субсидії!AP21+'держ.бюджет'!AP21+'місц.-районн.бюджет'!AP21+областной!AP21+інші!AP21</f>
        <v>293.6</v>
      </c>
      <c r="L21" s="11">
        <f t="shared" si="4"/>
        <v>687.5878220140515</v>
      </c>
      <c r="M21" s="11">
        <f>'насел.'!M21+пільги!M21+субсидії!M21+'держ.бюджет'!M21+'місц.-районн.бюджет'!M21+областной!M21+інші!M21</f>
        <v>116.60000000000001</v>
      </c>
      <c r="N21" s="11">
        <f>'насел.'!N21+пільги!N21+субсидії!N21+'держ.бюджет'!N21+'місц.-районн.бюджет'!N21+областной!N21+інші!N21</f>
        <v>114.5</v>
      </c>
      <c r="O21" s="11">
        <f t="shared" si="0"/>
        <v>98.19897084048027</v>
      </c>
      <c r="P21" s="18">
        <f>'насел.'!P21+пільги!P21+субсидії!P21+'держ.бюджет'!P21+'місц.-районн.бюджет'!P21+областной!P21+інші!P21</f>
        <v>25.099999999999998</v>
      </c>
      <c r="Q21" s="18">
        <f>'насел.'!Q21+пільги!Q21+субсидії!Q21+'держ.бюджет'!Q21+'місц.-районн.бюджет'!Q21+областной!Q21+інші!Q21</f>
        <v>32.9</v>
      </c>
      <c r="R21" s="11">
        <f t="shared" si="5"/>
        <v>131.0756972111554</v>
      </c>
      <c r="S21" s="18">
        <f>'насел.'!S21+пільги!S21+субсидії!S21+'держ.бюджет'!S21+'місц.-районн.бюджет'!S21+областной!S21+інші!S21</f>
        <v>-45.2</v>
      </c>
      <c r="T21" s="18">
        <f>'насел.'!T21+пільги!T21+субсидії!T21+'держ.бюджет'!T21+'місц.-районн.бюджет'!T21+областной!T21+інші!T21</f>
        <v>11.6</v>
      </c>
      <c r="U21" s="11">
        <f t="shared" si="6"/>
        <v>-25.663716814159287</v>
      </c>
      <c r="V21" s="18">
        <f>'насел.'!V21+пільги!V21+субсидії!V21+'держ.бюджет'!V21+'місц.-районн.бюджет'!V21+областной!V21+інші!V21</f>
        <v>13.3</v>
      </c>
      <c r="W21" s="18">
        <f>'насел.'!W21+пільги!W21+субсидії!W21+'держ.бюджет'!W21+'місц.-районн.бюджет'!W21+областной!W21+інші!W21</f>
        <v>14.900000000000002</v>
      </c>
      <c r="X21" s="11">
        <f t="shared" si="7"/>
        <v>112.03007518796993</v>
      </c>
      <c r="Y21" s="18">
        <f>'насел.'!Y21+пільги!Y21+субсидії!Y21+'держ.бюджет'!Y21+'місц.-районн.бюджет'!Y21+областной!Y21+інші!Y21</f>
        <v>-6.799999999999999</v>
      </c>
      <c r="Z21" s="18">
        <f>'насел.'!Z21+пільги!Z21+субсидії!Z21+'держ.бюджет'!Z21+'місц.-районн.бюджет'!Z21+областной!Z21+інші!Z21</f>
        <v>59.4</v>
      </c>
      <c r="AA21" s="11">
        <f t="shared" si="1"/>
        <v>-873.529411764706</v>
      </c>
      <c r="AB21" s="18">
        <f>'насел.'!AB21+пільги!AB21+субсидії!AB21+'держ.бюджет'!AB21+'місц.-районн.бюджет'!AB21+областной!AB21+інші!AB21</f>
        <v>45.8</v>
      </c>
      <c r="AC21" s="18">
        <f>'насел.'!AC21+пільги!AC21+субсидії!AC21+'держ.бюджет'!AC21+'місц.-районн.бюджет'!AC21+областной!AC21+інші!AC21</f>
        <v>10.7</v>
      </c>
      <c r="AD21" s="11">
        <f t="shared" si="8"/>
        <v>23.362445414847162</v>
      </c>
      <c r="AE21" s="18">
        <f>'насел.'!AE21+пільги!AE21+субсидії!AE21+'держ.бюджет'!AE21+'місц.-районн.бюджет'!AE21+областной!AE21+інші!AE21</f>
        <v>25.400000000000002</v>
      </c>
      <c r="AF21" s="18">
        <f>'насел.'!AF21+пільги!AF21+субсидії!AF21+'держ.бюджет'!AF21+'місц.-районн.бюджет'!AF21+областной!AF21+інші!AF21</f>
        <v>9.4</v>
      </c>
      <c r="AG21" s="11">
        <f t="shared" si="9"/>
        <v>37.00787401574803</v>
      </c>
      <c r="AH21" s="18">
        <f>'насел.'!AH21+пільги!AH21+субсидії!AH21+'держ.бюджет'!AH21+'місц.-районн.бюджет'!AH21+областной!AH21+інші!AH21</f>
        <v>39.80000000000001</v>
      </c>
      <c r="AI21" s="18">
        <f>'насел.'!AI21+пільги!AI21+субсидії!AI21+'держ.бюджет'!AI21+'місц.-районн.бюджет'!AI21+областной!AI21+інші!AI21</f>
        <v>11.399999999999999</v>
      </c>
      <c r="AJ21" s="18">
        <f>'насел.'!AJ21+пільги!AJ21+субсидії!AJ21+'держ.бюджет'!AJ21+'місц.-районн.бюджет'!AJ21+областной!AJ21+інші!AJ21</f>
        <v>111</v>
      </c>
      <c r="AK21" s="18">
        <f>'насел.'!AK21+пільги!AK21+субсидії!AK21+'держ.бюджет'!AK21+'місц.-районн.бюджет'!AK21+областной!AK21+інші!AK21</f>
        <v>31.5</v>
      </c>
      <c r="AL21" s="18">
        <f t="shared" si="10"/>
        <v>28.37837837837838</v>
      </c>
      <c r="AM21" s="18">
        <f>'насел.'!AM21+пільги!AM21+субсидії!AM21+'держ.бюджет'!AM21+'місц.-районн.бюджет'!AM21+областной!AM21+інші!AM21</f>
        <v>38.699999999999996</v>
      </c>
      <c r="AN21" s="18">
        <f>'насел.'!AN21+пільги!AN21+субсидії!AN21+'держ.бюджет'!AN21+'місц.-районн.бюджет'!AN21+областной!AN21+інші!AN21</f>
        <v>88.19999999999999</v>
      </c>
      <c r="AO21" s="18">
        <f>'насел.'!AO21+пільги!AO21+субсидії!AO21+'держ.бюджет'!AO21+'місц.-районн.бюджет'!AO21+областной!AO21+інші!AO21</f>
        <v>259.5</v>
      </c>
      <c r="AP21" s="18">
        <f>'насел.'!AP21+пільги!AP21+субсидії!AP21+'держ.бюджет'!AP21+'місц.-районн.бюджет'!AP21+областной!AP21+інші!AP21</f>
        <v>293.6</v>
      </c>
      <c r="AQ21" s="11">
        <f t="shared" si="2"/>
        <v>113.14065510597304</v>
      </c>
      <c r="AR21" s="18">
        <f>'насел.'!AR21+пільги!AR21+субсидії!AR21+'держ.бюджет'!AR21+'місц.-районн.бюджет'!AR21+областной!AR21+інші!AR21</f>
        <v>-34.099999999999994</v>
      </c>
      <c r="AS21" s="18">
        <f>'насел.'!AS21+пільги!AS21+субсидії!AS21+'держ.бюджет'!AS21+'місц.-районн.бюджет'!AS21+областной!AS21+інші!AS21</f>
        <v>29.699999999999996</v>
      </c>
    </row>
    <row r="22" spans="1:45" ht="27" customHeight="1">
      <c r="A22" s="13" t="s">
        <v>27</v>
      </c>
      <c r="B22" s="15" t="s">
        <v>104</v>
      </c>
      <c r="C22" s="18">
        <f>'насел.'!C22+пільги!C22+субсидії!C22+'держ.бюджет'!C22+'місц.-районн.бюджет'!C22+областной!C22+інші!C22</f>
        <v>656.5</v>
      </c>
      <c r="D22" s="14">
        <f>'насел.'!D22+пільги!D22+субсидії!D22+'держ.бюджет'!D22+'місц.-районн.бюджет'!D22+областной!D22+інші!D22</f>
        <v>214.90000000000003</v>
      </c>
      <c r="E22" s="14">
        <f>'насел.'!E22+пільги!E22+субсидії!E22+'держ.бюджет'!E22+'місц.-районн.бюджет'!E22+областной!E22+інші!E22</f>
        <v>404.6</v>
      </c>
      <c r="F22" s="11">
        <f t="shared" si="11"/>
        <v>188.2736156351791</v>
      </c>
      <c r="G22" s="14">
        <f>'насел.'!G22+пільги!G22+субсидії!G22+'держ.бюджет'!G22+'місц.-районн.бюджет'!G22+областной!G22+інші!G22</f>
        <v>308</v>
      </c>
      <c r="H22" s="14">
        <f>'насел.'!H22+пільги!H22+субсидії!H22+'держ.бюджет'!H22+'місц.-районн.бюджет'!H22+областной!H22+інші!H22</f>
        <v>136.20000000000002</v>
      </c>
      <c r="I22" s="11">
        <f t="shared" si="3"/>
        <v>44.22077922077923</v>
      </c>
      <c r="J22" s="14">
        <f>'насел.'!J22+пільги!J22+субсидії!J22+'держ.бюджет'!J22+'місц.-районн.бюджет'!J22+областной!J22+інші!J22</f>
        <v>356.6</v>
      </c>
      <c r="K22" s="14">
        <f>'насел.'!AP22+пільги!AP22+субсидії!AP22+'держ.бюджет'!AP22+'місц.-районн.бюджет'!AP22+областной!AP22+інші!AP22</f>
        <v>2413.2</v>
      </c>
      <c r="L22" s="11">
        <f t="shared" si="4"/>
        <v>676.7246214245653</v>
      </c>
      <c r="M22" s="11">
        <f>'насел.'!M22+пільги!M22+субсидії!M22+'держ.бюджет'!M22+'місц.-районн.бюджет'!M22+областной!M22+інші!M22</f>
        <v>879.5000000000001</v>
      </c>
      <c r="N22" s="11">
        <f>'насел.'!N22+пільги!N22+субсидії!N22+'держ.бюджет'!N22+'місц.-районн.бюджет'!N22+областной!N22+інші!N22</f>
        <v>784.3000000000001</v>
      </c>
      <c r="O22" s="11">
        <f t="shared" si="0"/>
        <v>89.17566799317794</v>
      </c>
      <c r="P22" s="18">
        <f>'насел.'!P22+пільги!P22+субсидії!P22+'держ.бюджет'!P22+'місц.-районн.бюджет'!P22+областной!P22+інші!P22</f>
        <v>300.6</v>
      </c>
      <c r="Q22" s="18">
        <f>'насел.'!Q22+пільги!Q22+субсидії!Q22+'держ.бюджет'!Q22+'місц.-районн.бюджет'!Q22+областной!Q22+інші!Q22</f>
        <v>340.79999999999995</v>
      </c>
      <c r="R22" s="11">
        <f t="shared" si="5"/>
        <v>113.37325349301395</v>
      </c>
      <c r="S22" s="18">
        <f>'насел.'!S22+пільги!S22+субсидії!S22+'держ.бюджет'!S22+'місц.-районн.бюджет'!S22+областной!S22+інші!S22</f>
        <v>-147.40000000000003</v>
      </c>
      <c r="T22" s="18">
        <f>'насел.'!T22+пільги!T22+субсидії!T22+'держ.бюджет'!T22+'місц.-районн.бюджет'!T22+областной!T22+інші!T22</f>
        <v>165.6</v>
      </c>
      <c r="U22" s="11">
        <f t="shared" si="6"/>
        <v>-112.34735413839888</v>
      </c>
      <c r="V22" s="18">
        <f>'насел.'!V22+пільги!V22+субсидії!V22+'держ.бюджет'!V22+'місц.-районн.бюджет'!V22+областной!V22+інші!V22</f>
        <v>276.3</v>
      </c>
      <c r="W22" s="18">
        <f>'насел.'!W22+пільги!W22+субсидії!W22+'держ.бюджет'!W22+'місц.-районн.бюджет'!W22+областной!W22+інші!W22</f>
        <v>95.19999999999999</v>
      </c>
      <c r="X22" s="11">
        <f t="shared" si="7"/>
        <v>34.4553022077452</v>
      </c>
      <c r="Y22" s="18">
        <f>'насел.'!Y22+пільги!Y22+субсидії!Y22+'держ.бюджет'!Y22+'місц.-районн.бюджет'!Y22+областной!Y22+інші!Y22</f>
        <v>429.49999999999994</v>
      </c>
      <c r="Z22" s="18">
        <f>'насел.'!Z22+пільги!Z22+субсидії!Z22+'держ.бюджет'!Z22+'місц.-районн.бюджет'!Z22+областной!Z22+інші!Z22</f>
        <v>601.5999999999999</v>
      </c>
      <c r="AA22" s="11">
        <f t="shared" si="1"/>
        <v>140.069848661234</v>
      </c>
      <c r="AB22" s="18">
        <f>'насел.'!AB22+пільги!AB22+субсидії!AB22+'держ.бюджет'!AB22+'місц.-районн.бюджет'!AB22+областной!AB22+інші!AB22</f>
        <v>207.69999999999996</v>
      </c>
      <c r="AC22" s="18">
        <f>'насел.'!AC22+пільги!AC22+субсидії!AC22+'держ.бюджет'!AC22+'місц.-районн.бюджет'!AC22+областной!AC22+інші!AC22</f>
        <v>134.79999999999998</v>
      </c>
      <c r="AD22" s="11">
        <f t="shared" si="8"/>
        <v>64.90129995185364</v>
      </c>
      <c r="AE22" s="18">
        <f>'насел.'!AE22+пільги!AE22+субсидії!AE22+'держ.бюджет'!AE22+'місц.-районн.бюджет'!AE22+областной!AE22+інші!AE22</f>
        <v>312.79999999999995</v>
      </c>
      <c r="AF22" s="18">
        <f>'насел.'!AF22+пільги!AF22+субсидії!AF22+'держ.бюджет'!AF22+'місц.-районн.бюджет'!AF22+областной!AF22+інші!AF22</f>
        <v>166.7</v>
      </c>
      <c r="AG22" s="11">
        <f t="shared" si="9"/>
        <v>53.292838874680314</v>
      </c>
      <c r="AH22" s="18">
        <f>'насел.'!AH22+пільги!AH22+субсидії!AH22+'держ.бюджет'!AH22+'місц.-районн.бюджет'!AH22+областной!AH22+інші!AH22</f>
        <v>206.9</v>
      </c>
      <c r="AI22" s="18">
        <f>'насел.'!AI22+пільги!AI22+субсидії!AI22+'держ.бюджет'!AI22+'місц.-районн.бюджет'!AI22+областной!AI22+інші!AI22</f>
        <v>527.9999999999999</v>
      </c>
      <c r="AJ22" s="18">
        <f>'насел.'!AJ22+пільги!AJ22+субсидії!AJ22+'держ.бюджет'!AJ22+'місц.-районн.бюджет'!AJ22+областной!AJ22+інші!AJ22</f>
        <v>727.4</v>
      </c>
      <c r="AK22" s="18">
        <f>'насел.'!AK22+пільги!AK22+субсидії!AK22+'держ.бюджет'!AK22+'місц.-районн.бюджет'!AK22+областной!AK22+інші!AK22</f>
        <v>829.5</v>
      </c>
      <c r="AL22" s="18">
        <f t="shared" si="10"/>
        <v>114.03629364861149</v>
      </c>
      <c r="AM22" s="18">
        <f>'насел.'!AM22+пільги!AM22+субсидії!AM22+'держ.бюджет'!AM22+'місц.-районн.бюджет'!AM22+областной!AM22+інші!AM22</f>
        <v>187.29999999999998</v>
      </c>
      <c r="AN22" s="18">
        <f>'насел.'!AN22+пільги!AN22+субсидії!AN22+'держ.бюджет'!AN22+'місц.-районн.бюджет'!AN22+областной!AN22+інші!AN22</f>
        <v>197.8</v>
      </c>
      <c r="AO22" s="18">
        <f>'насел.'!AO22+пільги!AO22+субсидії!AO22+'держ.бюджет'!AO22+'місц.-районн.бюджет'!AO22+областной!AO22+інші!AO22</f>
        <v>2223.7</v>
      </c>
      <c r="AP22" s="18">
        <f>'насел.'!AP22+пільги!AP22+субсидії!AP22+'держ.бюджет'!AP22+'місц.-районн.бюджет'!AP22+областной!AP22+інші!AP22</f>
        <v>2413.2</v>
      </c>
      <c r="AQ22" s="11">
        <f t="shared" si="2"/>
        <v>108.52183298106759</v>
      </c>
      <c r="AR22" s="18">
        <f>'насел.'!AR22+пільги!AR22+субсидії!AR22+'держ.бюджет'!AR22+'місц.-районн.бюджет'!AR22+областной!AR22+інші!AR22</f>
        <v>-189.50000000000006</v>
      </c>
      <c r="AS22" s="18">
        <f>'насел.'!AS22+пільги!AS22+субсидії!AS22+'держ.бюджет'!AS22+'місц.-районн.бюджет'!AS22+областной!AS22+інші!AS22</f>
        <v>466.99999999999994</v>
      </c>
    </row>
    <row r="23" spans="1:45" ht="25.5" customHeight="1">
      <c r="A23" s="13" t="s">
        <v>28</v>
      </c>
      <c r="B23" s="15" t="s">
        <v>125</v>
      </c>
      <c r="C23" s="18">
        <f>'насел.'!C23+пільги!C23+субсидії!C23+'держ.бюджет'!C23+'місц.-районн.бюджет'!C23+областной!C23+інші!C23</f>
        <v>-6.700000000000005</v>
      </c>
      <c r="D23" s="14">
        <f>'насел.'!D23+пільги!D23+субсидії!D23+'держ.бюджет'!D23+'місц.-районн.бюджет'!D23+областной!D23+інші!D23</f>
        <v>35.9</v>
      </c>
      <c r="E23" s="14">
        <f>'насел.'!E23+пільги!E23+субсидії!E23+'держ.бюджет'!E23+'місц.-районн.бюджет'!E23+областной!E23+інші!E23</f>
        <v>83.5</v>
      </c>
      <c r="F23" s="11">
        <f t="shared" si="11"/>
        <v>232.59052924791087</v>
      </c>
      <c r="G23" s="14">
        <f>'насел.'!G23+пільги!G23+субсидії!G23+'держ.бюджет'!G23+'місц.-районн.бюджет'!G23+областной!G23+інші!G23</f>
        <v>38.5</v>
      </c>
      <c r="H23" s="14">
        <f>'насел.'!H23+пільги!H23+субсидії!H23+'держ.бюджет'!H23+'місц.-районн.бюджет'!H23+областной!H23+інші!H23</f>
        <v>14.2</v>
      </c>
      <c r="I23" s="11">
        <f t="shared" si="3"/>
        <v>36.88311688311688</v>
      </c>
      <c r="J23" s="14">
        <f>'насел.'!J23+пільги!J23+субсидії!J23+'держ.бюджет'!J23+'місц.-районн.бюджет'!J23+областной!J23+інші!J23</f>
        <v>35.5</v>
      </c>
      <c r="K23" s="14">
        <f>'насел.'!AP23+пільги!AP23+субсидії!AP23+'держ.бюджет'!AP23+'місц.-районн.бюджет'!AP23+областной!AP23+інші!AP23</f>
        <v>402.40000000000003</v>
      </c>
      <c r="L23" s="11">
        <f t="shared" si="4"/>
        <v>1133.5211267605634</v>
      </c>
      <c r="M23" s="11">
        <f>'насел.'!M23+пільги!M23+субсидії!M23+'держ.бюджет'!M23+'місц.-районн.бюджет'!M23+областной!M23+інші!M23</f>
        <v>109.89999999999999</v>
      </c>
      <c r="N23" s="11">
        <f>'насел.'!N23+пільги!N23+субсидії!N23+'держ.бюджет'!N23+'місц.-районн.бюджет'!N23+областной!N23+інші!N23</f>
        <v>146.3</v>
      </c>
      <c r="O23" s="11">
        <f t="shared" si="0"/>
        <v>133.12101910828028</v>
      </c>
      <c r="P23" s="18">
        <f>'насел.'!P23+пільги!P23+субсидії!P23+'держ.бюджет'!P23+'місц.-районн.бюджет'!P23+областной!P23+інші!P23</f>
        <v>37.9</v>
      </c>
      <c r="Q23" s="18">
        <f>'насел.'!Q23+пільги!Q23+субсидії!Q23+'держ.бюджет'!Q23+'місц.-районн.бюджет'!Q23+областной!Q23+інші!Q23</f>
        <v>90.00000000000001</v>
      </c>
      <c r="R23" s="11">
        <f t="shared" si="5"/>
        <v>237.46701846965706</v>
      </c>
      <c r="S23" s="18">
        <f>'насел.'!S23+пільги!S23+субсидії!S23+'держ.бюджет'!S23+'місц.-районн.бюджет'!S23+областной!S23+інші!S23</f>
        <v>40.300000000000004</v>
      </c>
      <c r="T23" s="18">
        <f>'насел.'!T23+пільги!T23+субсидії!T23+'держ.бюджет'!T23+'місц.-районн.бюджет'!T23+областной!T23+інші!T23</f>
        <v>26.1</v>
      </c>
      <c r="U23" s="11">
        <f t="shared" si="6"/>
        <v>64.76426799007444</v>
      </c>
      <c r="V23" s="18">
        <f>'насел.'!V23+пільги!V23+субсидії!V23+'держ.бюджет'!V23+'місц.-районн.бюджет'!V23+областной!V23+інші!V23</f>
        <v>41.7</v>
      </c>
      <c r="W23" s="18">
        <f>'насел.'!W23+пільги!W23+субсидії!W23+'держ.бюджет'!W23+'місц.-районн.бюджет'!W23+областной!W23+інші!W23</f>
        <v>26.9</v>
      </c>
      <c r="X23" s="11">
        <f t="shared" si="7"/>
        <v>64.5083932853717</v>
      </c>
      <c r="Y23" s="18">
        <f>'насел.'!Y23+пільги!Y23+субсидії!Y23+'держ.бюджет'!Y23+'місц.-районн.бюджет'!Y23+областной!Y23+інші!Y23</f>
        <v>119.9</v>
      </c>
      <c r="Z23" s="18">
        <f>'насел.'!Z23+пільги!Z23+субсидії!Z23+'держ.бюджет'!Z23+'місц.-районн.бюджет'!Z23+областной!Z23+інші!Z23</f>
        <v>143</v>
      </c>
      <c r="AA23" s="11">
        <f t="shared" si="1"/>
        <v>119.26605504587155</v>
      </c>
      <c r="AB23" s="18">
        <f>'насел.'!AB23+пільги!AB23+субсидії!AB23+'держ.бюджет'!AB23+'місц.-районн.бюджет'!AB23+областной!AB23+інші!AB23</f>
        <v>41.4</v>
      </c>
      <c r="AC23" s="18">
        <f>'насел.'!AC23+пільги!AC23+субсидії!AC23+'держ.бюджет'!AC23+'місц.-районн.бюджет'!AC23+областной!AC23+інші!AC23</f>
        <v>34.3</v>
      </c>
      <c r="AD23" s="11">
        <f t="shared" si="8"/>
        <v>82.85024154589371</v>
      </c>
      <c r="AE23" s="18">
        <f>'насел.'!AE23+пільги!AE23+субсидії!AE23+'держ.бюджет'!AE23+'місц.-районн.бюджет'!AE23+областной!AE23+інші!AE23</f>
        <v>38.3</v>
      </c>
      <c r="AF23" s="18">
        <f>'насел.'!AF23+пільги!AF23+субсидії!AF23+'держ.бюджет'!AF23+'місц.-районн.бюджет'!AF23+областной!AF23+інші!AF23</f>
        <v>26.799999999999997</v>
      </c>
      <c r="AG23" s="11">
        <f t="shared" si="9"/>
        <v>69.97389033942558</v>
      </c>
      <c r="AH23" s="18">
        <f>'насел.'!AH23+пільги!AH23+субсидії!AH23+'держ.бюджет'!AH23+'місц.-районн.бюджет'!AH23+областной!AH23+інші!AH23</f>
        <v>40.4</v>
      </c>
      <c r="AI23" s="18">
        <f>'насел.'!AI23+пільги!AI23+субсидії!AI23+'держ.бюджет'!AI23+'місц.-районн.бюджет'!AI23+областной!AI23+інші!AI23</f>
        <v>32.6</v>
      </c>
      <c r="AJ23" s="18">
        <f>'насел.'!AJ23+пільги!AJ23+субсидії!AJ23+'держ.бюджет'!AJ23+'місц.-районн.бюджет'!AJ23+областной!AJ23+інші!AJ23</f>
        <v>120.1</v>
      </c>
      <c r="AK23" s="18">
        <f>'насел.'!AK23+пільги!AK23+субсидії!AK23+'держ.бюджет'!AK23+'місц.-районн.бюджет'!AK23+областной!AK23+інші!AK23</f>
        <v>93.7</v>
      </c>
      <c r="AL23" s="18">
        <f t="shared" si="10"/>
        <v>78.01831806827644</v>
      </c>
      <c r="AM23" s="18">
        <f>'насел.'!AM23+пільги!AM23+субсидії!AM23+'держ.бюджет'!AM23+'місц.-районн.бюджет'!AM23+областной!AM23+інші!AM23</f>
        <v>37.800000000000004</v>
      </c>
      <c r="AN23" s="18">
        <f>'насел.'!AN23+пільги!AN23+субсидії!AN23+'держ.бюджет'!AN23+'місц.-районн.бюджет'!AN23+областной!AN23+інші!AN23</f>
        <v>19.4</v>
      </c>
      <c r="AO23" s="18">
        <f>'насел.'!AO23+пільги!AO23+субсидії!AO23+'держ.бюджет'!AO23+'місц.-районн.бюджет'!AO23+областной!AO23+інші!AO23</f>
        <v>387.7000000000001</v>
      </c>
      <c r="AP23" s="18">
        <f>'насел.'!AP23+пільги!AP23+субсидії!AP23+'держ.бюджет'!AP23+'місц.-районн.бюджет'!AP23+областной!AP23+інші!AP23</f>
        <v>402.40000000000003</v>
      </c>
      <c r="AQ23" s="11">
        <f t="shared" si="2"/>
        <v>103.79159143667782</v>
      </c>
      <c r="AR23" s="18">
        <f>'насел.'!AR23+пільги!AR23+субсидії!AR23+'держ.бюджет'!AR23+'місц.-районн.бюджет'!AR23+областной!AR23+інші!AR23</f>
        <v>-14.700000000000006</v>
      </c>
      <c r="AS23" s="18">
        <f>'насел.'!AS23+пільги!AS23+субсидії!AS23+'держ.бюджет'!AS23+'місц.-районн.бюджет'!AS23+областной!AS23+інші!AS23</f>
        <v>-21.399999999999995</v>
      </c>
    </row>
    <row r="24" spans="1:45" ht="27" customHeight="1">
      <c r="A24" s="13" t="s">
        <v>29</v>
      </c>
      <c r="B24" s="15" t="s">
        <v>105</v>
      </c>
      <c r="C24" s="18">
        <f>'насел.'!C24+пільги!C24+субсидії!C24+'держ.бюджет'!C24+'місц.-районн.бюджет'!C24+областной!C24+інші!C24</f>
        <v>717</v>
      </c>
      <c r="D24" s="14">
        <f>'насел.'!D24+пільги!D24+субсидії!D24+'держ.бюджет'!D24+'місц.-районн.бюджет'!D24+областной!D24+інші!D24</f>
        <v>1579.7</v>
      </c>
      <c r="E24" s="14">
        <f>'насел.'!E24+пільги!E24+субсидії!E24+'держ.бюджет'!E24+'місц.-районн.бюджет'!E24+областной!E24+інші!E24</f>
        <v>2810.2000000000003</v>
      </c>
      <c r="F24" s="11">
        <f t="shared" si="11"/>
        <v>177.89453693739318</v>
      </c>
      <c r="G24" s="14">
        <f>'насел.'!G24+пільги!G24+субсидії!G24+'держ.бюджет'!G24+'місц.-районн.бюджет'!G24+областной!G24+інші!G24</f>
        <v>1583.5</v>
      </c>
      <c r="H24" s="14">
        <f>'насел.'!H24+пільги!H24+субсидії!H24+'держ.бюджет'!H24+'місц.-районн.бюджет'!H24+областной!H24+інші!H24</f>
        <v>762.6</v>
      </c>
      <c r="I24" s="11">
        <f t="shared" si="3"/>
        <v>48.15914114303757</v>
      </c>
      <c r="J24" s="14">
        <f>'насел.'!J24+пільги!J24+субсидії!J24+'держ.бюджет'!J24+'місц.-районн.бюджет'!J24+областной!J24+інші!J24</f>
        <v>1603.1</v>
      </c>
      <c r="K24" s="14">
        <f>'насел.'!AP24+пільги!AP24+субсидії!AP24+'держ.бюджет'!AP24+'місц.-районн.бюджет'!AP24+областной!AP24+інші!AP24</f>
        <v>16301.199999999999</v>
      </c>
      <c r="L24" s="11">
        <f t="shared" si="4"/>
        <v>1016.8548437402533</v>
      </c>
      <c r="M24" s="11">
        <f>'насел.'!M24+пільги!M24+субсидії!M24+'держ.бюджет'!M24+'місц.-районн.бюджет'!M24+областной!M24+інші!M24</f>
        <v>4766.300000000001</v>
      </c>
      <c r="N24" s="11">
        <f>'насел.'!N24+пільги!N24+субсидії!N24+'держ.бюджет'!N24+'місц.-районн.бюджет'!N24+областной!N24+інші!N24</f>
        <v>5722.400000000001</v>
      </c>
      <c r="O24" s="11">
        <f t="shared" si="0"/>
        <v>120.05958500304217</v>
      </c>
      <c r="P24" s="18">
        <f>'насел.'!P24+пільги!P24+субсидії!P24+'держ.бюджет'!P24+'місц.-районн.бюджет'!P24+областной!P24+інші!P24</f>
        <v>1582.7</v>
      </c>
      <c r="Q24" s="18">
        <f>'насел.'!Q24+пільги!Q24+субсидії!Q24+'держ.бюджет'!Q24+'місц.-районн.бюджет'!Q24+областной!Q24+інші!Q24</f>
        <v>1092.6</v>
      </c>
      <c r="R24" s="11">
        <f t="shared" si="5"/>
        <v>69.03392936121816</v>
      </c>
      <c r="S24" s="18">
        <f>'насел.'!S24+пільги!S24+субсидії!S24+'держ.бюджет'!S24+'місц.-районн.бюджет'!S24+областной!S24+інші!S24</f>
        <v>1558.1000000000001</v>
      </c>
      <c r="T24" s="18">
        <f>'насел.'!T24+пільги!T24+субсидії!T24+'держ.бюджет'!T24+'місц.-районн.бюджет'!T24+областной!T24+інші!T24</f>
        <v>970.7</v>
      </c>
      <c r="U24" s="11">
        <f t="shared" si="6"/>
        <v>62.30023746871189</v>
      </c>
      <c r="V24" s="18">
        <f>'насел.'!V24+пільги!V24+субсидії!V24+'держ.бюджет'!V24+'місц.-районн.бюджет'!V24+областной!V24+інші!V24</f>
        <v>1618.5</v>
      </c>
      <c r="W24" s="18">
        <f>'насел.'!W24+пільги!W24+субсидії!W24+'держ.бюджет'!W24+'місц.-районн.бюджет'!W24+областной!W24+інші!W24</f>
        <v>1391.1</v>
      </c>
      <c r="X24" s="11">
        <f t="shared" si="7"/>
        <v>85.94995366079704</v>
      </c>
      <c r="Y24" s="18">
        <f>'насел.'!Y24+пільги!Y24+субсидії!Y24+'держ.бюджет'!Y24+'місц.-районн.бюджет'!Y24+областной!Y24+інші!Y24</f>
        <v>4759.299999999999</v>
      </c>
      <c r="Z24" s="18">
        <f>'насел.'!Z24+пільги!Z24+субсидії!Z24+'держ.бюджет'!Z24+'місц.-районн.бюджет'!Z24+областной!Z24+інші!Z24</f>
        <v>3454.3999999999996</v>
      </c>
      <c r="AA24" s="11">
        <f t="shared" si="1"/>
        <v>72.58210241001828</v>
      </c>
      <c r="AB24" s="18">
        <f>'насел.'!AB24+пільги!AB24+субсидії!AB24+'держ.бюджет'!AB24+'місц.-районн.бюджет'!AB24+областной!AB24+інші!AB24</f>
        <v>1528.7999999999997</v>
      </c>
      <c r="AC24" s="18">
        <f>'насел.'!AC24+пільги!AC24+субсидії!AC24+'держ.бюджет'!AC24+'місц.-районн.бюджет'!AC24+областной!AC24+інші!AC24</f>
        <v>1206.6</v>
      </c>
      <c r="AD24" s="11">
        <f t="shared" si="8"/>
        <v>78.92464678178965</v>
      </c>
      <c r="AE24" s="18">
        <f>'насел.'!AE24+пільги!AE24+субсидії!AE24+'держ.бюджет'!AE24+'місц.-районн.бюджет'!AE24+областной!AE24+інші!AE24</f>
        <v>1591.5</v>
      </c>
      <c r="AF24" s="18">
        <f>'насел.'!AF24+пільги!AF24+субсидії!AF24+'держ.бюджет'!AF24+'місц.-районн.бюджет'!AF24+областной!AF24+інші!AF24</f>
        <v>1967.1</v>
      </c>
      <c r="AG24" s="11">
        <f t="shared" si="9"/>
        <v>123.60037700282751</v>
      </c>
      <c r="AH24" s="18">
        <f>'насел.'!AH24+пільги!AH24+субсидії!AH24+'держ.бюджет'!AH24+'місц.-районн.бюджет'!AH24+областной!AH24+інші!AH24</f>
        <v>1609.9000000000003</v>
      </c>
      <c r="AI24" s="18">
        <f>'насел.'!AI24+пільги!AI24+субсидії!AI24+'держ.бюджет'!AI24+'місц.-районн.бюджет'!AI24+областной!AI24+інші!AI24</f>
        <v>2519.7999999999997</v>
      </c>
      <c r="AJ24" s="18">
        <f>'насел.'!AJ24+пільги!AJ24+субсидії!AJ24+'держ.бюджет'!AJ24+'місц.-районн.бюджет'!AJ24+областной!AJ24+інші!AJ24</f>
        <v>4730.2</v>
      </c>
      <c r="AK24" s="18">
        <f>'насел.'!AK24+пільги!AK24+субсидії!AK24+'держ.бюджет'!AK24+'місц.-районн.бюджет'!AK24+областной!AK24+інші!AK24</f>
        <v>5693.500000000001</v>
      </c>
      <c r="AL24" s="18">
        <f t="shared" si="10"/>
        <v>120.36488943385059</v>
      </c>
      <c r="AM24" s="18">
        <f>'насел.'!AM24+пільги!AM24+субсидії!AM24+'держ.бюджет'!AM24+'місц.-районн.бюджет'!AM24+областной!AM24+інші!AM24</f>
        <v>1613.0000000000002</v>
      </c>
      <c r="AN24" s="18">
        <f>'насел.'!AN24+пільги!AN24+субсидії!AN24+'держ.бюджет'!AN24+'місц.-районн.бюджет'!AN24+областной!AN24+інші!AN24</f>
        <v>1430.9</v>
      </c>
      <c r="AO24" s="18">
        <f>'насел.'!AO24+пільги!AO24+субсидії!AO24+'держ.бюджет'!AO24+'місц.-районн.бюджет'!AO24+областной!AO24+інші!AO24</f>
        <v>15868.799999999997</v>
      </c>
      <c r="AP24" s="18">
        <f>'насел.'!AP24+пільги!AP24+субсидії!AP24+'держ.бюджет'!AP24+'місц.-районн.бюджет'!AP24+областной!AP24+інші!AP24</f>
        <v>16301.199999999999</v>
      </c>
      <c r="AQ24" s="11">
        <f t="shared" si="2"/>
        <v>102.72484371849164</v>
      </c>
      <c r="AR24" s="18">
        <f>'насел.'!AR24+пільги!AR24+субсидії!AR24+'держ.бюджет'!AR24+'місц.-районн.бюджет'!AR24+областной!AR24+інші!AR24</f>
        <v>-432.40000000000106</v>
      </c>
      <c r="AS24" s="18">
        <f>'насел.'!AS24+пільги!AS24+субсидії!AS24+'держ.бюджет'!AS24+'місц.-районн.бюджет'!AS24+областной!AS24+інші!AS24</f>
        <v>284.59999999999843</v>
      </c>
    </row>
    <row r="25" spans="1:45" ht="27" customHeight="1">
      <c r="A25" s="13" t="s">
        <v>30</v>
      </c>
      <c r="B25" s="47" t="s">
        <v>106</v>
      </c>
      <c r="C25" s="18">
        <f>'насел.'!C25+пільги!C25+субсидії!C25+'держ.бюджет'!C25+'місц.-районн.бюджет'!C25+областной!C25+інші!C25</f>
        <v>-203.29999999999998</v>
      </c>
      <c r="D25" s="14">
        <f>'насел.'!D25+пільги!D25+субсидії!D25+'держ.бюджет'!D25+'місц.-районн.бюджет'!D25+областной!D25+інші!D25</f>
        <v>284.6</v>
      </c>
      <c r="E25" s="14">
        <f>'насел.'!E25+пільги!E25+субсидії!E25+'держ.бюджет'!E25+'місц.-районн.бюджет'!E25+областной!E25+інші!E25</f>
        <v>493.09999999999997</v>
      </c>
      <c r="F25" s="11">
        <f t="shared" si="11"/>
        <v>173.26071679550245</v>
      </c>
      <c r="G25" s="14">
        <f>'насел.'!G25+пільги!G25+субсидії!G25+'держ.бюджет'!G25+'місц.-районн.бюджет'!G25+областной!G25+інші!G25</f>
        <v>327.4</v>
      </c>
      <c r="H25" s="14">
        <f>'насел.'!H25+пільги!H25+субсидії!H25+'держ.бюджет'!H25+'місц.-районн.бюджет'!H25+областной!H25+інші!H25</f>
        <v>150.7</v>
      </c>
      <c r="I25" s="11">
        <f t="shared" si="3"/>
        <v>46.02932193036042</v>
      </c>
      <c r="J25" s="14">
        <f>'насел.'!J25+пільги!J25+субсидії!J25+'держ.бюджет'!J25+'місц.-районн.бюджет'!J25+областной!J25+інші!J25</f>
        <v>338.9</v>
      </c>
      <c r="K25" s="14">
        <f>'насел.'!AP25+пільги!AP25+субсидії!AP25+'держ.бюджет'!AP25+'місц.-районн.бюджет'!AP25+областной!AP25+інші!AP25</f>
        <v>3094.5</v>
      </c>
      <c r="L25" s="11">
        <f t="shared" si="4"/>
        <v>913.1012097964001</v>
      </c>
      <c r="M25" s="11">
        <f>'насел.'!M25+пільги!M25+субсидії!M25+'держ.бюджет'!M25+'місц.-районн.бюджет'!M25+областной!M25+інші!M25</f>
        <v>950.9</v>
      </c>
      <c r="N25" s="11">
        <f>'насел.'!N25+пільги!N25+субсидії!N25+'держ.бюджет'!N25+'місц.-районн.бюджет'!N25+областной!N25+інші!N25</f>
        <v>1051.8999999999999</v>
      </c>
      <c r="O25" s="11">
        <f t="shared" si="0"/>
        <v>110.62151645809233</v>
      </c>
      <c r="P25" s="18">
        <f>'насел.'!P25+пільги!P25+субсидії!P25+'держ.бюджет'!P25+'місц.-районн.бюджет'!P25+областной!P25+інші!P25</f>
        <v>309.2</v>
      </c>
      <c r="Q25" s="18">
        <f>'насел.'!Q25+пільги!Q25+субсидії!Q25+'держ.бюджет'!Q25+'місц.-районн.бюджет'!Q25+областной!Q25+інші!Q25</f>
        <v>187.79999999999998</v>
      </c>
      <c r="R25" s="11">
        <f t="shared" si="5"/>
        <v>60.73738680465718</v>
      </c>
      <c r="S25" s="18">
        <f>'насел.'!S25+пільги!S25+субсидії!S25+'держ.бюджет'!S25+'місц.-районн.бюджет'!S25+областной!S25+інші!S25</f>
        <v>319.79999999999995</v>
      </c>
      <c r="T25" s="18">
        <f>'насел.'!T25+пільги!T25+субсидії!T25+'держ.бюджет'!T25+'місц.-районн.бюджет'!T25+областной!T25+інші!T25</f>
        <v>168.5</v>
      </c>
      <c r="U25" s="11">
        <f t="shared" si="6"/>
        <v>52.68918073796124</v>
      </c>
      <c r="V25" s="18">
        <f>'насел.'!V25+пільги!V25+субсидії!V25+'держ.бюджет'!V25+'місц.-районн.бюджет'!V25+областной!V25+інші!V25</f>
        <v>312.8</v>
      </c>
      <c r="W25" s="18">
        <f>'насел.'!W25+пільги!W25+субсидії!W25+'держ.бюджет'!W25+'місц.-районн.бюджет'!W25+областной!W25+інші!W25</f>
        <v>350.90000000000003</v>
      </c>
      <c r="X25" s="11">
        <f t="shared" si="7"/>
        <v>112.18030690537084</v>
      </c>
      <c r="Y25" s="18">
        <f>'насел.'!Y25+пільги!Y25+субсидії!Y25+'держ.бюджет'!Y25+'місц.-районн.бюджет'!Y25+областной!Y25+інші!Y25</f>
        <v>941.7999999999998</v>
      </c>
      <c r="Z25" s="18">
        <f>'насел.'!Z25+пільги!Z25+субсидії!Z25+'держ.бюджет'!Z25+'місц.-районн.бюджет'!Z25+областной!Z25+інші!Z25</f>
        <v>707.1999999999999</v>
      </c>
      <c r="AA25" s="11">
        <f t="shared" si="1"/>
        <v>75.09025270758123</v>
      </c>
      <c r="AB25" s="18">
        <f>'насел.'!AB25+пільги!AB25+субсидії!AB25+'держ.бюджет'!AB25+'місц.-районн.бюджет'!AB25+областной!AB25+інші!AB25</f>
        <v>329.3</v>
      </c>
      <c r="AC25" s="18">
        <f>'насел.'!AC25+пільги!AC25+субсидії!AC25+'держ.бюджет'!AC25+'місц.-районн.бюджет'!AC25+областной!AC25+інші!AC25</f>
        <v>219.9</v>
      </c>
      <c r="AD25" s="11">
        <f t="shared" si="8"/>
        <v>66.77801396902521</v>
      </c>
      <c r="AE25" s="18">
        <f>'насел.'!AE25+пільги!AE25+субсидії!AE25+'держ.бюджет'!AE25+'місц.-районн.бюджет'!AE25+областной!AE25+інші!AE25</f>
        <v>319.70000000000005</v>
      </c>
      <c r="AF25" s="18">
        <f>'насел.'!AF25+пільги!AF25+субсидії!AF25+'держ.бюджет'!AF25+'місц.-районн.бюджет'!AF25+областной!AF25+інші!AF25</f>
        <v>450.09999999999997</v>
      </c>
      <c r="AG25" s="11">
        <f t="shared" si="9"/>
        <v>140.78823897403814</v>
      </c>
      <c r="AH25" s="18">
        <f>'насел.'!AH25+пільги!AH25+субсидії!AH25+'держ.бюджет'!AH25+'місц.-районн.бюджет'!AH25+областной!AH25+інші!AH25</f>
        <v>315.4</v>
      </c>
      <c r="AI25" s="18">
        <f>'насел.'!AI25+пільги!AI25+субсидії!AI25+'держ.бюджет'!AI25+'місц.-районн.бюджет'!AI25+областной!AI25+інші!AI25</f>
        <v>399.09999999999997</v>
      </c>
      <c r="AJ25" s="18">
        <f>'насел.'!AJ25+пільги!AJ25+субсидії!AJ25+'держ.бюджет'!AJ25+'місц.-районн.бюджет'!AJ25+областной!AJ25+інші!AJ25</f>
        <v>964.4</v>
      </c>
      <c r="AK25" s="18">
        <f>'насел.'!AK25+пільги!AK25+субсидії!AK25+'держ.бюджет'!AK25+'місц.-районн.бюджет'!AK25+областной!AK25+інші!AK25</f>
        <v>1069.1</v>
      </c>
      <c r="AL25" s="18">
        <f t="shared" si="10"/>
        <v>110.85649108253837</v>
      </c>
      <c r="AM25" s="18">
        <f>'насел.'!AM25+пільги!AM25+субсидії!AM25+'держ.бюджет'!AM25+'місц.-районн.бюджет'!AM25+областной!AM25+інші!AM25</f>
        <v>316.00000000000006</v>
      </c>
      <c r="AN25" s="18">
        <f>'насел.'!AN25+пільги!AN25+субсидії!AN25+'держ.бюджет'!AN25+'місц.-районн.бюджет'!AN25+областной!AN25+інші!AN25</f>
        <v>266.3</v>
      </c>
      <c r="AO25" s="18">
        <f>'насел.'!AO25+пільги!AO25+субсидії!AO25+'держ.бюджет'!AO25+'місц.-районн.бюджет'!AO25+областной!AO25+інші!AO25</f>
        <v>3173.1</v>
      </c>
      <c r="AP25" s="18">
        <f>'насел.'!AP25+пільги!AP25+субсидії!AP25+'держ.бюджет'!AP25+'місц.-районн.бюджет'!AP25+областной!AP25+інші!AP25</f>
        <v>3094.5</v>
      </c>
      <c r="AQ25" s="11">
        <f t="shared" si="2"/>
        <v>97.52292710598469</v>
      </c>
      <c r="AR25" s="18">
        <f>'насел.'!AR25+пільги!AR25+субсидії!AR25+'держ.бюджет'!AR25+'місц.-районн.бюджет'!AR25+областной!AR25+інші!AR25</f>
        <v>78.59999999999968</v>
      </c>
      <c r="AS25" s="18">
        <f>'насел.'!AS25+пільги!AS25+субсидії!AS25+'держ.бюджет'!AS25+'місц.-районн.бюджет'!AS25+областной!AS25+інші!AS25</f>
        <v>-124.70000000000022</v>
      </c>
    </row>
    <row r="26" spans="1:45" ht="27" customHeight="1">
      <c r="A26" s="13" t="s">
        <v>31</v>
      </c>
      <c r="B26" s="15" t="s">
        <v>107</v>
      </c>
      <c r="C26" s="18">
        <f>'насел.'!C26+пільги!C26+субсидії!C26+'держ.бюджет'!C26+'місц.-районн.бюджет'!C26+областной!C26+інші!C26</f>
        <v>97.60000000000001</v>
      </c>
      <c r="D26" s="14">
        <f>'насел.'!D26+пільги!D26+субсидії!D26+'держ.бюджет'!D26+'місц.-районн.бюджет'!D26+областной!D26+інші!D26</f>
        <v>30.4</v>
      </c>
      <c r="E26" s="14">
        <f>'насел.'!E26+пільги!E26+субсидії!E26+'держ.бюджет'!E26+'місц.-районн.бюджет'!E26+областной!E26+інші!E26</f>
        <v>9.4</v>
      </c>
      <c r="F26" s="11">
        <f t="shared" si="11"/>
        <v>30.92105263157895</v>
      </c>
      <c r="G26" s="14">
        <f>'насел.'!G26+пільги!G26+субсидії!G26+'держ.бюджет'!G26+'місц.-районн.бюджет'!G26+областной!G26+інші!G26</f>
        <v>33.800000000000004</v>
      </c>
      <c r="H26" s="14">
        <f>'насел.'!H26+пільги!H26+субсидії!H26+'держ.бюджет'!H26+'місц.-районн.бюджет'!H26+областной!H26+інші!H26</f>
        <v>37.300000000000004</v>
      </c>
      <c r="I26" s="11">
        <f t="shared" si="3"/>
        <v>110.35502958579882</v>
      </c>
      <c r="J26" s="14">
        <f>'насел.'!J26+пільги!J26+субсидії!J26+'держ.бюджет'!J26+'місц.-районн.бюджет'!J26+областной!J26+інші!J26</f>
        <v>31.800000000000004</v>
      </c>
      <c r="K26" s="14">
        <f>'насел.'!AP26+пільги!AP26+субсидії!AP26+'держ.бюджет'!AP26+'місц.-районн.бюджет'!AP26+областной!AP26+інші!AP26</f>
        <v>197.3</v>
      </c>
      <c r="L26" s="11">
        <f t="shared" si="4"/>
        <v>620.440251572327</v>
      </c>
      <c r="M26" s="11">
        <f>'насел.'!M26+пільги!M26+субсидії!M26+'держ.бюджет'!M26+'місц.-районн.бюджет'!M26+областной!M26+інші!M26</f>
        <v>96</v>
      </c>
      <c r="N26" s="11">
        <f>'насел.'!N26+пільги!N26+субсидії!N26+'держ.бюджет'!N26+'місц.-районн.бюджет'!N26+областной!N26+інші!N26</f>
        <v>65.39999999999999</v>
      </c>
      <c r="O26" s="11">
        <f t="shared" si="0"/>
        <v>68.12499999999999</v>
      </c>
      <c r="P26" s="18">
        <f>'насел.'!P26+пільги!P26+субсидії!P26+'держ.бюджет'!P26+'місц.-районн.бюджет'!P26+областной!P26+інші!P26</f>
        <v>25.4</v>
      </c>
      <c r="Q26" s="18">
        <f>'насел.'!Q26+пільги!Q26+субсидії!Q26+'держ.бюджет'!Q26+'місц.-районн.бюджет'!Q26+областной!Q26+інші!Q26</f>
        <v>42.9</v>
      </c>
      <c r="R26" s="11">
        <f t="shared" si="5"/>
        <v>168.8976377952756</v>
      </c>
      <c r="S26" s="18">
        <f>'насел.'!S26+пільги!S26+субсидії!S26+'держ.бюджет'!S26+'місц.-районн.бюджет'!S26+областной!S26+інші!S26</f>
        <v>19.000000000000004</v>
      </c>
      <c r="T26" s="18">
        <f>'насел.'!T26+пільги!T26+субсидії!T26+'держ.бюджет'!T26+'місц.-районн.бюджет'!T26+областной!T26+інші!T26</f>
        <v>12.299999999999999</v>
      </c>
      <c r="U26" s="11">
        <f t="shared" si="6"/>
        <v>64.73684210526314</v>
      </c>
      <c r="V26" s="18">
        <f>'насел.'!V26+пільги!V26+субсидії!V26+'держ.бюджет'!V26+'місц.-районн.бюджет'!V26+областной!V26+інші!V26</f>
        <v>-4.000000000000002</v>
      </c>
      <c r="W26" s="18">
        <f>'насел.'!W26+пільги!W26+субсидії!W26+'держ.бюджет'!W26+'місц.-районн.бюджет'!W26+областной!W26+інші!W26</f>
        <v>15.2</v>
      </c>
      <c r="X26" s="11">
        <f t="shared" si="7"/>
        <v>-379.99999999999983</v>
      </c>
      <c r="Y26" s="18">
        <f>'насел.'!Y26+пільги!Y26+субсидії!Y26+'держ.бюджет'!Y26+'місц.-районн.бюджет'!Y26+областной!Y26+інші!Y26</f>
        <v>40.400000000000006</v>
      </c>
      <c r="Z26" s="18">
        <f>'насел.'!Z26+пільги!Z26+субсидії!Z26+'держ.бюджет'!Z26+'місц.-районн.бюджет'!Z26+областной!Z26+інші!Z26</f>
        <v>70.39999999999999</v>
      </c>
      <c r="AA26" s="11">
        <f t="shared" si="1"/>
        <v>174.2574257425742</v>
      </c>
      <c r="AB26" s="18">
        <f>'насел.'!AB26+пільги!AB26+субсидії!AB26+'держ.бюджет'!AB26+'місц.-районн.бюджет'!AB26+областной!AB26+інші!AB26</f>
        <v>27.6</v>
      </c>
      <c r="AC26" s="18">
        <f>'насел.'!AC26+пільги!AC26+субсидії!AC26+'держ.бюджет'!AC26+'місц.-районн.бюджет'!AC26+областной!AC26+інші!AC26</f>
        <v>13.399999999999999</v>
      </c>
      <c r="AD26" s="11">
        <f t="shared" si="8"/>
        <v>48.55072463768116</v>
      </c>
      <c r="AE26" s="18">
        <f>'насел.'!AE26+пільги!AE26+субсидії!AE26+'держ.бюджет'!AE26+'місц.-районн.бюджет'!AE26+областной!AE26+інші!AE26</f>
        <v>26.000000000000004</v>
      </c>
      <c r="AF26" s="18">
        <f>'насел.'!AF26+пільги!AF26+субсидії!AF26+'держ.бюджет'!AF26+'місц.-районн.бюджет'!AF26+областной!AF26+інші!AF26</f>
        <v>13.8</v>
      </c>
      <c r="AG26" s="11">
        <f t="shared" si="9"/>
        <v>53.07692307692308</v>
      </c>
      <c r="AH26" s="18">
        <f>'насел.'!AH26+пільги!AH26+субсидії!AH26+'держ.бюджет'!AH26+'місц.-районн.бюджет'!AH26+областной!AH26+інші!AH26</f>
        <v>24.1</v>
      </c>
      <c r="AI26" s="18">
        <f>'насел.'!AI26+пільги!AI26+субсидії!AI26+'держ.бюджет'!AI26+'місц.-районн.бюджет'!AI26+областной!AI26+інші!AI26</f>
        <v>18.6</v>
      </c>
      <c r="AJ26" s="18">
        <f>'насел.'!AJ26+пільги!AJ26+субсидії!AJ26+'держ.бюджет'!AJ26+'місц.-районн.бюджет'!AJ26+областной!AJ26+інші!AJ26</f>
        <v>77.7</v>
      </c>
      <c r="AK26" s="18">
        <f>'насел.'!AK26+пільги!AK26+субсидії!AK26+'держ.бюджет'!AK26+'місц.-районн.бюджет'!AK26+областной!AK26+інші!AK26</f>
        <v>45.800000000000004</v>
      </c>
      <c r="AL26" s="18">
        <f t="shared" si="10"/>
        <v>58.94465894465895</v>
      </c>
      <c r="AM26" s="18">
        <f>'насел.'!AM26+пільги!AM26+субсидії!AM26+'держ.бюджет'!AM26+'місц.-районн.бюджет'!AM26+областной!AM26+інші!AM26</f>
        <v>22.2</v>
      </c>
      <c r="AN26" s="18">
        <f>'насел.'!AN26+пільги!AN26+субсидії!AN26+'держ.бюджет'!AN26+'місц.-районн.бюджет'!AN26+областной!AN26+інші!AN26</f>
        <v>15.7</v>
      </c>
      <c r="AO26" s="18">
        <f>'насел.'!AO26+пільги!AO26+субсидії!AO26+'держ.бюджет'!AO26+'місц.-районн.бюджет'!AO26+областной!AO26+інші!AO26</f>
        <v>236.3</v>
      </c>
      <c r="AP26" s="18">
        <f>'насел.'!AP26+пільги!AP26+субсидії!AP26+'держ.бюджет'!AP26+'місц.-районн.бюджет'!AP26+областной!AP26+інші!AP26</f>
        <v>197.3</v>
      </c>
      <c r="AQ26" s="11">
        <f t="shared" si="2"/>
        <v>83.49555649597968</v>
      </c>
      <c r="AR26" s="18">
        <f>'насел.'!AR26+пільги!AR26+субсидії!AR26+'держ.бюджет'!AR26+'місц.-районн.бюджет'!AR26+областной!AR26+інші!AR26</f>
        <v>39</v>
      </c>
      <c r="AS26" s="18">
        <f>'насел.'!AS26+пільги!AS26+субсидії!AS26+'держ.бюджет'!AS26+'місц.-районн.бюджет'!AS26+областной!AS26+інші!AS26</f>
        <v>136.6</v>
      </c>
    </row>
    <row r="27" spans="1:45" ht="27" customHeight="1">
      <c r="A27" s="13" t="s">
        <v>32</v>
      </c>
      <c r="B27" s="15" t="s">
        <v>108</v>
      </c>
      <c r="C27" s="18">
        <f>'насел.'!C27+пільги!C27+субсидії!C27+'держ.бюджет'!C27+'місц.-районн.бюджет'!C27+областной!C27+інші!C27</f>
        <v>-471.79999999999995</v>
      </c>
      <c r="D27" s="14">
        <f>'насел.'!D27+пільги!D27+субсидії!D27+'держ.бюджет'!D27+'місц.-районн.бюджет'!D27+областной!D27+інші!D27</f>
        <v>409.29999999999995</v>
      </c>
      <c r="E27" s="14">
        <f>'насел.'!E27+пільги!E27+субсидії!E27+'держ.бюджет'!E27+'місц.-районн.бюджет'!E27+областной!E27+інші!E27</f>
        <v>1297.8</v>
      </c>
      <c r="F27" s="64">
        <f t="shared" si="11"/>
        <v>317.07793794282924</v>
      </c>
      <c r="G27" s="14">
        <f>'насел.'!G27+пільги!G27+субсидії!G27+'держ.бюджет'!G27+'місц.-районн.бюджет'!G27+областной!G27+інші!G27</f>
        <v>553.5000000000001</v>
      </c>
      <c r="H27" s="14">
        <f>'насел.'!H27+пільги!H27+субсидії!H27+'держ.бюджет'!H27+'місц.-районн.бюджет'!H27+областной!H27+інші!H27</f>
        <v>99.2</v>
      </c>
      <c r="I27" s="11">
        <f t="shared" si="3"/>
        <v>17.922312556458895</v>
      </c>
      <c r="J27" s="14">
        <f>'насел.'!J27+пільги!J27+субсидії!J27+'держ.бюджет'!J27+'місц.-районн.бюджет'!J27+областной!J27+інші!J27</f>
        <v>543.8</v>
      </c>
      <c r="K27" s="14">
        <f>'насел.'!AP27+пільги!AP27+субсидії!AP27+'держ.бюджет'!AP27+'місц.-районн.бюджет'!AP27+областной!AP27+інші!AP27</f>
        <v>5815.9</v>
      </c>
      <c r="L27" s="11">
        <f t="shared" si="4"/>
        <v>1069.4924604634057</v>
      </c>
      <c r="M27" s="11">
        <f>'насел.'!M27+пільги!M27+субсидії!M27+'держ.бюджет'!M27+'місц.-районн.бюджет'!M27+областной!M27+інші!M27</f>
        <v>1506.6</v>
      </c>
      <c r="N27" s="11">
        <f>'насел.'!N27+пільги!N27+субсидії!N27+'держ.бюджет'!N27+'місц.-районн.бюджет'!N27+областной!N27+інші!N27</f>
        <v>2082.3999999999996</v>
      </c>
      <c r="O27" s="11">
        <f t="shared" si="0"/>
        <v>138.21850524359482</v>
      </c>
      <c r="P27" s="18">
        <f>'насел.'!P27+пільги!P27+субсидії!P27+'держ.бюджет'!P27+'місц.-районн.бюджет'!P27+областной!P27+інші!P27</f>
        <v>584.4</v>
      </c>
      <c r="Q27" s="18">
        <f>'насел.'!Q27+пільги!Q27+субсидії!Q27+'держ.бюджет'!Q27+'місц.-районн.бюджет'!Q27+областной!Q27+інші!Q27</f>
        <v>146.8</v>
      </c>
      <c r="R27" s="11">
        <f t="shared" si="5"/>
        <v>25.119780971937033</v>
      </c>
      <c r="S27" s="18">
        <f>'насел.'!S27+пільги!S27+субсидії!S27+'держ.бюджет'!S27+'місц.-районн.бюджет'!S27+областной!S27+інші!S27</f>
        <v>475.89999999999986</v>
      </c>
      <c r="T27" s="18">
        <f>'насел.'!T27+пільги!T27+субсидії!T27+'держ.бюджет'!T27+'місц.-районн.бюджет'!T27+областной!T27+інші!T27</f>
        <v>709.2000000000002</v>
      </c>
      <c r="U27" s="11">
        <f t="shared" si="6"/>
        <v>149.02290397142264</v>
      </c>
      <c r="V27" s="18">
        <f>'насел.'!V27+пільги!V27+субсидії!V27+'держ.бюджет'!V27+'місц.-районн.бюджет'!V27+областной!V27+інші!V27</f>
        <v>459.59999999999997</v>
      </c>
      <c r="W27" s="18">
        <f>'насел.'!W27+пільги!W27+субсидії!W27+'держ.бюджет'!W27+'місц.-районн.бюджет'!W27+областной!W27+інші!W27</f>
        <v>286</v>
      </c>
      <c r="X27" s="11">
        <f t="shared" si="7"/>
        <v>62.228024369016545</v>
      </c>
      <c r="Y27" s="18">
        <f>'насел.'!Y27+пільги!Y27+субсидії!Y27+'держ.бюджет'!Y27+'місц.-районн.бюджет'!Y27+областной!Y27+інші!Y27</f>
        <v>1519.8999999999999</v>
      </c>
      <c r="Z27" s="18">
        <f>'насел.'!Z27+пільги!Z27+субсидії!Z27+'держ.бюджет'!Z27+'місц.-районн.бюджет'!Z27+областной!Z27+інші!Z27</f>
        <v>1141.9999999999998</v>
      </c>
      <c r="AA27" s="11">
        <f t="shared" si="1"/>
        <v>75.13652213961444</v>
      </c>
      <c r="AB27" s="18">
        <f>'насел.'!AB27+пільги!AB27+субсидії!AB27+'держ.бюджет'!AB27+'місц.-районн.бюджет'!AB27+областной!AB27+інші!AB27</f>
        <v>612.3000000000001</v>
      </c>
      <c r="AC27" s="18">
        <f>'насел.'!AC27+пільги!AC27+субсидії!AC27+'держ.бюджет'!AC27+'місц.-районн.бюджет'!AC27+областной!AC27+інші!AC27</f>
        <v>197.1</v>
      </c>
      <c r="AD27" s="11">
        <f t="shared" si="8"/>
        <v>32.19010289073983</v>
      </c>
      <c r="AE27" s="18">
        <f>'насел.'!AE27+пільги!AE27+субсидії!AE27+'держ.бюджет'!AE27+'місц.-районн.бюджет'!AE27+областной!AE27+інші!AE27</f>
        <v>606.3000000000001</v>
      </c>
      <c r="AF27" s="18">
        <f>'насел.'!AF27+пільги!AF27+субсидії!AF27+'держ.бюджет'!AF27+'місц.-районн.бюджет'!AF27+областной!AF27+інші!AF27</f>
        <v>347</v>
      </c>
      <c r="AG27" s="11">
        <f t="shared" si="9"/>
        <v>57.23239320468414</v>
      </c>
      <c r="AH27" s="18">
        <f>'насел.'!AH27+пільги!AH27+субсидії!AH27+'держ.бюджет'!AH27+'місц.-районн.бюджет'!AH27+областной!AH27+інші!AH27</f>
        <v>581.5000000000001</v>
      </c>
      <c r="AI27" s="18">
        <f>'насел.'!AI27+пільги!AI27+субсидії!AI27+'держ.бюджет'!AI27+'місц.-районн.бюджет'!AI27+областной!AI27+інші!AI27</f>
        <v>1423.0999999999997</v>
      </c>
      <c r="AJ27" s="18">
        <f>'насел.'!AJ27+пільги!AJ27+субсидії!AJ27+'держ.бюджет'!AJ27+'місц.-районн.бюджет'!AJ27+областной!AJ27+інші!AJ27</f>
        <v>1800.1</v>
      </c>
      <c r="AK27" s="18">
        <f>'насел.'!AK27+пільги!AK27+субсидії!AK27+'держ.бюджет'!AK27+'місц.-районн.бюджет'!AK27+областной!AK27+інші!AK27</f>
        <v>1967.1999999999998</v>
      </c>
      <c r="AL27" s="18">
        <f t="shared" si="10"/>
        <v>109.28281762124325</v>
      </c>
      <c r="AM27" s="18">
        <f>'насел.'!AM27+пільги!AM27+субсидії!AM27+'держ.бюджет'!AM27+'місц.-районн.бюджет'!AM27+областной!AM27+інші!AM27</f>
        <v>532.6</v>
      </c>
      <c r="AN27" s="18">
        <f>'насел.'!AN27+пільги!AN27+субсидії!AN27+'держ.бюджет'!AN27+'місц.-районн.бюджет'!AN27+областной!AN27+інші!AN27</f>
        <v>624.3000000000001</v>
      </c>
      <c r="AO27" s="18">
        <f>'насел.'!AO27+пільги!AO27+субсидії!AO27+'держ.бюджет'!AO27+'місц.-районн.бюджет'!AO27+областной!AO27+інші!AO27</f>
        <v>5359.199999999999</v>
      </c>
      <c r="AP27" s="18">
        <f>'насел.'!AP27+пільги!AP27+субсидії!AP27+'держ.бюджет'!AP27+'місц.-районн.бюджет'!AP27+областной!AP27+інші!AP27</f>
        <v>5815.9</v>
      </c>
      <c r="AQ27" s="11">
        <f t="shared" si="2"/>
        <v>108.52179429765638</v>
      </c>
      <c r="AR27" s="18">
        <f>'насел.'!AR27+пільги!AR27+субсидії!AR27+'держ.бюджет'!AR27+'місц.-районн.бюджет'!AR27+областной!AR27+інші!AR27</f>
        <v>-456.7000000000006</v>
      </c>
      <c r="AS27" s="18">
        <f>'насел.'!AS27+пільги!AS27+субсидії!AS27+'держ.бюджет'!AS27+'місц.-районн.бюджет'!AS27+областной!AS27+інші!AS27</f>
        <v>-928.5000000000005</v>
      </c>
    </row>
    <row r="28" spans="1:45" ht="27" customHeight="1">
      <c r="A28" s="13" t="s">
        <v>33</v>
      </c>
      <c r="B28" s="47" t="s">
        <v>109</v>
      </c>
      <c r="C28" s="18">
        <f>'насел.'!C28+пільги!C28+субсидії!C28+'держ.бюджет'!C28+'місц.-районн.бюджет'!C28+областной!C28+інші!C28</f>
        <v>209.59999999999997</v>
      </c>
      <c r="D28" s="14">
        <f>'насел.'!D28+пільги!D28+субсидії!D28+'держ.бюджет'!D28+'місц.-районн.бюджет'!D28+областной!D28+інші!D28</f>
        <v>238.60000000000002</v>
      </c>
      <c r="E28" s="14">
        <f>'насел.'!E28+пільги!E28+субсидії!E28+'держ.бюджет'!E28+'місц.-районн.бюджет'!E28+областной!E28+інші!E28</f>
        <v>226.5</v>
      </c>
      <c r="F28" s="11">
        <f t="shared" si="11"/>
        <v>94.9287510477787</v>
      </c>
      <c r="G28" s="14">
        <f>'насел.'!G28+пільги!G28+субсидії!G28+'держ.бюджет'!G28+'місц.-районн.бюджет'!G28+областной!G28+інші!G28</f>
        <v>317.7</v>
      </c>
      <c r="H28" s="14">
        <f>'насел.'!H28+пільги!H28+субсидії!H28+'держ.бюджет'!H28+'місц.-районн.бюджет'!H28+областной!H28+інші!H28</f>
        <v>225.79999999999998</v>
      </c>
      <c r="I28" s="11">
        <f aca="true" t="shared" si="12" ref="I28:I39">H28/G28*100</f>
        <v>71.07333962858043</v>
      </c>
      <c r="J28" s="14">
        <f>'насел.'!J28+пільги!J28+субсидії!J28+'держ.бюджет'!J28+'місц.-районн.бюджет'!J28+областной!J28+інші!J28</f>
        <v>368.3</v>
      </c>
      <c r="K28" s="14">
        <f>'насел.'!K28+пільги!K28+субсидії!K28+'держ.бюджет'!K28+'місц.-районн.бюджет'!K28+областной!K28+інші!K28</f>
        <v>497.20000000000005</v>
      </c>
      <c r="L28" s="11">
        <f t="shared" si="4"/>
        <v>134.99864241107792</v>
      </c>
      <c r="M28" s="11">
        <f>'насел.'!M28+пільги!M28+субсидії!M28+'держ.бюджет'!M28+'місц.-районн.бюджет'!M28+областной!M28+інші!M28</f>
        <v>924.6</v>
      </c>
      <c r="N28" s="11">
        <f>'насел.'!N28+пільги!N28+субсидії!N28+'держ.бюджет'!N28+'місц.-районн.бюджет'!N28+областной!N28+інші!N28</f>
        <v>949.5</v>
      </c>
      <c r="O28" s="11">
        <f t="shared" si="0"/>
        <v>102.69305645684621</v>
      </c>
      <c r="P28" s="18">
        <f>'насел.'!P28+пільги!P28+субсидії!P28+'держ.бюджет'!P28+'місц.-районн.бюджет'!P28+областной!P28+інші!P28</f>
        <v>312</v>
      </c>
      <c r="Q28" s="18">
        <f>'насел.'!Q28+пільги!Q28+субсидії!Q28+'держ.бюджет'!Q28+'місц.-районн.бюджет'!Q28+областной!Q28+інші!Q28</f>
        <v>351.9</v>
      </c>
      <c r="R28" s="11">
        <f t="shared" si="5"/>
        <v>112.78846153846153</v>
      </c>
      <c r="S28" s="18">
        <f>'насел.'!S28+пільги!S28+субсидії!S28+'держ.бюджет'!S28+'місц.-районн.бюджет'!S28+областной!S28+інші!S28</f>
        <v>322.8</v>
      </c>
      <c r="T28" s="18">
        <f>'насел.'!T28+пільги!T28+субсидії!T28+'держ.бюджет'!T28+'місц.-районн.бюджет'!T28+областной!T28+інші!T28</f>
        <v>503.9</v>
      </c>
      <c r="U28" s="11">
        <f t="shared" si="6"/>
        <v>156.10285006195787</v>
      </c>
      <c r="V28" s="18">
        <f>'насел.'!V28+пільги!V28+субсидії!V28+'держ.бюджет'!V28+'місц.-районн.бюджет'!V28+областной!V28+інші!V28</f>
        <v>344.70000000000005</v>
      </c>
      <c r="W28" s="18">
        <f>'насел.'!W28+пільги!W28+субсидії!W28+'держ.бюджет'!W28+'місц.-районн.бюджет'!W28+областной!W28+інші!W28</f>
        <v>254.6</v>
      </c>
      <c r="X28" s="11">
        <f t="shared" si="7"/>
        <v>73.8613286916159</v>
      </c>
      <c r="Y28" s="18">
        <f>'насел.'!Y28+пільги!Y28+субсидії!Y28+'держ.бюджет'!Y28+'місц.-районн.бюджет'!Y28+областной!Y28+інші!Y28</f>
        <v>979.5000000000001</v>
      </c>
      <c r="Z28" s="18">
        <f>'насел.'!Z28+пільги!Z28+субсидії!Z28+'держ.бюджет'!Z28+'місц.-районн.бюджет'!Z28+областной!Z28+інші!Z28</f>
        <v>1110.4</v>
      </c>
      <c r="AA28" s="11">
        <f t="shared" si="1"/>
        <v>113.36396120469627</v>
      </c>
      <c r="AB28" s="18">
        <f>'насел.'!AB28+пільги!AB28+субсидії!AB28+'держ.бюджет'!AB28+'місц.-районн.бюджет'!AB28+областной!AB28+інші!AB28</f>
        <v>304.4</v>
      </c>
      <c r="AC28" s="18">
        <f>'насел.'!AC28+пільги!AC28+субсидії!AC28+'держ.бюджет'!AC28+'місц.-районн.бюджет'!AC28+областной!AC28+інші!AC28</f>
        <v>274.7</v>
      </c>
      <c r="AD28" s="11">
        <f t="shared" si="8"/>
        <v>90.2431011826544</v>
      </c>
      <c r="AE28" s="18">
        <f>'насел.'!AE28+пільги!AE28+субсидії!AE28+'держ.бюджет'!AE28+'місц.-районн.бюджет'!AE28+областной!AE28+інші!AE28</f>
        <v>326.9</v>
      </c>
      <c r="AF28" s="18">
        <f>'насел.'!AF28+пільги!AF28+субсидії!AF28+'держ.бюджет'!AF28+'місц.-районн.бюджет'!AF28+областной!AF28+інші!AF28</f>
        <v>315.4</v>
      </c>
      <c r="AG28" s="11">
        <f t="shared" si="9"/>
        <v>96.4821046191496</v>
      </c>
      <c r="AH28" s="18">
        <f>'насел.'!AH28+пільги!AH28+субсидії!AH28+'держ.бюджет'!AH28+'місц.-районн.бюджет'!AH28+областной!AH28+інші!AH28</f>
        <v>0</v>
      </c>
      <c r="AI28" s="18">
        <f>'насел.'!AI28+пільги!AI28+субсидії!AI28+'держ.бюджет'!AI28+'місц.-районн.бюджет'!AI28+областной!AI28+інші!AI28</f>
        <v>0</v>
      </c>
      <c r="AJ28" s="18">
        <f>'насел.'!AJ28+пільги!AJ28+субсидії!AJ28+'держ.бюджет'!AJ28+'місц.-районн.бюджет'!AJ28+областной!AJ28+інші!AJ28</f>
        <v>631.3000000000001</v>
      </c>
      <c r="AK28" s="18">
        <f>'насел.'!AK28+пільги!AK28+субсидії!AK28+'держ.бюджет'!AK28+'місц.-районн.бюджет'!AK28+областной!AK28+інші!AK28</f>
        <v>590.1</v>
      </c>
      <c r="AL28" s="18">
        <f t="shared" si="10"/>
        <v>93.47378425471248</v>
      </c>
      <c r="AM28" s="18">
        <f>'насел.'!AM28+пільги!AM28+субсидії!AM28+'держ.бюджет'!AM28+'місц.-районн.бюджет'!AM28+областной!AM28+інші!AM28</f>
        <v>351</v>
      </c>
      <c r="AN28" s="18">
        <f>'насел.'!AN28+пільги!AN28+субсидії!AN28+'держ.бюджет'!AN28+'місц.-районн.бюджет'!AN28+областной!AN28+інші!AN28</f>
        <v>351.90000000000003</v>
      </c>
      <c r="AO28" s="18">
        <f>'насел.'!AO28+пільги!AO28+субсидії!AO28+'держ.бюджет'!AO28+'місц.-районн.бюджет'!AO28+областной!AO28+інші!AO28</f>
        <v>2886.4</v>
      </c>
      <c r="AP28" s="18">
        <f>'насел.'!AP28+пільги!AP28+субсидії!AP28+'держ.бюджет'!AP28+'місц.-районн.бюджет'!AP28+областной!AP28+інші!AP28</f>
        <v>3001.8999999999996</v>
      </c>
      <c r="AQ28" s="11">
        <f aca="true" t="shared" si="13" ref="AQ28:AQ39">AP28/AO28*100</f>
        <v>104.00152439024389</v>
      </c>
      <c r="AR28" s="18">
        <f>'насел.'!AR28+пільги!AR28+субсидії!AR28+'держ.бюджет'!AR28+'місц.-районн.бюджет'!AR28+областной!AR28+інші!AR28</f>
        <v>-115.49999999999986</v>
      </c>
      <c r="AS28" s="18">
        <f>'насел.'!AS28+пільги!AS28+субсидії!AS28+'держ.бюджет'!AS28+'місц.-районн.бюджет'!AS28+областной!AS28+інші!AS28</f>
        <v>94.10000000000015</v>
      </c>
    </row>
    <row r="29" spans="1:45" ht="27" customHeight="1">
      <c r="A29" s="13" t="s">
        <v>34</v>
      </c>
      <c r="B29" s="65" t="s">
        <v>110</v>
      </c>
      <c r="C29" s="18"/>
      <c r="D29" s="66"/>
      <c r="E29" s="66"/>
      <c r="F29" s="66"/>
      <c r="G29" s="66"/>
      <c r="H29" s="66"/>
      <c r="I29" s="66"/>
      <c r="J29" s="14"/>
      <c r="K29" s="66"/>
      <c r="L29" s="66"/>
      <c r="M29" s="11"/>
      <c r="N29" s="11"/>
      <c r="O29" s="11"/>
      <c r="P29" s="18"/>
      <c r="Q29" s="18"/>
      <c r="R29" s="66"/>
      <c r="S29" s="18"/>
      <c r="T29" s="18"/>
      <c r="U29" s="66"/>
      <c r="V29" s="18"/>
      <c r="W29" s="18"/>
      <c r="X29" s="66"/>
      <c r="Y29" s="18"/>
      <c r="Z29" s="18"/>
      <c r="AA29" s="11"/>
      <c r="AB29" s="18"/>
      <c r="AC29" s="18"/>
      <c r="AD29" s="66"/>
      <c r="AE29" s="18"/>
      <c r="AF29" s="18"/>
      <c r="AG29" s="66"/>
      <c r="AH29" s="18"/>
      <c r="AI29" s="18"/>
      <c r="AJ29" s="18"/>
      <c r="AK29" s="18"/>
      <c r="AL29" s="18"/>
      <c r="AM29" s="18"/>
      <c r="AN29" s="18"/>
      <c r="AO29" s="18"/>
      <c r="AP29" s="18"/>
      <c r="AQ29" s="66"/>
      <c r="AR29" s="66"/>
      <c r="AS29" s="66"/>
    </row>
    <row r="30" spans="1:45" ht="27" customHeight="1">
      <c r="A30" s="13" t="s">
        <v>35</v>
      </c>
      <c r="B30" s="15" t="s">
        <v>152</v>
      </c>
      <c r="C30" s="18">
        <f>'насел.'!C30+пільги!C30+субсидії!C30+'держ.бюджет'!C30+'місц.-районн.бюджет'!C30+областной!C30+інші!C30</f>
        <v>-54.9</v>
      </c>
      <c r="D30" s="14">
        <f>'насел.'!D30+пільги!D30+субсидії!D30+'держ.бюджет'!D30+'місц.-районн.бюджет'!D30+областной!D30+інші!D30</f>
        <v>129.79999999999998</v>
      </c>
      <c r="E30" s="14">
        <f>'насел.'!E30+пільги!E30+субсидії!E30+'держ.бюджет'!E30+'місц.-районн.бюджет'!E30+областной!E30+інші!E30</f>
        <v>247.49999999999997</v>
      </c>
      <c r="F30" s="11">
        <f aca="true" t="shared" si="14" ref="F30:F42">E30/D30*100</f>
        <v>190.67796610169492</v>
      </c>
      <c r="G30" s="14">
        <f>'насел.'!G30+пільги!G30+субсидії!G30+'держ.бюджет'!G30+'місц.-районн.бюджет'!G30+областной!G30+інші!G30</f>
        <v>156.6</v>
      </c>
      <c r="H30" s="14">
        <f>'насел.'!H30+пільги!H30+субсидії!H30+'держ.бюджет'!H30+'місц.-районн.бюджет'!H30+областной!H30+інші!H30</f>
        <v>75.4</v>
      </c>
      <c r="I30" s="11">
        <f t="shared" si="12"/>
        <v>48.14814814814815</v>
      </c>
      <c r="J30" s="14">
        <f>'насел.'!J30+пільги!J30+субсидії!J30+'держ.бюджет'!J30+'місц.-районн.бюджет'!J30+областной!J30+інші!J30</f>
        <v>163.9</v>
      </c>
      <c r="K30" s="14">
        <f>'насел.'!AP30+пільги!AP30+субсидії!AP30+'держ.бюджет'!AP30+'місц.-районн.бюджет'!AP30+областной!AP30+інші!AP30</f>
        <v>1596.1000000000001</v>
      </c>
      <c r="L30" s="11">
        <f aca="true" t="shared" si="15" ref="L30:L39">K30/J30*100</f>
        <v>973.8255033557048</v>
      </c>
      <c r="M30" s="11">
        <f>'насел.'!M30+пільги!M30+субсидії!M30+'держ.бюджет'!M30+'місц.-районн.бюджет'!M30+областной!M30+інші!M30</f>
        <v>450.30000000000007</v>
      </c>
      <c r="N30" s="11">
        <f>'насел.'!N30+пільги!N30+субсидії!N30+'держ.бюджет'!N30+'місц.-районн.бюджет'!N30+областной!N30+інші!N30</f>
        <v>515.2</v>
      </c>
      <c r="O30" s="11">
        <f t="shared" si="0"/>
        <v>114.41261381301354</v>
      </c>
      <c r="P30" s="18">
        <f>'насел.'!P30+пільги!P30+субсидії!P30+'держ.бюджет'!P30+'місц.-районн.бюджет'!P30+областной!P30+інші!P30</f>
        <v>154.6</v>
      </c>
      <c r="Q30" s="18">
        <f>'насел.'!Q30+пільги!Q30+субсидії!Q30+'держ.бюджет'!Q30+'місц.-районн.бюджет'!Q30+областной!Q30+інші!Q30</f>
        <v>198.79999999999998</v>
      </c>
      <c r="R30" s="11">
        <f aca="true" t="shared" si="16" ref="R30:R39">Q30/P30*100</f>
        <v>128.58990944372576</v>
      </c>
      <c r="S30" s="18">
        <f>'насел.'!S30+пільги!S30+субсидії!S30+'держ.бюджет'!S30+'місц.-районн.бюджет'!S30+областной!S30+інші!S30</f>
        <v>176.5</v>
      </c>
      <c r="T30" s="18">
        <f>'насел.'!T30+пільги!T30+субсидії!T30+'держ.бюджет'!T30+'місц.-районн.бюджет'!T30+областной!T30+інші!T30</f>
        <v>100</v>
      </c>
      <c r="U30" s="11">
        <f aca="true" t="shared" si="17" ref="U30:U39">T30/S30*100</f>
        <v>56.657223796033996</v>
      </c>
      <c r="V30" s="18">
        <f>'насел.'!V30+пільги!V30+субсидії!V30+'держ.бюджет'!V30+'місц.-районн.бюджет'!V30+областной!V30+інші!V30</f>
        <v>136.4</v>
      </c>
      <c r="W30" s="18">
        <f>'насел.'!W30+пільги!W30+субсидії!W30+'держ.бюджет'!W30+'місц.-районн.бюджет'!W30+областной!W30+інші!W30</f>
        <v>122.9</v>
      </c>
      <c r="X30" s="11">
        <f aca="true" t="shared" si="18" ref="X30:X39">W30/V30*100</f>
        <v>90.10263929618768</v>
      </c>
      <c r="Y30" s="18">
        <f>'насел.'!Y30+пільги!Y30+субсидії!Y30+'держ.бюджет'!Y30+'місц.-районн.бюджет'!Y30+областной!Y30+інші!Y30</f>
        <v>467.5</v>
      </c>
      <c r="Z30" s="18">
        <f>'насел.'!Z30+пільги!Z30+субсидії!Z30+'держ.бюджет'!Z30+'місц.-районн.бюджет'!Z30+областной!Z30+інші!Z30</f>
        <v>421.7</v>
      </c>
      <c r="AA30" s="11">
        <f aca="true" t="shared" si="19" ref="AA30:AA43">Z30/Y30*100</f>
        <v>90.20320855614973</v>
      </c>
      <c r="AB30" s="18">
        <f>'насел.'!AB30+пільги!AB30+субсидії!AB30+'держ.бюджет'!AB30+'місц.-районн.бюджет'!AB30+областной!AB30+інші!AB30</f>
        <v>138.2</v>
      </c>
      <c r="AC30" s="18">
        <f>'насел.'!AC30+пільги!AC30+субсидії!AC30+'держ.бюджет'!AC30+'місц.-районн.бюджет'!AC30+областной!AC30+інші!AC30</f>
        <v>119.30000000000001</v>
      </c>
      <c r="AD30" s="11">
        <f aca="true" t="shared" si="20" ref="AD30:AD39">AC30/AB30*100</f>
        <v>86.32416787264835</v>
      </c>
      <c r="AE30" s="18">
        <f>'насел.'!AE30+пільги!AE30+субсидії!AE30+'держ.бюджет'!AE30+'місц.-районн.бюджет'!AE30+областной!AE30+інші!AE30</f>
        <v>152.89999999999998</v>
      </c>
      <c r="AF30" s="18">
        <f>'насел.'!AF30+пільги!AF30+субсидії!AF30+'держ.бюджет'!AF30+'місц.-районн.бюджет'!AF30+областной!AF30+інші!AF30</f>
        <v>152.1</v>
      </c>
      <c r="AG30" s="11">
        <f aca="true" t="shared" si="21" ref="AG30:AG39">AF30/AE30*100</f>
        <v>99.47678221059518</v>
      </c>
      <c r="AH30" s="18">
        <f>'насел.'!AH30+пільги!AH30+субсидії!AH30+'держ.бюджет'!AH30+'місц.-районн.бюджет'!AH30+областной!AH30+інші!AH30</f>
        <v>144.7</v>
      </c>
      <c r="AI30" s="18">
        <f>'насел.'!AI30+пільги!AI30+субсидії!AI30+'держ.бюджет'!AI30+'місц.-районн.бюджет'!AI30+областной!AI30+інші!AI30</f>
        <v>218.9</v>
      </c>
      <c r="AJ30" s="18">
        <f>'насел.'!AJ30+пільги!AJ30+субсидії!AJ30+'держ.бюджет'!AJ30+'місц.-районн.бюджет'!AJ30+областной!AJ30+інші!AJ30</f>
        <v>435.80000000000007</v>
      </c>
      <c r="AK30" s="18">
        <f>'насел.'!AK30+пільги!AK30+субсидії!AK30+'держ.бюджет'!AK30+'місц.-районн.бюджет'!AK30+областной!AK30+інші!AK30</f>
        <v>490.29999999999995</v>
      </c>
      <c r="AL30" s="18">
        <f t="shared" si="10"/>
        <v>112.50573657641117</v>
      </c>
      <c r="AM30" s="18">
        <f>'насел.'!AM30+пільги!AM30+субсидії!AM30+'держ.бюджет'!AM30+'місц.-районн.бюджет'!AM30+областной!AM30+інші!AM30</f>
        <v>189.1</v>
      </c>
      <c r="AN30" s="18">
        <f>'насел.'!AN30+пільги!AN30+субсидії!AN30+'держ.бюджет'!AN30+'місц.-районн.бюджет'!AN30+областной!AN30+інші!AN30</f>
        <v>168.9</v>
      </c>
      <c r="AO30" s="18">
        <f>'насел.'!AO30+пільги!AO30+субсидії!AO30+'держ.бюджет'!AO30+'місц.-районн.бюджет'!AO30+областной!AO30+інші!AO30</f>
        <v>1542.7</v>
      </c>
      <c r="AP30" s="18">
        <f>'насел.'!AP30+пільги!AP30+субсидії!AP30+'держ.бюджет'!AP30+'місц.-районн.бюджет'!AP30+областной!AP30+інші!AP30</f>
        <v>1596.1000000000001</v>
      </c>
      <c r="AQ30" s="11">
        <f t="shared" si="13"/>
        <v>103.4614636675958</v>
      </c>
      <c r="AR30" s="18">
        <f>'насел.'!AR30+пільги!AR30+субсидії!AR30+'держ.бюджет'!AR30+'місц.-районн.бюджет'!AR30+областной!AR30+інші!AR30</f>
        <v>-53.400000000000105</v>
      </c>
      <c r="AS30" s="18">
        <f>'насел.'!AS30+пільги!AS30+субсидії!AS30+'держ.бюджет'!AS30+'місц.-районн.бюджет'!AS30+областной!AS30+інші!AS30</f>
        <v>-108.30000000000013</v>
      </c>
    </row>
    <row r="31" spans="1:45" ht="28.5" customHeight="1">
      <c r="A31" s="13" t="s">
        <v>36</v>
      </c>
      <c r="B31" s="15" t="s">
        <v>112</v>
      </c>
      <c r="C31" s="18">
        <f>'насел.'!C31+пільги!C31+субсидії!C31+'держ.бюджет'!C31+'місц.-районн.бюджет'!C31+областной!C31+інші!C31</f>
        <v>-733.4</v>
      </c>
      <c r="D31" s="14">
        <f>'насел.'!D31+пільги!D31+субсидії!D31+'держ.бюджет'!D31+'місц.-районн.бюджет'!D31+областной!D31+інші!D31</f>
        <v>145.1</v>
      </c>
      <c r="E31" s="14">
        <f>'насел.'!E31+пільги!E31+субсидії!E31+'держ.бюджет'!E31+'місц.-районн.бюджет'!E31+областной!E31+інші!E31</f>
        <v>370.5</v>
      </c>
      <c r="F31" s="11">
        <f t="shared" si="14"/>
        <v>255.34114403859408</v>
      </c>
      <c r="G31" s="14">
        <f>'насел.'!G31+пільги!G31+субсидії!G31+'держ.бюджет'!G31+'місц.-районн.бюджет'!G31+областной!G31+інші!G31</f>
        <v>157.6</v>
      </c>
      <c r="H31" s="14">
        <f>'насел.'!H31+пільги!H31+субсидії!H31+'держ.бюджет'!H31+'місц.-районн.бюджет'!H31+областной!H31+інші!H31</f>
        <v>59.800000000000004</v>
      </c>
      <c r="I31" s="11">
        <f t="shared" si="12"/>
        <v>37.944162436548226</v>
      </c>
      <c r="J31" s="14">
        <f>'насел.'!J31+пільги!J31+субсидії!J31+'держ.бюджет'!J31+'місц.-районн.бюджет'!J31+областной!J31+інші!J31</f>
        <v>158.1</v>
      </c>
      <c r="K31" s="14">
        <f>'насел.'!K31+пільги!K31+субсидії!K31+'держ.бюджет'!K31+'місц.-районн.бюджет'!K31+областной!K31+інші!K31</f>
        <v>269.2</v>
      </c>
      <c r="L31" s="11">
        <f t="shared" si="15"/>
        <v>170.27197975964577</v>
      </c>
      <c r="M31" s="11">
        <f>'насел.'!M31+пільги!M31+субсидії!M31+'держ.бюджет'!M31+'місц.-районн.бюджет'!M31+областной!M31+інші!M31</f>
        <v>460.8</v>
      </c>
      <c r="N31" s="11">
        <f>'насел.'!N31+пільги!N31+субсидії!N31+'держ.бюджет'!N31+'місц.-районн.бюджет'!N31+областной!N31+інші!N31</f>
        <v>699.5000000000001</v>
      </c>
      <c r="O31" s="11">
        <f t="shared" si="0"/>
        <v>151.8012152777778</v>
      </c>
      <c r="P31" s="18">
        <f>'насел.'!P31+пільги!P31+субсидії!P31+'держ.бюджет'!P31+'місц.-районн.бюджет'!P31+областной!P31+інші!P31</f>
        <v>158.79999999999998</v>
      </c>
      <c r="Q31" s="18">
        <f>'насел.'!Q31+пільги!Q31+субсидії!Q31+'держ.бюджет'!Q31+'місц.-районн.бюджет'!Q31+областной!Q31+інші!Q31</f>
        <v>235.70000000000002</v>
      </c>
      <c r="R31" s="11">
        <f t="shared" si="16"/>
        <v>148.42569269521414</v>
      </c>
      <c r="S31" s="18">
        <f>'насел.'!S31+пільги!S31+субсидії!S31+'держ.бюджет'!S31+'місц.-районн.бюджет'!S31+областной!S31+інші!S31</f>
        <v>165.8</v>
      </c>
      <c r="T31" s="18">
        <f>'насел.'!T31+пільги!T31+субсидії!T31+'держ.бюджет'!T31+'місц.-районн.бюджет'!T31+областной!T31+інші!T31</f>
        <v>157.7</v>
      </c>
      <c r="U31" s="11">
        <f t="shared" si="17"/>
        <v>95.11459589867309</v>
      </c>
      <c r="V31" s="18">
        <f>'насел.'!V31+пільги!V31+субсидії!V31+'держ.бюджет'!V31+'місц.-районн.бюджет'!V31+областной!V31+інші!V31</f>
        <v>162.90000000000003</v>
      </c>
      <c r="W31" s="18">
        <f>'насел.'!W31+пільги!W31+субсидії!W31+'держ.бюджет'!W31+'місц.-районн.бюджет'!W31+областной!W31+інші!W31</f>
        <v>283.3</v>
      </c>
      <c r="X31" s="11">
        <f t="shared" si="18"/>
        <v>173.91037446286063</v>
      </c>
      <c r="Y31" s="18">
        <f>'насел.'!Y31+пільги!Y31+субсидії!Y31+'держ.бюджет'!Y31+'місц.-районн.бюджет'!Y31+областной!Y31+інші!Y31</f>
        <v>487.5</v>
      </c>
      <c r="Z31" s="18">
        <f>'насел.'!Z31+пільги!Z31+субсидії!Z31+'держ.бюджет'!Z31+'місц.-районн.бюджет'!Z31+областной!Z31+інші!Z31</f>
        <v>676.7</v>
      </c>
      <c r="AA31" s="11">
        <f t="shared" si="19"/>
        <v>138.81025641025641</v>
      </c>
      <c r="AB31" s="18">
        <f>'насел.'!AB31+пільги!AB31+субсидії!AB31+'держ.бюджет'!AB31+'місц.-районн.бюджет'!AB31+областной!AB31+інші!AB31</f>
        <v>161.3</v>
      </c>
      <c r="AC31" s="18">
        <f>'насел.'!AC31+пільги!AC31+субсидії!AC31+'держ.бюджет'!AC31+'місц.-районн.бюджет'!AC31+областной!AC31+інші!AC31</f>
        <v>95.6</v>
      </c>
      <c r="AD31" s="11">
        <f t="shared" si="20"/>
        <v>59.26844389336638</v>
      </c>
      <c r="AE31" s="18">
        <f>'насел.'!AE31+пільги!AE31+субсидії!AE31+'держ.бюджет'!AE31+'місц.-районн.бюджет'!AE31+областной!AE31+інші!AE31</f>
        <v>172.1</v>
      </c>
      <c r="AF31" s="18">
        <f>'насел.'!AF31+пільги!AF31+субсидії!AF31+'держ.бюджет'!AF31+'місц.-районн.бюджет'!AF31+областной!AF31+інші!AF31</f>
        <v>86</v>
      </c>
      <c r="AG31" s="11">
        <f t="shared" si="21"/>
        <v>49.97094712376525</v>
      </c>
      <c r="AH31" s="18">
        <f>'насел.'!AH31+пільги!AH31+субсидії!AH31+'держ.бюджет'!AH31+'місц.-районн.бюджет'!AH31+областной!AH31+інші!AH31</f>
        <v>233.6</v>
      </c>
      <c r="AI31" s="18">
        <f>'насел.'!AI31+пільги!AI31+субсидії!AI31+'держ.бюджет'!AI31+'місц.-районн.бюджет'!AI31+областной!AI31+інші!AI31</f>
        <v>137.1</v>
      </c>
      <c r="AJ31" s="18">
        <f>'насел.'!AJ31+пільги!AJ31+субсидії!AJ31+'держ.бюджет'!AJ31+'місц.-районн.бюджет'!AJ31+областной!AJ31+інші!AJ31</f>
        <v>566.9999999999999</v>
      </c>
      <c r="AK31" s="18">
        <f>'насел.'!AK31+пільги!AK31+субсидії!AK31+'держ.бюджет'!AK31+'місц.-районн.бюджет'!AK31+областной!AK31+інші!AK31</f>
        <v>318.7</v>
      </c>
      <c r="AL31" s="18">
        <f t="shared" si="10"/>
        <v>56.208112874779545</v>
      </c>
      <c r="AM31" s="18">
        <f>'насел.'!AM31+пільги!AM31+субсидії!AM31+'держ.бюджет'!AM31+'місц.-районн.бюджет'!AM31+областной!AM31+інші!AM31</f>
        <v>233.80000000000004</v>
      </c>
      <c r="AN31" s="18">
        <f>'насел.'!AN31+пільги!AN31+субсидії!AN31+'держ.бюджет'!AN31+'місц.-районн.бюджет'!AN31+областной!AN31+інші!AN31</f>
        <v>180.00000000000003</v>
      </c>
      <c r="AO31" s="18">
        <f>'насел.'!AO31+пільги!AO31+субсидії!AO31+'держ.бюджет'!AO31+'місц.-районн.бюджет'!AO31+областной!AO31+інші!AO31</f>
        <v>1749.1</v>
      </c>
      <c r="AP31" s="18">
        <f>'насел.'!AP31+пільги!AP31+субсидії!AP31+'держ.бюджет'!AP31+'місц.-районн.бюджет'!AP31+областной!AP31+інші!AP31</f>
        <v>1874.8999999999996</v>
      </c>
      <c r="AQ31" s="11">
        <f t="shared" si="13"/>
        <v>107.19227031044537</v>
      </c>
      <c r="AR31" s="18">
        <f>'насел.'!AR31+пільги!AR31+субсидії!AR31+'держ.бюджет'!AR31+'місц.-районн.бюджет'!AR31+областной!AR31+інші!AR31</f>
        <v>-125.79999999999993</v>
      </c>
      <c r="AS31" s="18">
        <f>'насел.'!AS31+пільги!AS31+субсидії!AS31+'держ.бюджет'!AS31+'місц.-районн.бюджет'!AS31+областной!AS31+інші!AS31</f>
        <v>-859.1999999999998</v>
      </c>
    </row>
    <row r="32" spans="1:45" ht="27" customHeight="1">
      <c r="A32" s="13" t="s">
        <v>37</v>
      </c>
      <c r="B32" s="15" t="s">
        <v>113</v>
      </c>
      <c r="C32" s="18">
        <f>'насел.'!C32+пільги!C32+субсидії!C32+'держ.бюджет'!C32+'місц.-районн.бюджет'!C32+областной!C32+інші!C32</f>
        <v>2769.0000000000005</v>
      </c>
      <c r="D32" s="14">
        <f>'насел.'!D32+пільги!D32+субсидії!D32+'держ.бюджет'!D32+'місц.-районн.бюджет'!D32+областной!D32+інші!D32</f>
        <v>1738.6000000000001</v>
      </c>
      <c r="E32" s="14">
        <f>'насел.'!E32+пільги!E32+субсидії!E32+'держ.бюджет'!E32+'місц.-районн.бюджет'!E32+областной!E32+інші!E32</f>
        <v>1572.8999999999999</v>
      </c>
      <c r="F32" s="67">
        <f t="shared" si="14"/>
        <v>90.46934314966063</v>
      </c>
      <c r="G32" s="14">
        <f>'насел.'!G32+пільги!G32+субсидії!G32+'держ.бюджет'!G32+'місц.-районн.бюджет'!G32+областной!G32+інші!G32</f>
        <v>1971</v>
      </c>
      <c r="H32" s="14">
        <f>'насел.'!H32+пільги!H32+субсидії!H32+'держ.бюджет'!H32+'місц.-районн.бюджет'!H32+областной!H32+інші!H32</f>
        <v>935.3999999999999</v>
      </c>
      <c r="I32" s="11">
        <f t="shared" si="12"/>
        <v>47.45814307458142</v>
      </c>
      <c r="J32" s="14">
        <f>'насел.'!J32+пільги!J32+субсидії!J32+'держ.бюджет'!J32+'місц.-районн.бюджет'!J32+областной!J32+інші!J32</f>
        <v>1802.5</v>
      </c>
      <c r="K32" s="14">
        <f>'насел.'!AP32+пільги!AP32+субсидії!AP32+'держ.бюджет'!AP32+'місц.-районн.бюджет'!AP32+областной!AP32+інші!AP32</f>
        <v>16670.36</v>
      </c>
      <c r="L32" s="11">
        <f t="shared" si="15"/>
        <v>924.8466019417476</v>
      </c>
      <c r="M32" s="11">
        <f>'насел.'!M32+пільги!M32+субсидії!M32+'держ.бюджет'!M32+'місц.-районн.бюджет'!M32+областной!M32+інші!M32</f>
        <v>5512.100000000001</v>
      </c>
      <c r="N32" s="11">
        <f>'насел.'!N32+пільги!N32+субсидії!N32+'держ.бюджет'!N32+'місц.-районн.бюджет'!N32+областной!N32+інші!N32</f>
        <v>5745.3</v>
      </c>
      <c r="O32" s="11">
        <f t="shared" si="0"/>
        <v>104.23069247655157</v>
      </c>
      <c r="P32" s="18">
        <f>'насел.'!P32+пільги!P32+субсидії!P32+'держ.бюджет'!P32+'місц.-районн.бюджет'!P32+областной!P32+інші!P32</f>
        <v>1878.3999999999999</v>
      </c>
      <c r="Q32" s="18">
        <f>'насел.'!Q32+пільги!Q32+субсидії!Q32+'держ.бюджет'!Q32+'місц.-районн.бюджет'!Q32+областной!Q32+інші!Q32</f>
        <v>1046.3</v>
      </c>
      <c r="R32" s="11">
        <f t="shared" si="16"/>
        <v>55.70166098807496</v>
      </c>
      <c r="S32" s="18">
        <f>'насел.'!S32+пільги!S32+субсидії!S32+'держ.бюджет'!S32+'місц.-районн.бюджет'!S32+областной!S32+інші!S32</f>
        <v>1765.6</v>
      </c>
      <c r="T32" s="18">
        <f>'насел.'!T32+пільги!T32+субсидії!T32+'держ.бюджет'!T32+'місц.-районн.бюджет'!T32+областной!T32+інші!T32</f>
        <v>1352.2</v>
      </c>
      <c r="U32" s="11">
        <f t="shared" si="17"/>
        <v>76.58586316266425</v>
      </c>
      <c r="V32" s="18">
        <f>'насел.'!V32+пільги!V32+субсидії!V32+'держ.бюджет'!V32+'місц.-районн.бюджет'!V32+областной!V32+інші!V32</f>
        <v>2342.6</v>
      </c>
      <c r="W32" s="18">
        <f>'насел.'!W32+пільги!W32+субсидії!W32+'держ.бюджет'!W32+'місц.-районн.бюджет'!W32+областной!W32+інші!W32</f>
        <v>1717.8000000000002</v>
      </c>
      <c r="X32" s="11">
        <f t="shared" si="18"/>
        <v>73.32877998804747</v>
      </c>
      <c r="Y32" s="18">
        <f>'насел.'!Y32+пільги!Y32+субсидії!Y32+'держ.бюджет'!Y32+'місц.-районн.бюджет'!Y32+областной!Y32+інші!Y32</f>
        <v>5986.599999999999</v>
      </c>
      <c r="Z32" s="18">
        <f>'насел.'!Z32+пільги!Z32+субсидії!Z32+'держ.бюджет'!Z32+'місц.-районн.бюджет'!Z32+областной!Z32+інші!Z32</f>
        <v>4116.3</v>
      </c>
      <c r="AA32" s="11">
        <f t="shared" si="19"/>
        <v>68.75856078575487</v>
      </c>
      <c r="AB32" s="18">
        <f>'насел.'!AB32+пільги!AB32+субсидії!AB32+'держ.бюджет'!AB32+'місц.-районн.бюджет'!AB32+областной!AB32+інші!AB32</f>
        <v>2065.43</v>
      </c>
      <c r="AC32" s="18">
        <f>'насел.'!AC32+пільги!AC32+субсидії!AC32+'держ.бюджет'!AC32+'місц.-районн.бюджет'!AC32+областной!AC32+інші!AC32</f>
        <v>1847.36</v>
      </c>
      <c r="AD32" s="11">
        <f t="shared" si="20"/>
        <v>89.44190798042054</v>
      </c>
      <c r="AE32" s="18">
        <f>'насел.'!AE32+пільги!AE32+субсидії!AE32+'держ.бюджет'!AE32+'місц.-районн.бюджет'!AE32+областной!AE32+інші!AE32</f>
        <v>1301.2000000000003</v>
      </c>
      <c r="AF32" s="18">
        <f>'насел.'!AF32+пільги!AF32+субсидії!AF32+'держ.бюджет'!AF32+'місц.-районн.бюджет'!AF32+областной!AF32+інші!AF32</f>
        <v>1267.9000000000003</v>
      </c>
      <c r="AG32" s="11">
        <f t="shared" si="21"/>
        <v>97.44082385490317</v>
      </c>
      <c r="AH32" s="18">
        <f>'насел.'!AH32+пільги!AH32+субсидії!AH32+'держ.бюджет'!AH32+'місц.-районн.бюджет'!AH32+областной!AH32+інші!AH32</f>
        <v>1481.2999999999997</v>
      </c>
      <c r="AI32" s="18">
        <f>'насел.'!AI32+пільги!AI32+субсидії!AI32+'держ.бюджет'!AI32+'місц.-районн.бюджет'!AI32+областной!AI32+інші!AI32</f>
        <v>1805.4</v>
      </c>
      <c r="AJ32" s="18">
        <f>'насел.'!AJ32+пільги!AJ32+субсидії!AJ32+'держ.бюджет'!AJ32+'місц.-районн.бюджет'!AJ32+областной!AJ32+інші!AJ32</f>
        <v>4847.93</v>
      </c>
      <c r="AK32" s="18">
        <f>'насел.'!AK32+пільги!AK32+субсидії!AK32+'держ.бюджет'!AK32+'місц.-районн.бюджет'!AK32+областной!AK32+інші!AK32</f>
        <v>4920.66</v>
      </c>
      <c r="AL32" s="18">
        <f t="shared" si="10"/>
        <v>101.500227932334</v>
      </c>
      <c r="AM32" s="18">
        <f>'насел.'!AM32+пільги!AM32+субсидії!AM32+'держ.бюджет'!AM32+'місц.-районн.бюджет'!AM32+областной!AM32+інші!AM32</f>
        <v>1537.1</v>
      </c>
      <c r="AN32" s="18">
        <f>'насел.'!AN32+пільги!AN32+субсидії!AN32+'держ.бюджет'!AN32+'місц.-районн.бюджет'!AN32+областной!AN32+інші!AN32</f>
        <v>1888.1000000000001</v>
      </c>
      <c r="AO32" s="18">
        <f>'насел.'!AO32+пільги!AO32+субсидії!AO32+'держ.бюджет'!AO32+'місц.-районн.бюджет'!AO32+областной!AO32+інші!AO32</f>
        <v>17883.730000000003</v>
      </c>
      <c r="AP32" s="18">
        <f>'насел.'!AP32+пільги!AP32+субсидії!AP32+'держ.бюджет'!AP32+'місц.-районн.бюджет'!AP32+областной!AP32+інші!AP32</f>
        <v>16670.36</v>
      </c>
      <c r="AQ32" s="11">
        <f t="shared" si="13"/>
        <v>93.21522970879116</v>
      </c>
      <c r="AR32" s="18">
        <f>'насел.'!AR32+пільги!AR32+субсидії!AR32+'держ.бюджет'!AR32+'місц.-районн.бюджет'!AR32+областной!AR32+інші!AR32</f>
        <v>1213.3699999999992</v>
      </c>
      <c r="AS32" s="18">
        <f>'насел.'!AS32+пільги!AS32+субсидії!AS32+'держ.бюджет'!AS32+'місц.-районн.бюджет'!AS32+областной!AS32+інші!AS32</f>
        <v>3982.3699999999994</v>
      </c>
    </row>
    <row r="33" spans="1:45" ht="27" customHeight="1">
      <c r="A33" s="13" t="s">
        <v>38</v>
      </c>
      <c r="B33" s="15" t="s">
        <v>114</v>
      </c>
      <c r="C33" s="18">
        <f>'насел.'!C33+пільги!C33+субсидії!C33+'держ.бюджет'!C33+'місц.-районн.бюджет'!C33+областной!C33+інші!C33</f>
        <v>1712.3</v>
      </c>
      <c r="D33" s="14">
        <f>'насел.'!D33+пільги!D33+субсидії!D33+'держ.бюджет'!D33+'місц.-районн.бюджет'!D33+областной!D33+інші!D33</f>
        <v>734.0999999999999</v>
      </c>
      <c r="E33" s="14">
        <f>'насел.'!E33+пільги!E33+субсидії!E33+'держ.бюджет'!E33+'місц.-районн.бюджет'!E33+областной!E33+інші!E33</f>
        <v>947.5999999999999</v>
      </c>
      <c r="F33" s="11">
        <f t="shared" si="14"/>
        <v>129.0832311674159</v>
      </c>
      <c r="G33" s="14">
        <f>'насел.'!G33+пільги!G33+субсидії!G33+'держ.бюджет'!G33+'місц.-районн.бюджет'!G33+областной!G33+інші!G33</f>
        <v>869.3000000000001</v>
      </c>
      <c r="H33" s="14">
        <f>'насел.'!H33+пільги!H33+субсидії!H33+'держ.бюджет'!H33+'місц.-районн.бюджет'!H33+областной!H33+інші!H33</f>
        <v>445</v>
      </c>
      <c r="I33" s="11">
        <f t="shared" si="12"/>
        <v>51.19061313700678</v>
      </c>
      <c r="J33" s="14">
        <f>'насел.'!J33+пільги!J33+субсидії!J33+'держ.бюджет'!J33+'місц.-районн.бюджет'!J33+областной!J33+інші!J33</f>
        <v>835.1</v>
      </c>
      <c r="K33" s="14">
        <f>'насел.'!AP33+пільги!AP33+субсидії!AP33+'держ.бюджет'!AP33+'місц.-районн.бюджет'!AP33+областной!AP33+інші!AP33</f>
        <v>8195.199999999999</v>
      </c>
      <c r="L33" s="11">
        <f t="shared" si="15"/>
        <v>981.3435516704585</v>
      </c>
      <c r="M33" s="11">
        <f>'насел.'!M33+пільги!M33+субсидії!M33+'держ.бюджет'!M33+'місц.-районн.бюджет'!M33+областной!M33+інші!M33</f>
        <v>2438.5</v>
      </c>
      <c r="N33" s="11">
        <f>'насел.'!N33+пільги!N33+субсидії!N33+'держ.бюджет'!N33+'місц.-районн.бюджет'!N33+областной!N33+інші!N33</f>
        <v>2071.3999999999996</v>
      </c>
      <c r="O33" s="11">
        <f t="shared" si="0"/>
        <v>84.94566331761327</v>
      </c>
      <c r="P33" s="18">
        <f>'насел.'!P33+пільги!P33+субсидії!P33+'держ.бюджет'!P33+'місц.-районн.бюджет'!P33+областной!P33+інші!P33</f>
        <v>869.6000000000001</v>
      </c>
      <c r="Q33" s="18">
        <f>'насел.'!Q33+пільги!Q33+субсидії!Q33+'держ.бюджет'!Q33+'місц.-районн.бюджет'!Q33+областной!Q33+інші!Q33</f>
        <v>439.3</v>
      </c>
      <c r="R33" s="11">
        <f t="shared" si="16"/>
        <v>50.51747930082796</v>
      </c>
      <c r="S33" s="18">
        <f>'насел.'!S33+пільги!S33+субсидії!S33+'держ.бюджет'!S33+'місц.-районн.бюджет'!S33+областной!S33+інші!S33</f>
        <v>837.4000000000001</v>
      </c>
      <c r="T33" s="18">
        <f>'насел.'!T33+пільги!T33+субсидії!T33+'держ.бюджет'!T33+'місц.-районн.бюджет'!T33+областной!T33+інші!T33</f>
        <v>472.99999999999994</v>
      </c>
      <c r="U33" s="11">
        <f t="shared" si="17"/>
        <v>56.48435634105563</v>
      </c>
      <c r="V33" s="18">
        <f>'насел.'!V33+пільги!V33+субсидії!V33+'держ.бюджет'!V33+'місц.-районн.бюджет'!V33+областной!V33+інші!V33</f>
        <v>851.8000000000001</v>
      </c>
      <c r="W33" s="18">
        <f>'насел.'!W33+пільги!W33+субсидії!W33+'держ.бюджет'!W33+'місц.-районн.бюджет'!W33+областной!W33+інші!W33</f>
        <v>438.7</v>
      </c>
      <c r="X33" s="11">
        <f t="shared" si="18"/>
        <v>51.502700164357826</v>
      </c>
      <c r="Y33" s="18">
        <f>'насел.'!Y33+пільги!Y33+субсидії!Y33+'держ.бюджет'!Y33+'місц.-районн.бюджет'!Y33+областной!Y33+інші!Y33</f>
        <v>2558.8</v>
      </c>
      <c r="Z33" s="18">
        <f>'насел.'!Z33+пільги!Z33+субсидії!Z33+'держ.бюджет'!Z33+'місц.-районн.бюджет'!Z33+областной!Z33+інші!Z33</f>
        <v>1351</v>
      </c>
      <c r="AA33" s="11">
        <f t="shared" si="19"/>
        <v>52.79818664999218</v>
      </c>
      <c r="AB33" s="18">
        <f>'насел.'!AB33+пільги!AB33+субсидії!AB33+'держ.бюджет'!AB33+'місц.-районн.бюджет'!AB33+областной!AB33+інші!AB33</f>
        <v>768.8</v>
      </c>
      <c r="AC33" s="18">
        <f>'насел.'!AC33+пільги!AC33+субсидії!AC33+'держ.бюджет'!AC33+'місц.-районн.бюджет'!AC33+областной!AC33+інші!AC33</f>
        <v>521.1999999999999</v>
      </c>
      <c r="AD33" s="11">
        <f t="shared" si="20"/>
        <v>67.7939646201873</v>
      </c>
      <c r="AE33" s="18">
        <f>'насел.'!AE33+пільги!AE33+субсидії!AE33+'держ.бюджет'!AE33+'місц.-районн.бюджет'!AE33+областной!AE33+інші!AE33</f>
        <v>912.7</v>
      </c>
      <c r="AF33" s="18">
        <f>'насел.'!AF33+пільги!AF33+субсидії!AF33+'держ.бюджет'!AF33+'місц.-районн.бюджет'!AF33+областной!AF33+інші!AF33</f>
        <v>1700.7</v>
      </c>
      <c r="AG33" s="11">
        <f t="shared" si="21"/>
        <v>186.3372411526241</v>
      </c>
      <c r="AH33" s="18">
        <f>'насел.'!AH33+пільги!AH33+субсидії!AH33+'держ.бюджет'!AH33+'місц.-районн.бюджет'!AH33+областной!AH33+інші!AH33</f>
        <v>1040.7</v>
      </c>
      <c r="AI33" s="18">
        <f>'насел.'!AI33+пільги!AI33+субсидії!AI33+'держ.бюджет'!AI33+'місц.-районн.бюджет'!AI33+областной!AI33+інші!AI33</f>
        <v>830</v>
      </c>
      <c r="AJ33" s="18">
        <f>'насел.'!AJ33+пільги!AJ33+субсидії!AJ33+'держ.бюджет'!AJ33+'місц.-районн.бюджет'!AJ33+областной!AJ33+інші!AJ33</f>
        <v>2722.2</v>
      </c>
      <c r="AK33" s="18">
        <f>'насел.'!AK33+пільги!AK33+субсидії!AK33+'держ.бюджет'!AK33+'місц.-районн.бюджет'!AK33+областной!AK33+інші!AK33</f>
        <v>3051.9</v>
      </c>
      <c r="AL33" s="18">
        <f t="shared" si="10"/>
        <v>112.11152744104034</v>
      </c>
      <c r="AM33" s="18">
        <f>'насел.'!AM33+пільги!AM33+субсидії!AM33+'держ.бюджет'!AM33+'місц.-районн.бюджет'!AM33+областной!AM33+інші!AM33</f>
        <v>929.7</v>
      </c>
      <c r="AN33" s="18">
        <f>'насел.'!AN33+пільги!AN33+субсидії!AN33+'держ.бюджет'!AN33+'місц.-районн.бюджет'!AN33+областной!AN33+інші!AN33</f>
        <v>1720.8999999999996</v>
      </c>
      <c r="AO33" s="18">
        <f>'насел.'!AO33+пільги!AO33+субсидії!AO33+'держ.бюджет'!AO33+'місц.-районн.бюджет'!AO33+областной!AO33+інші!AO33</f>
        <v>8649.2</v>
      </c>
      <c r="AP33" s="18">
        <f>'насел.'!AP33+пільги!AP33+субсидії!AP33+'держ.бюджет'!AP33+'місц.-районн.бюджет'!AP33+областной!AP33+інші!AP33</f>
        <v>8195.199999999999</v>
      </c>
      <c r="AQ33" s="11">
        <f t="shared" si="13"/>
        <v>94.7509596263238</v>
      </c>
      <c r="AR33" s="18">
        <f>'насел.'!AR33+пільги!AR33+субсидії!AR33+'держ.бюджет'!AR33+'місц.-районн.бюджет'!AR33+областной!AR33+інші!AR33</f>
        <v>454.00000000000057</v>
      </c>
      <c r="AS33" s="18">
        <f>'насел.'!AS33+пільги!AS33+субсидії!AS33+'держ.бюджет'!AS33+'місц.-районн.бюджет'!AS33+областной!AS33+інші!AS33</f>
        <v>2166.3</v>
      </c>
    </row>
    <row r="34" spans="1:45" ht="27" customHeight="1">
      <c r="A34" s="13" t="s">
        <v>39</v>
      </c>
      <c r="B34" s="47" t="s">
        <v>115</v>
      </c>
      <c r="C34" s="18">
        <f>'насел.'!C34+пільги!C34+субсидії!C34+'держ.бюджет'!C34+'місц.-районн.бюджет'!C34+областной!C34+інші!C34</f>
        <v>-658.0000000000001</v>
      </c>
      <c r="D34" s="14">
        <f>'насел.'!D34+пільги!D34+субсидії!D34+'держ.бюджет'!D34+'місц.-районн.бюджет'!D34+областной!D34+інші!D34</f>
        <v>185.8</v>
      </c>
      <c r="E34" s="14">
        <f>'насел.'!E34+пільги!E34+субсидії!E34+'держ.бюджет'!E34+'місц.-районн.бюджет'!E34+областной!E34+інші!E34</f>
        <v>572.4000000000001</v>
      </c>
      <c r="F34" s="11">
        <f t="shared" si="14"/>
        <v>308.0731969860065</v>
      </c>
      <c r="G34" s="14">
        <f>'насел.'!G34+пільги!G34+субсидії!G34+'держ.бюджет'!G34+'місц.-районн.бюджет'!G34+областной!G34+інші!G34</f>
        <v>193.2</v>
      </c>
      <c r="H34" s="14">
        <f>'насел.'!H34+пільги!H34+субсидії!H34+'держ.бюджет'!H34+'місц.-районн.бюджет'!H34+областной!H34+інші!H34</f>
        <v>75.69999999999999</v>
      </c>
      <c r="I34" s="11">
        <f t="shared" si="12"/>
        <v>39.18219461697722</v>
      </c>
      <c r="J34" s="14">
        <f>'насел.'!J34+пільги!J34+субсидії!J34+'держ.бюджет'!J34+'місц.-районн.бюджет'!J34+областной!J34+інші!J34</f>
        <v>194.99999999999997</v>
      </c>
      <c r="K34" s="14">
        <f>'насел.'!AP34+пільги!AP34+субсидії!AP34+'держ.бюджет'!AP34+'місц.-районн.бюджет'!AP34+областной!AP34+інші!AP34</f>
        <v>1672.5000000000002</v>
      </c>
      <c r="L34" s="11">
        <f t="shared" si="15"/>
        <v>857.6923076923081</v>
      </c>
      <c r="M34" s="11">
        <f>'насел.'!M34+пільги!M34+субсидії!M34+'держ.бюджет'!M34+'місц.-районн.бюджет'!M34+областной!M34+інші!M34</f>
        <v>574</v>
      </c>
      <c r="N34" s="11">
        <f>'насел.'!N34+пільги!N34+субсидії!N34+'держ.бюджет'!N34+'місц.-районн.бюджет'!N34+областной!N34+інші!N34</f>
        <v>949.8</v>
      </c>
      <c r="O34" s="11">
        <f t="shared" si="0"/>
        <v>165.47038327526133</v>
      </c>
      <c r="P34" s="18">
        <f>'насел.'!P34+пільги!P34+субсидії!P34+'держ.бюджет'!P34+'місц.-районн.бюджет'!P34+областной!P34+інші!P34</f>
        <v>187</v>
      </c>
      <c r="Q34" s="18">
        <f>'насел.'!Q34+пільги!Q34+субсидії!Q34+'держ.бюджет'!Q34+'місц.-районн.бюджет'!Q34+областной!Q34+інші!Q34</f>
        <v>294.40000000000003</v>
      </c>
      <c r="R34" s="11">
        <f t="shared" si="16"/>
        <v>157.4331550802139</v>
      </c>
      <c r="S34" s="18">
        <f>'насел.'!S34+пільги!S34+субсидії!S34+'держ.бюджет'!S34+'місц.-районн.бюджет'!S34+областной!S34+інші!S34</f>
        <v>193.29999999999987</v>
      </c>
      <c r="T34" s="18">
        <f>'насел.'!T34+пільги!T34+субсидії!T34+'держ.бюджет'!T34+'місц.-районн.бюджет'!T34+областной!T34+інші!T34</f>
        <v>85.7</v>
      </c>
      <c r="U34" s="11">
        <f t="shared" si="17"/>
        <v>44.335230212105564</v>
      </c>
      <c r="V34" s="18">
        <f>'насел.'!V34+пільги!V34+субсидії!V34+'держ.бюджет'!V34+'місц.-районн.бюджет'!V34+областной!V34+інші!V34</f>
        <v>190.9</v>
      </c>
      <c r="W34" s="18">
        <f>'насел.'!W34+пільги!W34+субсидії!W34+'держ.бюджет'!W34+'місц.-районн.бюджет'!W34+областной!W34+інші!W34</f>
        <v>120.3</v>
      </c>
      <c r="X34" s="11">
        <f t="shared" si="18"/>
        <v>63.01728653745416</v>
      </c>
      <c r="Y34" s="18">
        <f>'насел.'!Y34+пільги!Y34+субсидії!Y34+'держ.бюджет'!Y34+'місц.-районн.бюджет'!Y34+областной!Y34+інші!Y34</f>
        <v>571.1999999999998</v>
      </c>
      <c r="Z34" s="18">
        <f>'насел.'!Z34+пільги!Z34+субсидії!Z34+'держ.бюджет'!Z34+'місц.-районн.бюджет'!Z34+областной!Z34+інші!Z34</f>
        <v>500.4</v>
      </c>
      <c r="AA34" s="11">
        <f t="shared" si="19"/>
        <v>87.60504201680675</v>
      </c>
      <c r="AB34" s="18">
        <f>'насел.'!AB34+пільги!AB34+субсидії!AB34+'держ.бюджет'!AB34+'місц.-районн.бюджет'!AB34+областной!AB34+інші!AB34</f>
        <v>194.79999999999998</v>
      </c>
      <c r="AC34" s="18">
        <f>'насел.'!AC34+пільги!AC34+субсидії!AC34+'держ.бюджет'!AC34+'місц.-районн.бюджет'!AC34+областной!AC34+інші!AC34</f>
        <v>104.80000000000001</v>
      </c>
      <c r="AD34" s="11">
        <f t="shared" si="20"/>
        <v>53.7987679671458</v>
      </c>
      <c r="AE34" s="18">
        <f>'насел.'!AE34+пільги!AE34+субсидії!AE34+'держ.бюджет'!AE34+'місц.-районн.бюджет'!AE34+областной!AE34+інші!AE34</f>
        <v>0</v>
      </c>
      <c r="AF34" s="18">
        <f>'насел.'!AF34+пільги!AF34+субсидії!AF34+'держ.бюджет'!AF34+'місц.-районн.бюджет'!AF34+областной!AF34+інші!AF34</f>
        <v>90.3</v>
      </c>
      <c r="AG34" s="11" t="e">
        <f t="shared" si="21"/>
        <v>#DIV/0!</v>
      </c>
      <c r="AH34" s="18">
        <f>'насел.'!AH34+пільги!AH34+субсидії!AH34+'держ.бюджет'!AH34+'місц.-районн.бюджет'!AH34+областной!AH34+інші!AH34</f>
        <v>-0.10000000000000009</v>
      </c>
      <c r="AI34" s="18">
        <f>'насел.'!AI34+пільги!AI34+субсидії!AI34+'держ.бюджет'!AI34+'місц.-районн.бюджет'!AI34+областной!AI34+інші!AI34</f>
        <v>17.2</v>
      </c>
      <c r="AJ34" s="18">
        <f>'насел.'!AJ34+пільги!AJ34+субсидії!AJ34+'держ.бюджет'!AJ34+'місц.-районн.бюджет'!AJ34+областной!AJ34+інші!AJ34</f>
        <v>194.7</v>
      </c>
      <c r="AK34" s="18">
        <f>'насел.'!AK34+пільги!AK34+субсидії!AK34+'держ.бюджет'!AK34+'місц.-районн.бюджет'!AK34+областной!AK34+інші!AK34</f>
        <v>212.3</v>
      </c>
      <c r="AL34" s="18">
        <f t="shared" si="10"/>
        <v>109.03954802259888</v>
      </c>
      <c r="AM34" s="18">
        <f>'насел.'!AM34+пільги!AM34+субсидії!AM34+'держ.бюджет'!AM34+'місц.-районн.бюджет'!AM34+областной!AM34+інші!AM34</f>
        <v>0</v>
      </c>
      <c r="AN34" s="18">
        <f>'насел.'!AN34+пільги!AN34+субсидії!AN34+'держ.бюджет'!AN34+'місц.-районн.бюджет'!AN34+областной!AN34+інші!AN34</f>
        <v>10</v>
      </c>
      <c r="AO34" s="18">
        <f>'насел.'!AO34+пільги!AO34+субсидії!AO34+'держ.бюджет'!AO34+'місц.-районн.бюджет'!AO34+областной!AO34+інші!AO34</f>
        <v>1339.8999999999996</v>
      </c>
      <c r="AP34" s="18">
        <f>'насел.'!AP34+пільги!AP34+субсидії!AP34+'держ.бюджет'!AP34+'місц.-районн.бюджет'!AP34+областной!AP34+інші!AP34</f>
        <v>1672.5000000000002</v>
      </c>
      <c r="AQ34" s="11">
        <f t="shared" si="13"/>
        <v>124.8227479662662</v>
      </c>
      <c r="AR34" s="18">
        <f>'насел.'!AR34+пільги!AR34+субсидії!AR34+'держ.бюджет'!AR34+'місц.-районн.бюджет'!AR34+областной!AR34+інші!AR34</f>
        <v>-332.6000000000002</v>
      </c>
      <c r="AS34" s="18">
        <f>'насел.'!AS34+пільги!AS34+субсидії!AS34+'держ.бюджет'!AS34+'місц.-районн.бюджет'!AS34+областной!AS34+інші!AS34</f>
        <v>-990.6000000000004</v>
      </c>
    </row>
    <row r="35" spans="1:45" ht="28.5" customHeight="1">
      <c r="A35" s="13" t="s">
        <v>40</v>
      </c>
      <c r="B35" s="15" t="s">
        <v>116</v>
      </c>
      <c r="C35" s="18">
        <f>'насел.'!C35+пільги!C35+субсидії!C35+'держ.бюджет'!C35+'місц.-районн.бюджет'!C35+областной!C35+інші!C35</f>
        <v>-1583.1</v>
      </c>
      <c r="D35" s="14">
        <f>'насел.'!D35+пільги!D35+субсидії!D35+'держ.бюджет'!D35+'місц.-районн.бюджет'!D35+областной!D35+інші!D35</f>
        <v>1965.8</v>
      </c>
      <c r="E35" s="14">
        <f>'насел.'!E35+пільги!E35+субсидії!E35+'держ.бюджет'!E35+'місц.-районн.бюджет'!E35+областной!E35+інші!E35</f>
        <v>1139</v>
      </c>
      <c r="F35" s="11">
        <f t="shared" si="14"/>
        <v>57.94078746566284</v>
      </c>
      <c r="G35" s="14">
        <f>'насел.'!G35+пільги!G35+субсидії!G35+'держ.бюджет'!G35+'місц.-районн.бюджет'!G35+областной!G35+інші!G35</f>
        <v>1897.4</v>
      </c>
      <c r="H35" s="14">
        <f>'насел.'!H35+пільги!H35+субсидії!H35+'держ.бюджет'!H35+'місц.-районн.бюджет'!H35+областной!H35+інші!H35</f>
        <v>1873</v>
      </c>
      <c r="I35" s="11">
        <f t="shared" si="12"/>
        <v>98.71402972488669</v>
      </c>
      <c r="J35" s="14">
        <f>'насел.'!J35+пільги!J35+субсидії!J35+'держ.бюджет'!J35+'місц.-районн.бюджет'!J35+областной!J35+інші!J35</f>
        <v>1893.1</v>
      </c>
      <c r="K35" s="14">
        <f>'насел.'!AP35+пільги!AP35+субсидії!AP35+'держ.бюджет'!AP35+'місц.-районн.бюджет'!AP35+областной!AP35+інші!AP35</f>
        <v>16420.6</v>
      </c>
      <c r="L35" s="11">
        <f t="shared" si="15"/>
        <v>867.3921081823463</v>
      </c>
      <c r="M35" s="11">
        <f>'насел.'!M35+пільги!M35+субсидії!M35+'держ.бюджет'!M35+'місц.-районн.бюджет'!M35+областной!M35+інші!M35</f>
        <v>5756.3</v>
      </c>
      <c r="N35" s="11">
        <f>'насел.'!N35+пільги!N35+субсидії!N35+'держ.бюджет'!N35+'місц.-районн.бюджет'!N35+областной!N35+інші!N35</f>
        <v>5200.099999999999</v>
      </c>
      <c r="O35" s="11">
        <f t="shared" si="0"/>
        <v>90.33754321352257</v>
      </c>
      <c r="P35" s="18">
        <f>'насел.'!P35+пільги!P35+субсидії!P35+'держ.бюджет'!P35+'місц.-районн.бюджет'!P35+областной!P35+інші!P35</f>
        <v>2009.9999999999998</v>
      </c>
      <c r="Q35" s="18">
        <f>'насел.'!Q35+пільги!Q35+субсидії!Q35+'держ.бюджет'!Q35+'місц.-районн.бюджет'!Q35+областной!Q35+інші!Q35</f>
        <v>4720.099999999999</v>
      </c>
      <c r="R35" s="11">
        <f t="shared" si="16"/>
        <v>234.83084577114428</v>
      </c>
      <c r="S35" s="18">
        <f>'насел.'!S35+пільги!S35+субсидії!S35+'держ.бюджет'!S35+'місц.-районн.бюджет'!S35+областной!S35+інші!S35</f>
        <v>-1060.5</v>
      </c>
      <c r="T35" s="18">
        <f>'насел.'!T35+пільги!T35+субсидії!T35+'держ.бюджет'!T35+'місц.-районн.бюджет'!T35+областной!T35+інші!T35</f>
        <v>-1349.2</v>
      </c>
      <c r="U35" s="11">
        <f t="shared" si="17"/>
        <v>127.22300801508723</v>
      </c>
      <c r="V35" s="18">
        <f>'насел.'!V35+пільги!V35+субсидії!V35+'держ.бюджет'!V35+'місц.-районн.бюджет'!V35+областной!V35+інші!V35</f>
        <v>2320.7</v>
      </c>
      <c r="W35" s="18">
        <f>'насел.'!W35+пільги!W35+субсидії!W35+'держ.бюджет'!W35+'місц.-районн.бюджет'!W35+областной!W35+інші!W35</f>
        <v>1318.5</v>
      </c>
      <c r="X35" s="11">
        <f t="shared" si="18"/>
        <v>56.814754169000736</v>
      </c>
      <c r="Y35" s="18">
        <f>'насел.'!Y35+пільги!Y35+субсидії!Y35+'держ.бюджет'!Y35+'місц.-районн.бюджет'!Y35+областной!Y35+інші!Y35</f>
        <v>3270.1999999999994</v>
      </c>
      <c r="Z35" s="18">
        <f>'насел.'!Z35+пільги!Z35+субсидії!Z35+'держ.бюджет'!Z35+'місц.-районн.бюджет'!Z35+областной!Z35+інші!Z35</f>
        <v>4689.4</v>
      </c>
      <c r="AA35" s="11">
        <f t="shared" si="19"/>
        <v>143.39795731147944</v>
      </c>
      <c r="AB35" s="18">
        <f>'насел.'!AB35+пільги!AB35+субсидії!AB35+'держ.бюджет'!AB35+'місц.-районн.бюджет'!AB35+областной!AB35+інші!AB35</f>
        <v>2190.8999999999996</v>
      </c>
      <c r="AC35" s="18">
        <f>'насел.'!AC35+пільги!AC35+субсидії!AC35+'держ.бюджет'!AC35+'місц.-районн.бюджет'!AC35+областной!AC35+інші!AC35</f>
        <v>1691.4</v>
      </c>
      <c r="AD35" s="11">
        <f t="shared" si="20"/>
        <v>77.20115021224157</v>
      </c>
      <c r="AE35" s="18">
        <f>'насел.'!AE35+пільги!AE35+субсидії!AE35+'держ.бюджет'!AE35+'місц.-районн.бюджет'!AE35+областной!AE35+інші!AE35</f>
        <v>2353.7</v>
      </c>
      <c r="AF35" s="18">
        <f>'насел.'!AF35+пільги!AF35+субсидії!AF35+'держ.бюджет'!AF35+'місц.-районн.бюджет'!AF35+областной!AF35+інші!AF35</f>
        <v>1312.1</v>
      </c>
      <c r="AG35" s="11">
        <f t="shared" si="21"/>
        <v>55.74627182733568</v>
      </c>
      <c r="AH35" s="18">
        <f>'насел.'!AH35+пільги!AH35+субсидії!AH35+'держ.бюджет'!AH35+'місц.-районн.бюджет'!AH35+областной!AH35+інші!AH35</f>
        <v>2321.2000000000003</v>
      </c>
      <c r="AI35" s="18">
        <f>'насел.'!AI35+пільги!AI35+субсидії!AI35+'держ.бюджет'!AI35+'місц.-районн.бюджет'!AI35+областной!AI35+інші!AI35</f>
        <v>1793.4999999999998</v>
      </c>
      <c r="AJ35" s="18">
        <f>'насел.'!AJ35+пільги!AJ35+субсидії!AJ35+'держ.бюджет'!AJ35+'місц.-районн.бюджет'!AJ35+областной!AJ35+інші!AJ35</f>
        <v>6865.799999999999</v>
      </c>
      <c r="AK35" s="18">
        <f>'насел.'!AK35+пільги!AK35+субсидії!AK35+'держ.бюджет'!AK35+'місц.-районн.бюджет'!AK35+областной!AK35+інші!AK35</f>
        <v>4797</v>
      </c>
      <c r="AL35" s="18">
        <f t="shared" si="10"/>
        <v>69.86804159748318</v>
      </c>
      <c r="AM35" s="18">
        <f>'насел.'!AM35+пільги!AM35+субсидії!AM35+'держ.бюджет'!AM35+'місц.-районн.бюджет'!AM35+областной!AM35+інші!AM35</f>
        <v>2211.1000000000004</v>
      </c>
      <c r="AN35" s="18">
        <f>'насел.'!AN35+пільги!AN35+субсидії!AN35+'держ.бюджет'!AN35+'місц.-районн.бюджет'!AN35+областной!AN35+інші!AN35</f>
        <v>1734.1</v>
      </c>
      <c r="AO35" s="18">
        <f>'насел.'!AO35+пільги!AO35+субсидії!AO35+'держ.бюджет'!AO35+'місц.-районн.бюджет'!AO35+областной!AO35+інші!AO35</f>
        <v>18103.4</v>
      </c>
      <c r="AP35" s="18">
        <f>'насел.'!AP35+пільги!AP35+субсидії!AP35+'держ.бюджет'!AP35+'місц.-районн.бюджет'!AP35+областной!AP35+інші!AP35</f>
        <v>16420.6</v>
      </c>
      <c r="AQ35" s="11">
        <f t="shared" si="13"/>
        <v>90.7045085453561</v>
      </c>
      <c r="AR35" s="18">
        <f>'насел.'!AR35+пільги!AR35+субсидії!AR35+'держ.бюджет'!AR35+'місц.-районн.бюджет'!AR35+областной!AR35+інші!AR35</f>
        <v>1682.7999999999981</v>
      </c>
      <c r="AS35" s="18">
        <f>'насел.'!AS35+пільги!AS35+субсидії!AS35+'держ.бюджет'!AS35+'місц.-районн.бюджет'!AS35+областной!AS35+інші!AS35</f>
        <v>99.69999999999862</v>
      </c>
    </row>
    <row r="36" spans="1:45" ht="27" customHeight="1">
      <c r="A36" s="13" t="s">
        <v>41</v>
      </c>
      <c r="B36" s="15" t="s">
        <v>139</v>
      </c>
      <c r="C36" s="18">
        <f>'насел.'!C36+пільги!C36+субсидії!C36+'держ.бюджет'!C36+'місц.-районн.бюджет'!C36+областной!C36+інші!C36</f>
        <v>-4023.4000000000005</v>
      </c>
      <c r="D36" s="14">
        <f>'насел.'!D36+пільги!D36+субсидії!D36+'держ.бюджет'!D36+'місц.-районн.бюджет'!D36+областной!D36+інші!D36</f>
        <v>2244.5</v>
      </c>
      <c r="E36" s="14">
        <f>'насел.'!E36+пільги!E36+субсидії!E36+'держ.бюджет'!E36+'місц.-районн.бюджет'!E36+областной!E36+інші!E36</f>
        <v>1861.9</v>
      </c>
      <c r="F36" s="11">
        <f t="shared" si="14"/>
        <v>82.95388728001782</v>
      </c>
      <c r="G36" s="14">
        <f>'насел.'!G36+пільги!G36+субсидії!G36+'держ.бюджет'!G36+'місц.-районн.бюджет'!G36+областной!G36+інші!G36</f>
        <v>2163.1</v>
      </c>
      <c r="H36" s="14">
        <f>'насел.'!H36+пільги!H36+субсидії!H36+'держ.бюджет'!H36+'місц.-районн.бюджет'!H36+областной!H36+інші!H36</f>
        <v>1852.1999999999998</v>
      </c>
      <c r="I36" s="11">
        <f t="shared" si="12"/>
        <v>85.62710924136655</v>
      </c>
      <c r="J36" s="14">
        <f>'насел.'!J36+пільги!J36+субсидії!J36+'держ.бюджет'!J36+'місц.-районн.бюджет'!J36+областной!J36+інші!J36</f>
        <v>2274.3999999999996</v>
      </c>
      <c r="K36" s="14">
        <f>'насел.'!AP36+пільги!AP36+субсидії!AP36+'держ.бюджет'!AP36+'місц.-районн.бюджет'!AP36+областной!AP36+інші!AP36</f>
        <v>20507.1</v>
      </c>
      <c r="L36" s="11">
        <f t="shared" si="15"/>
        <v>901.6487864931412</v>
      </c>
      <c r="M36" s="11">
        <f>'насел.'!M36+пільги!M36+субсидії!M36+'держ.бюджет'!M36+'місц.-районн.бюджет'!M36+областной!M36+інші!M36</f>
        <v>6682</v>
      </c>
      <c r="N36" s="11">
        <f>'насел.'!N36+пільги!N36+субсидії!N36+'держ.бюджет'!N36+'місц.-районн.бюджет'!N36+областной!N36+інші!N36</f>
        <v>6469.200000000001</v>
      </c>
      <c r="O36" s="11">
        <f t="shared" si="0"/>
        <v>96.81532475306796</v>
      </c>
      <c r="P36" s="18">
        <f>'насел.'!P36+пільги!P36+субсидії!P36+'держ.бюджет'!P36+'місц.-районн.бюджет'!P36+областной!P36+інші!P36</f>
        <v>2044.1</v>
      </c>
      <c r="Q36" s="18">
        <f>'насел.'!Q36+пільги!Q36+субсидії!Q36+'держ.бюджет'!Q36+'місц.-районн.бюджет'!Q36+областной!Q36+інші!Q36</f>
        <v>3296.4</v>
      </c>
      <c r="R36" s="11">
        <f t="shared" si="16"/>
        <v>161.26412602123185</v>
      </c>
      <c r="S36" s="18">
        <f>'насел.'!S36+пільги!S36+субсидії!S36+'держ.бюджет'!S36+'місц.-районн.бюджет'!S36+областной!S36+інші!S36</f>
        <v>2104.9000000000005</v>
      </c>
      <c r="T36" s="18">
        <f>'насел.'!T36+пільги!T36+субсидії!T36+'держ.бюджет'!T36+'місц.-районн.бюджет'!T36+областной!T36+інші!T36</f>
        <v>2457.2</v>
      </c>
      <c r="U36" s="11">
        <f t="shared" si="17"/>
        <v>116.7371371561594</v>
      </c>
      <c r="V36" s="18">
        <f>'насел.'!V36+пільги!V36+субсидії!V36+'держ.бюджет'!V36+'місц.-районн.бюджет'!V36+областной!V36+інші!V36</f>
        <v>2160</v>
      </c>
      <c r="W36" s="18">
        <f>'насел.'!W36+пільги!W36+субсидії!W36+'держ.бюджет'!W36+'місц.-районн.бюджет'!W36+областной!W36+інші!W36</f>
        <v>1478.7000000000003</v>
      </c>
      <c r="X36" s="11">
        <f t="shared" si="18"/>
        <v>68.45833333333334</v>
      </c>
      <c r="Y36" s="18">
        <f>'насел.'!Y36+пільги!Y36+субсидії!Y36+'держ.бюджет'!Y36+'місц.-районн.бюджет'!Y36+областной!Y36+інші!Y36</f>
        <v>6309</v>
      </c>
      <c r="Z36" s="18">
        <f>'насел.'!Z36+пільги!Z36+субсидії!Z36+'держ.бюджет'!Z36+'місц.-районн.бюджет'!Z36+областной!Z36+інші!Z36</f>
        <v>7232.300000000001</v>
      </c>
      <c r="AA36" s="11">
        <f t="shared" si="19"/>
        <v>114.63464891424951</v>
      </c>
      <c r="AB36" s="18">
        <f>'насел.'!AB36+пільги!AB36+субсидії!AB36+'держ.бюджет'!AB36+'місц.-районн.бюджет'!AB36+областной!AB36+інші!AB36</f>
        <v>2151.2999999999997</v>
      </c>
      <c r="AC36" s="18">
        <f>'насел.'!AC36+пільги!AC36+субсидії!AC36+'держ.бюджет'!AC36+'місц.-районн.бюджет'!AC36+областной!AC36+інші!AC36</f>
        <v>2018.3000000000002</v>
      </c>
      <c r="AD36" s="11">
        <f t="shared" si="20"/>
        <v>93.81769162831777</v>
      </c>
      <c r="AE36" s="18">
        <f>'насел.'!AE36+пільги!AE36+субсидії!AE36+'держ.бюджет'!AE36+'місц.-районн.бюджет'!AE36+областной!AE36+інші!AE36</f>
        <v>2088.8</v>
      </c>
      <c r="AF36" s="18">
        <f>'насел.'!AF36+пільги!AF36+субсидії!AF36+'держ.бюджет'!AF36+'місц.-районн.бюджет'!AF36+областной!AF36+інші!AF36</f>
        <v>1413.6</v>
      </c>
      <c r="AG36" s="11">
        <f t="shared" si="21"/>
        <v>67.6752202221371</v>
      </c>
      <c r="AH36" s="18">
        <f>'насел.'!AH36+пільги!AH36+субсидії!AH36+'держ.бюджет'!AH36+'місц.-районн.бюджет'!AH36+областной!AH36+інші!AH36</f>
        <v>2188.8999999999996</v>
      </c>
      <c r="AI36" s="18">
        <f>'насел.'!AI36+пільги!AI36+субсидії!AI36+'держ.бюджет'!AI36+'місц.-районн.бюджет'!AI36+областной!AI36+інші!AI36</f>
        <v>1603.8</v>
      </c>
      <c r="AJ36" s="18">
        <f>'насел.'!AJ36+пільги!AJ36+субсидії!AJ36+'держ.бюджет'!AJ36+'місц.-районн.бюджет'!AJ36+областной!AJ36+інші!AJ36</f>
        <v>6429</v>
      </c>
      <c r="AK36" s="18">
        <f>'насел.'!AK36+пільги!AK36+субсидії!AK36+'держ.бюджет'!AK36+'місц.-районн.бюджет'!AK36+областной!AK36+інші!AK36</f>
        <v>5035.7</v>
      </c>
      <c r="AL36" s="18">
        <f t="shared" si="10"/>
        <v>78.32788925182766</v>
      </c>
      <c r="AM36" s="18">
        <f>'насел.'!AM36+пільги!AM36+субсидії!AM36+'держ.бюджет'!AM36+'місц.-районн.бюджет'!AM36+областной!AM36+інші!AM36</f>
        <v>2216</v>
      </c>
      <c r="AN36" s="18">
        <f>'насел.'!AN36+пільги!AN36+субсидії!AN36+'держ.бюджет'!AN36+'місц.-районн.бюджет'!AN36+областной!AN36+інші!AN36</f>
        <v>1769.8999999999999</v>
      </c>
      <c r="AO36" s="18">
        <f>'насел.'!AO36+пільги!AO36+субсидії!AO36+'держ.бюджет'!AO36+'місц.-районн.бюджет'!AO36+областной!AO36+інші!AO36</f>
        <v>21636</v>
      </c>
      <c r="AP36" s="18">
        <f>'насел.'!AP36+пільги!AP36+субсидії!AP36+'держ.бюджет'!AP36+'місц.-районн.бюджет'!AP36+областной!AP36+інші!AP36</f>
        <v>20507.1</v>
      </c>
      <c r="AQ36" s="11">
        <f t="shared" si="13"/>
        <v>94.78230726566832</v>
      </c>
      <c r="AR36" s="18">
        <f>'насел.'!AR36+пільги!AR36+субсидії!AR36+'держ.бюджет'!AR36+'місц.-районн.бюджет'!AR36+областной!AR36+інші!AR36</f>
        <v>1128.9000000000012</v>
      </c>
      <c r="AS36" s="18">
        <f>'насел.'!AS36+пільги!AS36+субсидії!AS36+'держ.бюджет'!AS36+'місц.-районн.бюджет'!AS36+областной!AS36+інші!AS36</f>
        <v>-2894.4999999999986</v>
      </c>
    </row>
    <row r="37" spans="1:45" ht="27" customHeight="1">
      <c r="A37" s="13" t="s">
        <v>42</v>
      </c>
      <c r="B37" s="15" t="s">
        <v>118</v>
      </c>
      <c r="C37" s="18">
        <f>'насел.'!C37+пільги!C37+субсидії!C37+'держ.бюджет'!C37+'місц.-районн.бюджет'!C37+областной!C37+інші!C37</f>
        <v>9863.199999999999</v>
      </c>
      <c r="D37" s="14">
        <f>'насел.'!D37+пільги!D37+субсидії!D37+'держ.бюджет'!D37+'місц.-районн.бюджет'!D37+областной!D37+інші!D37</f>
        <v>2672.7999999999997</v>
      </c>
      <c r="E37" s="14">
        <f>'насел.'!E37+пільги!E37+субсидії!E37+'держ.бюджет'!E37+'місц.-районн.бюджет'!E37+областной!E37+інші!E37</f>
        <v>3495.4</v>
      </c>
      <c r="F37" s="11">
        <f t="shared" si="14"/>
        <v>130.77671355881475</v>
      </c>
      <c r="G37" s="14">
        <f>'насел.'!G37+пільги!G37+субсидії!G37+'держ.бюджет'!G37+'місц.-районн.бюджет'!G37+областной!G37+інші!G37</f>
        <v>2726.7000000000003</v>
      </c>
      <c r="H37" s="14">
        <f>'насел.'!H37+пільги!H37+субсидії!H37+'держ.бюджет'!H37+'місц.-районн.бюджет'!H37+областной!H37+інші!H37</f>
        <v>959.6</v>
      </c>
      <c r="I37" s="11">
        <f t="shared" si="12"/>
        <v>35.19272380533245</v>
      </c>
      <c r="J37" s="14">
        <f>'насел.'!J37+пільги!J37+субсидії!J37+'держ.бюджет'!J37+'місц.-районн.бюджет'!J37+областной!J37+інші!J37</f>
        <v>2362.6000000000004</v>
      </c>
      <c r="K37" s="14">
        <f>'насел.'!AP37+пільги!AP37+субсидії!AP37+'держ.бюджет'!AP37+'місц.-районн.бюджет'!AP37+областной!AP37+інші!AP37</f>
        <v>25387.5</v>
      </c>
      <c r="L37" s="11">
        <f t="shared" si="15"/>
        <v>1074.5576906797596</v>
      </c>
      <c r="M37" s="11">
        <f>'насел.'!M37+пільги!M37+субсидії!M37+'держ.бюджет'!M37+'місц.-районн.бюджет'!M37+областной!M37+інші!M37</f>
        <v>7762.100000000001</v>
      </c>
      <c r="N37" s="11">
        <f>'насел.'!N37+пільги!N37+субсидії!N37+'держ.бюджет'!N37+'місц.-районн.бюджет'!N37+областной!N37+інші!N37</f>
        <v>10460.400000000001</v>
      </c>
      <c r="O37" s="11">
        <f t="shared" si="0"/>
        <v>134.7624998389611</v>
      </c>
      <c r="P37" s="18">
        <f>'насел.'!P37+пільги!P37+субсидії!P37+'держ.бюджет'!P37+'місц.-районн.бюджет'!P37+областной!P37+інші!P37</f>
        <v>2625.4</v>
      </c>
      <c r="Q37" s="18">
        <f>'насел.'!Q37+пільги!Q37+субсидії!Q37+'держ.бюджет'!Q37+'місц.-районн.бюджет'!Q37+областной!Q37+інші!Q37</f>
        <v>1515.8999999999999</v>
      </c>
      <c r="R37" s="11">
        <f t="shared" si="16"/>
        <v>57.739772986973406</v>
      </c>
      <c r="S37" s="18">
        <f>'насел.'!S37+пільги!S37+субсидії!S37+'держ.бюджет'!S37+'місц.-районн.бюджет'!S37+областной!S37+інші!S37</f>
        <v>2888.7</v>
      </c>
      <c r="T37" s="18">
        <f>'насел.'!T37+пільги!T37+субсидії!T37+'держ.бюджет'!T37+'місц.-районн.бюджет'!T37+областной!T37+інші!T37</f>
        <v>1301.1999999999998</v>
      </c>
      <c r="U37" s="11">
        <f t="shared" si="17"/>
        <v>45.04448367777893</v>
      </c>
      <c r="V37" s="18">
        <f>'насел.'!V37+пільги!V37+субсидії!V37+'держ.бюджет'!V37+'місц.-районн.бюджет'!V37+областной!V37+інші!V37</f>
        <v>2623.3000000000006</v>
      </c>
      <c r="W37" s="18">
        <f>'насел.'!W37+пільги!W37+субсидії!W37+'держ.бюджет'!W37+'місц.-районн.бюджет'!W37+областной!W37+інші!W37</f>
        <v>1357.9</v>
      </c>
      <c r="X37" s="11">
        <f t="shared" si="18"/>
        <v>51.76304654442876</v>
      </c>
      <c r="Y37" s="18">
        <f>'насел.'!Y37+пільги!Y37+субсидії!Y37+'держ.бюджет'!Y37+'місц.-районн.бюджет'!Y37+областной!Y37+інші!Y37</f>
        <v>8137.400000000001</v>
      </c>
      <c r="Z37" s="18">
        <f>'насел.'!Z37+пільги!Z37+субсидії!Z37+'держ.бюджет'!Z37+'місц.-районн.бюджет'!Z37+областной!Z37+інші!Z37</f>
        <v>4175</v>
      </c>
      <c r="AA37" s="11">
        <f t="shared" si="19"/>
        <v>51.30631405608671</v>
      </c>
      <c r="AB37" s="18">
        <f>'насел.'!AB37+пільги!AB37+субсидії!AB37+'держ.бюджет'!AB37+'місц.-районн.бюджет'!AB37+областной!AB37+інші!AB37</f>
        <v>3670.2999999999997</v>
      </c>
      <c r="AC37" s="18">
        <f>'насел.'!AC37+пільги!AC37+субсидії!AC37+'держ.бюджет'!AC37+'місц.-районн.бюджет'!AC37+областной!AC37+інші!AC37</f>
        <v>1777.5</v>
      </c>
      <c r="AD37" s="11">
        <f t="shared" si="20"/>
        <v>48.429283709778495</v>
      </c>
      <c r="AE37" s="18">
        <f>'насел.'!AE37+пільги!AE37+субсидії!AE37+'держ.бюджет'!AE37+'місц.-районн.бюджет'!AE37+областной!AE37+інші!AE37</f>
        <v>12070.300000000001</v>
      </c>
      <c r="AF37" s="18">
        <f>'насел.'!AF37+пільги!AF37+субсидії!AF37+'держ.бюджет'!AF37+'місц.-районн.бюджет'!AF37+областной!AF37+інші!AF37</f>
        <v>1516.3</v>
      </c>
      <c r="AG37" s="11">
        <f t="shared" si="21"/>
        <v>12.56223954665584</v>
      </c>
      <c r="AH37" s="18">
        <f>'насел.'!AH37+пільги!AH37+субсидії!AH37+'держ.бюджет'!AH37+'місц.-районн.бюджет'!AH37+областной!AH37+інші!AH37</f>
        <v>7407.9</v>
      </c>
      <c r="AI37" s="18">
        <f>'насел.'!AI37+пільги!AI37+субсидії!AI37+'держ.бюджет'!AI37+'місц.-районн.бюджет'!AI37+областной!AI37+інші!AI37</f>
        <v>4576.3</v>
      </c>
      <c r="AJ37" s="18">
        <f>'насел.'!AJ37+пільги!AJ37+субсидії!AJ37+'держ.бюджет'!AJ37+'місц.-районн.бюджет'!AJ37+областной!AJ37+інші!AJ37</f>
        <v>23148.500000000004</v>
      </c>
      <c r="AK37" s="18">
        <f>'насел.'!AK37+пільги!AK37+субсидії!AK37+'держ.бюджет'!AK37+'місц.-районн.бюджет'!AK37+областной!AK37+інші!AK37</f>
        <v>7870.099999999999</v>
      </c>
      <c r="AL37" s="18">
        <f t="shared" si="10"/>
        <v>33.99831522560856</v>
      </c>
      <c r="AM37" s="18">
        <f>'насел.'!AM37+пільги!AM37+субсидії!AM37+'держ.бюджет'!AM37+'місц.-районн.бюджет'!AM37+областной!AM37+інші!AM37</f>
        <v>4169</v>
      </c>
      <c r="AN37" s="18">
        <f>'насел.'!AN37+пільги!AN37+субсидії!AN37+'держ.бюджет'!AN37+'місц.-районн.бюджет'!AN37+областной!AN37+інші!AN37</f>
        <v>2882</v>
      </c>
      <c r="AO37" s="18">
        <f>'насел.'!AO37+пільги!AO37+субсидії!AO37+'держ.бюджет'!AO37+'місц.-районн.бюджет'!AO37+областной!AO37+інші!AO37</f>
        <v>43216.99999999999</v>
      </c>
      <c r="AP37" s="18">
        <f>'насел.'!AP37+пільги!AP37+субсидії!AP37+'держ.бюджет'!AP37+'місц.-районн.бюджет'!AP37+областной!AP37+інші!AP37</f>
        <v>25387.5</v>
      </c>
      <c r="AQ37" s="11">
        <f t="shared" si="13"/>
        <v>58.74424416317654</v>
      </c>
      <c r="AR37" s="18">
        <f>'насел.'!AR37+пільги!AR37+субсидії!AR37+'держ.бюджет'!AR37+'місц.-районн.бюджет'!AR37+областной!AR37+інші!AR37</f>
        <v>17829.5</v>
      </c>
      <c r="AS37" s="18">
        <f>'насел.'!AS37+пільги!AS37+субсидії!AS37+'держ.бюджет'!AS37+'місц.-районн.бюджет'!AS37+областной!AS37+інші!AS37</f>
        <v>27692.7</v>
      </c>
    </row>
    <row r="38" spans="1:45" ht="27" customHeight="1">
      <c r="A38" s="13" t="s">
        <v>43</v>
      </c>
      <c r="B38" s="15" t="s">
        <v>126</v>
      </c>
      <c r="C38" s="18">
        <f>'насел.'!C38+пільги!C38+субсидії!C38+'держ.бюджет'!C38+'місц.-районн.бюджет'!C38+областной!C38+інші!C38</f>
        <v>1163.1</v>
      </c>
      <c r="D38" s="14">
        <f>'насел.'!D38+пільги!D38+субсидії!D38+'держ.бюджет'!D38+'місц.-районн.бюджет'!D38+областной!D38+інші!D38</f>
        <v>634</v>
      </c>
      <c r="E38" s="14">
        <f>'насел.'!E38+пільги!E38+субсидії!E38+'держ.бюджет'!E38+'місц.-районн.бюджет'!E38+областной!E38+інші!E38</f>
        <v>621.5</v>
      </c>
      <c r="F38" s="67">
        <f t="shared" si="14"/>
        <v>98.02839116719242</v>
      </c>
      <c r="G38" s="14">
        <f>'насел.'!G38+пільги!G38+субсидії!G38+'держ.бюджет'!G38+'місц.-районн.бюджет'!G38+областной!G38+інші!G38</f>
        <v>591.4</v>
      </c>
      <c r="H38" s="14">
        <f>'насел.'!H38+пільги!H38+субсидії!H38+'держ.бюджет'!H38+'місц.-районн.бюджет'!H38+областной!H38+інші!H38</f>
        <v>420.59999999999997</v>
      </c>
      <c r="I38" s="11">
        <f t="shared" si="12"/>
        <v>71.11937774771728</v>
      </c>
      <c r="J38" s="14">
        <f>'насел.'!J38+пільги!J38+субсидії!J38+'держ.бюджет'!J38+'місц.-районн.бюджет'!J38+областной!J38+інші!J38</f>
        <v>716.6999999999999</v>
      </c>
      <c r="K38" s="14">
        <f>'насел.'!AP38+пільги!AP38+субсидії!AP38+'держ.бюджет'!AP38+'місц.-районн.бюджет'!AP38+областной!AP38+інші!AP38</f>
        <v>6578.6</v>
      </c>
      <c r="L38" s="11">
        <f t="shared" si="15"/>
        <v>917.9014929538163</v>
      </c>
      <c r="M38" s="11">
        <f>'насел.'!M38+пільги!M38+субсидії!M38+'держ.бюджет'!M38+'місц.-районн.бюджет'!M38+областной!M38+інші!M38</f>
        <v>1942.1000000000001</v>
      </c>
      <c r="N38" s="11">
        <f>'насел.'!N38+пільги!N38+субсидії!N38+'держ.бюджет'!N38+'місц.-районн.бюджет'!N38+областной!N38+інші!N38</f>
        <v>1784.1000000000001</v>
      </c>
      <c r="O38" s="11">
        <f t="shared" si="0"/>
        <v>91.86447659749756</v>
      </c>
      <c r="P38" s="18">
        <f>'насел.'!P38+пільги!P38+субсидії!P38+'держ.бюджет'!P38+'місц.-районн.бюджет'!P38+областной!P38+інші!P38</f>
        <v>700.7</v>
      </c>
      <c r="Q38" s="18">
        <f>'насел.'!Q38+пільги!Q38+субсидії!Q38+'держ.бюджет'!Q38+'місц.-районн.бюджет'!Q38+областной!Q38+інші!Q38</f>
        <v>1090.8</v>
      </c>
      <c r="R38" s="11">
        <f t="shared" si="16"/>
        <v>155.67289853004138</v>
      </c>
      <c r="S38" s="18">
        <f>'насел.'!S38+пільги!S38+субсидії!S38+'держ.бюджет'!S38+'місц.-районн.бюджет'!S38+областной!S38+інші!S38</f>
        <v>729.1000000000001</v>
      </c>
      <c r="T38" s="18">
        <f>'насел.'!T38+пільги!T38+субсидії!T38+'держ.бюджет'!T38+'місц.-районн.бюджет'!T38+областной!T38+інші!T38</f>
        <v>727.8</v>
      </c>
      <c r="U38" s="11">
        <f t="shared" si="17"/>
        <v>99.82169798381564</v>
      </c>
      <c r="V38" s="18">
        <f>'насел.'!V38+пільги!V38+субсидії!V38+'держ.бюджет'!V38+'місц.-районн.бюджет'!V38+областной!V38+інші!V38</f>
        <v>685</v>
      </c>
      <c r="W38" s="18">
        <f>'насел.'!W38+пільги!W38+субсидії!W38+'держ.бюджет'!W38+'місц.-районн.бюджет'!W38+областной!W38+інші!W38</f>
        <v>512</v>
      </c>
      <c r="X38" s="11">
        <f t="shared" si="18"/>
        <v>74.74452554744525</v>
      </c>
      <c r="Y38" s="18">
        <f>'насел.'!Y38+пільги!Y38+субсидії!Y38+'держ.бюджет'!Y38+'місц.-районн.бюджет'!Y38+областной!Y38+інші!Y38</f>
        <v>2114.8</v>
      </c>
      <c r="Z38" s="18">
        <f>'насел.'!Z38+пільги!Z38+субсидії!Z38+'держ.бюджет'!Z38+'місц.-районн.бюджет'!Z38+областной!Z38+інші!Z38</f>
        <v>2330.6</v>
      </c>
      <c r="AA38" s="11">
        <f t="shared" si="19"/>
        <v>110.20427463589937</v>
      </c>
      <c r="AB38" s="18">
        <f>'насел.'!AB38+пільги!AB38+субсидії!AB38+'держ.бюджет'!AB38+'місц.-районн.бюджет'!AB38+областной!AB38+інші!AB38</f>
        <v>669.9000000000001</v>
      </c>
      <c r="AC38" s="18">
        <f>'насел.'!AC38+пільги!AC38+субсидії!AC38+'держ.бюджет'!AC38+'місц.-районн.бюджет'!AC38+областной!AC38+інші!AC38</f>
        <v>699.1999999999999</v>
      </c>
      <c r="AD38" s="11">
        <f t="shared" si="20"/>
        <v>104.37378713240778</v>
      </c>
      <c r="AE38" s="18">
        <f>'насел.'!AE38+пільги!AE38+субсидії!AE38+'держ.бюджет'!AE38+'місц.-районн.бюджет'!AE38+областной!AE38+інші!AE38</f>
        <v>718.5</v>
      </c>
      <c r="AF38" s="18">
        <f>'насел.'!AF38+пільги!AF38+субсидії!AF38+'держ.бюджет'!AF38+'місц.-районн.бюджет'!AF38+областной!AF38+інші!AF38</f>
        <v>572.6</v>
      </c>
      <c r="AG38" s="11">
        <f t="shared" si="21"/>
        <v>79.6938065414057</v>
      </c>
      <c r="AH38" s="18">
        <f>'насел.'!AH38+пільги!AH38+субсидії!AH38+'держ.бюджет'!AH38+'місц.-районн.бюджет'!AH38+областной!AH38+інші!AH38</f>
        <v>743.5999999999999</v>
      </c>
      <c r="AI38" s="18">
        <f>'насел.'!AI38+пільги!AI38+субсидії!AI38+'держ.бюджет'!AI38+'місц.-районн.бюджет'!AI38+областной!AI38+інші!AI38</f>
        <v>571.4</v>
      </c>
      <c r="AJ38" s="18">
        <f>'насел.'!AJ38+пільги!AJ38+субсидії!AJ38+'держ.бюджет'!AJ38+'місц.-районн.бюджет'!AJ38+областной!AJ38+інші!AJ38</f>
        <v>2132</v>
      </c>
      <c r="AK38" s="18">
        <f>'насел.'!AK38+пільги!AK38+субсидії!AK38+'держ.бюджет'!AK38+'місц.-районн.бюджет'!AK38+областной!AK38+інші!AK38</f>
        <v>1843.1999999999998</v>
      </c>
      <c r="AL38" s="18">
        <f t="shared" si="10"/>
        <v>86.45403377110694</v>
      </c>
      <c r="AM38" s="18">
        <f>'насел.'!AM38+пільги!AM38+субсидії!AM38+'держ.бюджет'!AM38+'місц.-районн.бюджет'!AM38+областной!AM38+інші!AM38</f>
        <v>751.9000000000001</v>
      </c>
      <c r="AN38" s="18">
        <f>'насел.'!AN38+пільги!AN38+субсидії!AN38+'держ.бюджет'!AN38+'місц.-районн.бюджет'!AN38+областной!AN38+інші!AN38</f>
        <v>620.7</v>
      </c>
      <c r="AO38" s="18">
        <f>'насел.'!AO38+пільги!AO38+субсидії!AO38+'держ.бюджет'!AO38+'місц.-районн.бюджет'!AO38+областной!AO38+інші!AO38</f>
        <v>6940.8</v>
      </c>
      <c r="AP38" s="18">
        <f>'насел.'!AP38+пільги!AP38+субсидії!AP38+'держ.бюджет'!AP38+'місц.-районн.бюджет'!AP38+областной!AP38+інші!AP38</f>
        <v>6578.6</v>
      </c>
      <c r="AQ38" s="11">
        <f t="shared" si="13"/>
        <v>94.78158137390503</v>
      </c>
      <c r="AR38" s="18">
        <f>'насел.'!AR38+пільги!AR38+субсидії!AR38+'держ.бюджет'!AR38+'місц.-районн.бюджет'!AR38+областной!AR38+інші!AR38</f>
        <v>362.20000000000033</v>
      </c>
      <c r="AS38" s="18">
        <f>'насел.'!AS38+пільги!AS38+субсидії!AS38+'держ.бюджет'!AS38+'місц.-районн.бюджет'!AS38+областной!AS38+інші!AS38</f>
        <v>1525.3000000000006</v>
      </c>
    </row>
    <row r="39" spans="1:45" ht="22.5" customHeight="1">
      <c r="A39" s="13" t="s">
        <v>44</v>
      </c>
      <c r="B39" s="47" t="s">
        <v>127</v>
      </c>
      <c r="C39" s="18">
        <f>'насел.'!C39+пільги!C39+субсидії!C39+'держ.бюджет'!C39+'місц.-районн.бюджет'!C39+областной!C39+інші!C39</f>
        <v>-2134.4</v>
      </c>
      <c r="D39" s="14">
        <f>'насел.'!D39+пільги!D39+субсидії!D39+'держ.бюджет'!D39+'місц.-районн.бюджет'!D39+областной!D39+інші!D39</f>
        <v>1276.1000000000001</v>
      </c>
      <c r="E39" s="14">
        <f>'насел.'!E39+пільги!E39+субсидії!E39+'держ.бюджет'!E39+'місц.-районн.бюджет'!E39+областной!E39+інші!E39</f>
        <v>1679.5999999999997</v>
      </c>
      <c r="F39" s="11">
        <f t="shared" si="14"/>
        <v>131.6197790141838</v>
      </c>
      <c r="G39" s="14">
        <f>'насел.'!G39+пільги!G39+субсидії!G39+'держ.бюджет'!G39+'місц.-районн.бюджет'!G39+областной!G39+інші!G39</f>
        <v>1272.9</v>
      </c>
      <c r="H39" s="14">
        <f>'насел.'!H39+пільги!H39+субсидії!H39+'держ.бюджет'!H39+'місц.-районн.бюджет'!H39+областной!H39+інші!H39</f>
        <v>1184.4999999999998</v>
      </c>
      <c r="I39" s="11">
        <f t="shared" si="12"/>
        <v>93.0552282190274</v>
      </c>
      <c r="J39" s="14">
        <f>'насел.'!J39+пільги!J39+субсидії!J39+'держ.бюджет'!J39+'місц.-районн.бюджет'!J39+областной!J39+інші!J39</f>
        <v>1226.3000000000002</v>
      </c>
      <c r="K39" s="14">
        <f>'насел.'!AP39+пільги!AP39+субсидії!AP39+'держ.бюджет'!AP39+'місц.-районн.бюджет'!AP39+областной!AP39+інші!AP39</f>
        <v>12274.1</v>
      </c>
      <c r="L39" s="11">
        <f t="shared" si="15"/>
        <v>1000.9051618690368</v>
      </c>
      <c r="M39" s="11">
        <f>'насел.'!M39+пільги!M39+субсидії!M39+'держ.бюджет'!M39+'місц.-районн.бюджет'!M39+областной!M39+інші!M39</f>
        <v>3775.2999999999997</v>
      </c>
      <c r="N39" s="11">
        <f>'насел.'!N39+пільги!N39+субсидії!N39+'держ.бюджет'!N39+'місц.-районн.бюджет'!N39+областной!N39+інші!N39</f>
        <v>4644.899999999999</v>
      </c>
      <c r="O39" s="11">
        <f t="shared" si="0"/>
        <v>123.03393107832488</v>
      </c>
      <c r="P39" s="18">
        <f>'насел.'!P39+пільги!P39+субсидії!P39+'держ.бюджет'!P39+'місц.-районн.бюджет'!P39+областной!P39+інші!P39</f>
        <v>1251.6</v>
      </c>
      <c r="Q39" s="18">
        <f>'насел.'!Q39+пільги!Q39+субсидії!Q39+'держ.бюджет'!Q39+'місц.-районн.бюджет'!Q39+областной!Q39+інші!Q39</f>
        <v>1714.6000000000001</v>
      </c>
      <c r="R39" s="11">
        <f t="shared" si="16"/>
        <v>136.99264940875682</v>
      </c>
      <c r="S39" s="18">
        <f>'насел.'!S39+пільги!S39+субсидії!S39+'держ.бюджет'!S39+'місц.-районн.бюджет'!S39+областной!S39+інші!S39</f>
        <v>1185.6999999999998</v>
      </c>
      <c r="T39" s="18">
        <f>'насел.'!T39+пільги!T39+субсидії!T39+'держ.бюджет'!T39+'місц.-районн.бюджет'!T39+областной!T39+інші!T39</f>
        <v>1244</v>
      </c>
      <c r="U39" s="11">
        <f t="shared" si="17"/>
        <v>104.91692670996038</v>
      </c>
      <c r="V39" s="18">
        <f>'насел.'!V39+пільги!V39+субсидії!V39+'держ.бюджет'!V39+'місц.-районн.бюджет'!V39+областной!V39+інші!V39</f>
        <v>1276.7</v>
      </c>
      <c r="W39" s="18">
        <f>'насел.'!W39+пільги!W39+субсидії!W39+'держ.бюджет'!W39+'місц.-районн.бюджет'!W39+областной!W39+інші!W39</f>
        <v>516.6</v>
      </c>
      <c r="X39" s="11">
        <f t="shared" si="18"/>
        <v>40.46369546487037</v>
      </c>
      <c r="Y39" s="18">
        <f>'насел.'!Y39+пільги!Y39+субсидії!Y39+'держ.бюджет'!Y39+'місц.-районн.бюджет'!Y39+областной!Y39+інші!Y39</f>
        <v>3713.9999999999995</v>
      </c>
      <c r="Z39" s="18">
        <f>'насел.'!Z39+пільги!Z39+субсидії!Z39+'держ.бюджет'!Z39+'місц.-районн.бюджет'!Z39+областной!Z39+інші!Z39</f>
        <v>3475.1999999999994</v>
      </c>
      <c r="AA39" s="11">
        <f t="shared" si="19"/>
        <v>93.5702746365105</v>
      </c>
      <c r="AB39" s="18">
        <f>'насел.'!AB39+пільги!AB39+субсидії!AB39+'держ.бюджет'!AB39+'місц.-районн.бюджет'!AB39+областной!AB39+інші!AB39</f>
        <v>1264.1</v>
      </c>
      <c r="AC39" s="18">
        <f>'насел.'!AC39+пільги!AC39+субсидії!AC39+'держ.бюджет'!AC39+'місц.-районн.бюджет'!AC39+областной!AC39+інші!AC39</f>
        <v>713.6</v>
      </c>
      <c r="AD39" s="11">
        <f t="shared" si="20"/>
        <v>56.451230124199036</v>
      </c>
      <c r="AE39" s="18">
        <f>'насел.'!AE39+пільги!AE39+субсидії!AE39+'держ.бюджет'!AE39+'місц.-районн.бюджет'!AE39+областной!AE39+інші!AE39</f>
        <v>1307.2</v>
      </c>
      <c r="AF39" s="18">
        <f>'насел.'!AF39+пільги!AF39+субсидії!AF39+'держ.бюджет'!AF39+'місц.-районн.бюджет'!AF39+областной!AF39+інші!AF39</f>
        <v>654.6999999999999</v>
      </c>
      <c r="AG39" s="11">
        <f t="shared" si="21"/>
        <v>50.08414932680538</v>
      </c>
      <c r="AH39" s="18">
        <f>'насел.'!AH39+пільги!AH39+субсидії!AH39+'держ.бюджет'!AH39+'місц.-районн.бюджет'!AH39+областной!AH39+інші!AH39</f>
        <v>1584.7999999999997</v>
      </c>
      <c r="AI39" s="18">
        <f>'насел.'!AI39+пільги!AI39+субсидії!AI39+'держ.бюджет'!AI39+'місц.-районн.бюджет'!AI39+областной!AI39+інші!AI39</f>
        <v>1844.1999999999998</v>
      </c>
      <c r="AJ39" s="18">
        <f>'насел.'!AJ39+пільги!AJ39+субсидії!AJ39+'держ.бюджет'!AJ39+'місц.-районн.бюджет'!AJ39+областной!AJ39+інші!AJ39</f>
        <v>4156.099999999999</v>
      </c>
      <c r="AK39" s="18">
        <f>'насел.'!AK39+пільги!AK39+субсидії!AK39+'держ.бюджет'!AK39+'місц.-районн.бюджет'!AK39+областной!AK39+інші!AK39</f>
        <v>3212.5</v>
      </c>
      <c r="AL39" s="18">
        <f t="shared" si="10"/>
        <v>77.29602271360172</v>
      </c>
      <c r="AM39" s="18">
        <f>'насел.'!AM39+пільги!AM39+субсидії!AM39+'держ.бюджет'!AM39+'місц.-районн.бюджет'!AM39+областной!AM39+інші!AM39</f>
        <v>2136.4</v>
      </c>
      <c r="AN39" s="18">
        <f>'насел.'!AN39+пільги!AN39+субсидії!AN39+'держ.бюджет'!AN39+'місц.-районн.бюджет'!AN39+областной!AN39+інші!AN39</f>
        <v>941.4999999999999</v>
      </c>
      <c r="AO39" s="18">
        <f>'насел.'!AO39+пільги!AO39+субсидії!AO39+'держ.бюджет'!AO39+'місц.-районн.бюджет'!AO39+областной!AO39+інші!AO39</f>
        <v>13781.8</v>
      </c>
      <c r="AP39" s="18">
        <f>'насел.'!AP39+пільги!AP39+субсидії!AP39+'держ.бюджет'!AP39+'місц.-районн.бюджет'!AP39+областной!AP39+інші!AP39</f>
        <v>12274.1</v>
      </c>
      <c r="AQ39" s="11">
        <f t="shared" si="13"/>
        <v>89.0602098419655</v>
      </c>
      <c r="AR39" s="18">
        <f>'насел.'!AR39+пільги!AR39+субсидії!AR39+'держ.бюджет'!AR39+'місц.-районн.бюджет'!AR39+областной!AR39+інші!AR39</f>
        <v>1507.6999999999994</v>
      </c>
      <c r="AS39" s="18">
        <f>'насел.'!AS39+пільги!AS39+субсидії!AS39+'держ.бюджет'!AS39+'місц.-районн.бюджет'!AS39+областной!AS39+інші!AS39</f>
        <v>-626.7000000000008</v>
      </c>
    </row>
    <row r="40" spans="1:45" ht="27" customHeight="1">
      <c r="A40" s="13" t="s">
        <v>45</v>
      </c>
      <c r="B40" s="15" t="s">
        <v>119</v>
      </c>
      <c r="C40" s="18">
        <f>'насел.'!C40+пільги!C40+субсидії!C40+'держ.бюджет'!C40+'місц.-районн.бюджет'!C40+областной!C40+інші!C40</f>
        <v>1216.3999999999999</v>
      </c>
      <c r="D40" s="14">
        <f>'насел.'!D40+пільги!D40+субсидії!D40+'держ.бюджет'!D40+'місц.-районн.бюджет'!D40+областной!D40+інші!D40</f>
        <v>1321.9</v>
      </c>
      <c r="E40" s="14">
        <f>'насел.'!E40+пільги!E40+субсидії!E40+'держ.бюджет'!E40+'місц.-районн.бюджет'!E40+областной!E40+інші!E40</f>
        <v>2063.6</v>
      </c>
      <c r="F40" s="11">
        <f t="shared" si="14"/>
        <v>156.1086315152432</v>
      </c>
      <c r="G40" s="14">
        <f>'насел.'!G40+пільги!G40+субсидії!G40+'держ.бюджет'!G40+'місц.-районн.бюджет'!G40+областной!G40+інші!G40</f>
        <v>1292.2</v>
      </c>
      <c r="H40" s="14">
        <f>'насел.'!H40+пільги!H40+субсидії!H40+'держ.бюджет'!H40+'місц.-районн.бюджет'!H40+областной!H40+інші!H40</f>
        <v>689.9999999999999</v>
      </c>
      <c r="I40" s="11">
        <f>H40/G40*100</f>
        <v>53.39730691843367</v>
      </c>
      <c r="J40" s="14">
        <f>'насел.'!J40+пільги!J40+субсидії!J40+'держ.бюджет'!J40+'місц.-районн.бюджет'!J40+областной!J40+інші!J40</f>
        <v>1313.9</v>
      </c>
      <c r="K40" s="14">
        <f>'насел.'!AP40+пільги!AP40+субсидії!AP40+'держ.бюджет'!AP40+'місц.-районн.бюджет'!AP40+областной!AP40+інші!AP40</f>
        <v>12438</v>
      </c>
      <c r="L40" s="11">
        <f>K40/J40*100</f>
        <v>946.6473856457873</v>
      </c>
      <c r="M40" s="11">
        <f>'насел.'!M40+пільги!M40+субсидії!M40+'держ.бюджет'!M40+'місц.-районн.бюджет'!M40+областной!M40+інші!M40</f>
        <v>3928</v>
      </c>
      <c r="N40" s="11">
        <f>'насел.'!N40+пільги!N40+субсидії!N40+'держ.бюджет'!N40+'місц.-районн.бюджет'!N40+областной!N40+інші!N40</f>
        <v>3571.7</v>
      </c>
      <c r="O40" s="11">
        <f t="shared" si="0"/>
        <v>90.92922606924643</v>
      </c>
      <c r="P40" s="18">
        <f>'насел.'!P40+пільги!P40+субсидії!P40+'держ.бюджет'!P40+'місц.-районн.бюджет'!P40+областной!P40+інші!P40</f>
        <v>1359.6</v>
      </c>
      <c r="Q40" s="18">
        <f>'насел.'!Q40+пільги!Q40+субсидії!Q40+'держ.бюджет'!Q40+'місц.-районн.бюджет'!Q40+областной!Q40+інші!Q40</f>
        <v>2227</v>
      </c>
      <c r="R40" s="11">
        <f>Q40/P40*100</f>
        <v>163.79817593409825</v>
      </c>
      <c r="S40" s="18">
        <f>'насел.'!S40+пільги!S40+субсидії!S40+'держ.бюджет'!S40+'місц.-районн.бюджет'!S40+областной!S40+інші!S40</f>
        <v>1378.9</v>
      </c>
      <c r="T40" s="18">
        <f>'насел.'!T40+пільги!T40+субсидії!T40+'держ.бюджет'!T40+'місц.-районн.бюджет'!T40+областной!T40+інші!T40</f>
        <v>810.5000000000001</v>
      </c>
      <c r="U40" s="11">
        <f>T40/S40*100</f>
        <v>58.77873667416057</v>
      </c>
      <c r="V40" s="18">
        <f>'насел.'!V40+пільги!V40+субсидії!V40+'держ.бюджет'!V40+'місц.-районн.бюджет'!V40+областной!V40+інші!V40</f>
        <v>1444.1000000000001</v>
      </c>
      <c r="W40" s="18">
        <f>'насел.'!W40+пільги!W40+субсидії!W40+'держ.бюджет'!W40+'місц.-районн.бюджет'!W40+областной!W40+інші!W40</f>
        <v>835.3000000000001</v>
      </c>
      <c r="X40" s="11">
        <f>W40/V40*100</f>
        <v>57.842254691503356</v>
      </c>
      <c r="Y40" s="18">
        <f>'насел.'!Y40+пільги!Y40+субсидії!Y40+'держ.бюджет'!Y40+'місц.-районн.бюджет'!Y40+областной!Y40+інші!Y40</f>
        <v>4182.599999999999</v>
      </c>
      <c r="Z40" s="18">
        <f>'насел.'!Z40+пільги!Z40+субсидії!Z40+'держ.бюджет'!Z40+'місц.-районн.бюджет'!Z40+областной!Z40+інші!Z40</f>
        <v>3872.7999999999997</v>
      </c>
      <c r="AA40" s="11">
        <f t="shared" si="19"/>
        <v>92.59312389422848</v>
      </c>
      <c r="AB40" s="18">
        <f>'насел.'!AB40+пільги!AB40+субсидії!AB40+'держ.бюджет'!AB40+'місц.-районн.бюджет'!AB40+областной!AB40+інші!AB40</f>
        <v>1432.9</v>
      </c>
      <c r="AC40" s="18">
        <f>'насел.'!AC40+пільги!AC40+субсидії!AC40+'держ.бюджет'!AC40+'місц.-районн.бюджет'!AC40+областной!AC40+інші!AC40</f>
        <v>1078.1999999999998</v>
      </c>
      <c r="AD40" s="11">
        <f>AC40/AB40*100</f>
        <v>75.24600460604367</v>
      </c>
      <c r="AE40" s="18">
        <f>'насел.'!AE40+пільги!AE40+субсидії!AE40+'держ.бюджет'!AE40+'місц.-районн.бюджет'!AE40+областной!AE40+інші!AE40</f>
        <v>1420.7</v>
      </c>
      <c r="AF40" s="18">
        <f>'насел.'!AF40+пільги!AF40+субсидії!AF40+'держ.бюджет'!AF40+'місц.-районн.бюджет'!AF40+областной!AF40+інші!AF40</f>
        <v>1054.8</v>
      </c>
      <c r="AG40" s="11">
        <f>AF40/AE40*100</f>
        <v>74.24509044837052</v>
      </c>
      <c r="AH40" s="18">
        <f>'насел.'!AH40+пільги!AH40+субсидії!AH40+'держ.бюджет'!AH40+'місц.-районн.бюджет'!AH40+областной!AH40+інші!AH40</f>
        <v>1432</v>
      </c>
      <c r="AI40" s="18">
        <f>'насел.'!AI40+пільги!AI40+субсидії!AI40+'держ.бюджет'!AI40+'місц.-районн.бюджет'!AI40+областной!AI40+інші!AI40</f>
        <v>1856.4</v>
      </c>
      <c r="AJ40" s="18">
        <f>'насел.'!AJ40+пільги!AJ40+субсидії!AJ40+'держ.бюджет'!AJ40+'місц.-районн.бюджет'!AJ40+областной!AJ40+інші!AJ40</f>
        <v>4285.6</v>
      </c>
      <c r="AK40" s="18">
        <f>'насел.'!AK40+пільги!AK40+субсидії!AK40+'держ.бюджет'!AK40+'місц.-районн.бюджет'!AK40+областной!AK40+інші!AK40</f>
        <v>3989.4</v>
      </c>
      <c r="AL40" s="18">
        <f t="shared" si="10"/>
        <v>93.08848235952958</v>
      </c>
      <c r="AM40" s="18">
        <f>'насел.'!AM40+пільги!AM40+субсидії!AM40+'держ.бюджет'!AM40+'місц.-районн.бюджет'!AM40+областной!AM40+інші!AM40</f>
        <v>1387.5000000000002</v>
      </c>
      <c r="AN40" s="18">
        <f>'насел.'!AN40+пільги!AN40+субсидії!AN40+'держ.бюджет'!AN40+'місц.-районн.бюджет'!AN40+областной!AN40+інші!AN40</f>
        <v>1004.0999999999999</v>
      </c>
      <c r="AO40" s="18">
        <f>'насел.'!AO40+пільги!AO40+субсидії!AO40+'держ.бюджет'!AO40+'місц.-районн.бюджет'!AO40+областной!AO40+інші!AO40</f>
        <v>13783.7</v>
      </c>
      <c r="AP40" s="18">
        <f>'насел.'!AP40+пільги!AP40+субсидії!AP40+'держ.бюджет'!AP40+'місц.-районн.бюджет'!AP40+областной!AP40+інші!AP40</f>
        <v>12438</v>
      </c>
      <c r="AQ40" s="11">
        <f>AP40/AO40*100</f>
        <v>90.23701908776309</v>
      </c>
      <c r="AR40" s="18">
        <f>'насел.'!AR40+пільги!AR40+субсидії!AR40+'держ.бюджет'!AR40+'місц.-районн.бюджет'!AR40+областной!AR40+інші!AR40</f>
        <v>1345.7000000000005</v>
      </c>
      <c r="AS40" s="18">
        <f>'насел.'!AS40+пільги!AS40+субсидії!AS40+'держ.бюджет'!AS40+'місц.-районн.бюджет'!AS40+областной!AS40+інші!AS40</f>
        <v>2562.1000000000004</v>
      </c>
    </row>
    <row r="41" spans="1:49" s="12" customFormat="1" ht="27" customHeight="1">
      <c r="A41" s="13" t="s">
        <v>46</v>
      </c>
      <c r="B41" s="16" t="s">
        <v>120</v>
      </c>
      <c r="C41" s="18">
        <f>'насел.'!C41+пільги!C41+субсидії!C41+'держ.бюджет'!C41+'місц.-районн.бюджет'!C41+областной!C41+інші!C41</f>
        <v>596576.8</v>
      </c>
      <c r="D41" s="18">
        <f>SUM(D42:D42)</f>
        <v>103976.1</v>
      </c>
      <c r="E41" s="18">
        <f>SUM(E42:E42)</f>
        <v>84016.50000000001</v>
      </c>
      <c r="F41" s="11">
        <f t="shared" si="14"/>
        <v>80.80366545773501</v>
      </c>
      <c r="G41" s="18">
        <f aca="true" t="shared" si="22" ref="G41:U41">SUM(G42:G42)</f>
        <v>104486.9</v>
      </c>
      <c r="H41" s="18">
        <f t="shared" si="22"/>
        <v>66607.1</v>
      </c>
      <c r="I41" s="18">
        <f t="shared" si="22"/>
        <v>63.74684290566569</v>
      </c>
      <c r="J41" s="18">
        <f t="shared" si="22"/>
        <v>104460</v>
      </c>
      <c r="K41" s="18">
        <f t="shared" si="22"/>
        <v>94920.8</v>
      </c>
      <c r="L41" s="18">
        <f t="shared" si="22"/>
        <v>90.86808347692897</v>
      </c>
      <c r="M41" s="11">
        <f>'насел.'!M41+пільги!M41+субсидії!M41+'держ.бюджет'!M41+'місц.-районн.бюджет'!M41+областной!M41+інші!M41</f>
        <v>312923</v>
      </c>
      <c r="N41" s="11">
        <f>'насел.'!N41+пільги!N41+субсидії!N41+'держ.бюджет'!N41+'місц.-районн.бюджет'!N41+областной!N41+інші!N41</f>
        <v>245544.40000000002</v>
      </c>
      <c r="O41" s="11">
        <f t="shared" si="0"/>
        <v>78.46799372369561</v>
      </c>
      <c r="P41" s="18">
        <f>'насел.'!P41+пільги!P41+субсидії!P41+'держ.бюджет'!P41+'місц.-районн.бюджет'!P41+областной!P41+інші!P41</f>
        <v>102004.3</v>
      </c>
      <c r="Q41" s="18">
        <f>'насел.'!Q41+пільги!Q41+субсидії!Q41+'держ.бюджет'!Q41+'місц.-районн.бюджет'!Q41+областной!Q41+інші!Q41</f>
        <v>85231</v>
      </c>
      <c r="R41" s="18">
        <f t="shared" si="22"/>
        <v>83.55628145088001</v>
      </c>
      <c r="S41" s="18">
        <f>'насел.'!S41+пільги!S41+субсидії!S41+'держ.бюджет'!S41+'місц.-районн.бюджет'!S41+областной!S41+інші!S41</f>
        <v>97219.6</v>
      </c>
      <c r="T41" s="18">
        <f>'насел.'!T41+пільги!T41+субсидії!T41+'держ.бюджет'!T41+'місц.-районн.бюджет'!T41+областной!T41+інші!T41</f>
        <v>97001.40000000001</v>
      </c>
      <c r="U41" s="18">
        <f t="shared" si="22"/>
        <v>99.77555966080914</v>
      </c>
      <c r="V41" s="18">
        <f>'насел.'!V41+пільги!V41+субсидії!V41+'держ.бюджет'!V41+'місц.-районн.бюджет'!V41+областной!V41+інші!V41</f>
        <v>96364.4</v>
      </c>
      <c r="W41" s="18">
        <f>'насел.'!W41+пільги!W41+субсидії!W41+'держ.бюджет'!W41+'місц.-районн.бюджет'!W41+областной!W41+інші!W41</f>
        <v>66059.9</v>
      </c>
      <c r="X41" s="18">
        <f>SUM(X42:X42)</f>
        <v>68.55218317137864</v>
      </c>
      <c r="Y41" s="18">
        <f>'насел.'!Y41+пільги!Y41+субсидії!Y41+'держ.бюджет'!Y41+'місц.-районн.бюджет'!Y41+областной!Y41+інші!Y41</f>
        <v>295588.30000000005</v>
      </c>
      <c r="Z41" s="18">
        <f>'насел.'!Z41+пільги!Z41+субсидії!Z41+'держ.бюджет'!Z41+'місц.-районн.бюджет'!Z41+областной!Z41+інші!Z41</f>
        <v>248292.30000000005</v>
      </c>
      <c r="AA41" s="11">
        <f t="shared" si="19"/>
        <v>83.9993666867058</v>
      </c>
      <c r="AB41" s="18">
        <f>'насел.'!AB41+пільги!AB41+субсидії!AB41+'держ.бюджет'!AB41+'місц.-районн.бюджет'!AB41+областной!AB41+інші!AB41</f>
        <v>95362.4</v>
      </c>
      <c r="AC41" s="18">
        <f>'насел.'!AC41+пільги!AC41+субсидії!AC41+'держ.бюджет'!AC41+'місц.-районн.бюджет'!AC41+областной!AC41+інші!AC41</f>
        <v>79857.6</v>
      </c>
      <c r="AD41" s="18">
        <f>SUM(AD42:AD42)</f>
        <v>83.74118101054505</v>
      </c>
      <c r="AE41" s="18">
        <f>'насел.'!AE41+пільги!AE41+субсидії!AE41+'держ.бюджет'!AE41+'місц.-районн.бюджет'!AE41+областной!AE41+інші!AE41</f>
        <v>101248.4</v>
      </c>
      <c r="AF41" s="18">
        <f>'насел.'!AF41+пільги!AF41+субсидії!AF41+'держ.бюджет'!AF41+'місц.-районн.бюджет'!AF41+областной!AF41+інші!AF41</f>
        <v>98386.80000000002</v>
      </c>
      <c r="AG41" s="18">
        <f>SUM(AG42:AG42)</f>
        <v>97.17368373228616</v>
      </c>
      <c r="AH41" s="18">
        <f>'насел.'!AH41+пільги!AH41+субсидії!AH41+'держ.бюджет'!AH41+'місц.-районн.бюджет'!AH41+областной!AH41+інші!AH41</f>
        <v>107448.2</v>
      </c>
      <c r="AI41" s="18">
        <f>'насел.'!AI41+пільги!AI41+субсидії!AI41+'держ.бюджет'!AI41+'місц.-районн.бюджет'!AI41+областной!AI41+інші!AI41</f>
        <v>97309.1</v>
      </c>
      <c r="AJ41" s="18">
        <f>'насел.'!AJ41+пільги!AJ41+субсидії!AJ41+'держ.бюджет'!AJ41+'місц.-районн.бюджет'!AJ41+областной!AJ41+інші!AJ41</f>
        <v>304059</v>
      </c>
      <c r="AK41" s="18">
        <f>'насел.'!AK41+пільги!AK41+субсидії!AK41+'держ.бюджет'!AK41+'місц.-районн.бюджет'!AK41+областной!AK41+інші!AK41</f>
        <v>275553.5</v>
      </c>
      <c r="AL41" s="18">
        <f t="shared" si="10"/>
        <v>90.6250102776106</v>
      </c>
      <c r="AM41" s="18">
        <f>'насел.'!AM41+пільги!AM41+субсидії!AM41+'держ.бюджет'!AM41+'місц.-районн.бюджет'!AM41+областной!AM41+інші!AM41</f>
        <v>122771.4</v>
      </c>
      <c r="AN41" s="18">
        <f>'насел.'!AN41+пільги!AN41+субсидії!AN41+'держ.бюджет'!AN41+'місц.-районн.бюджет'!AN41+областной!AN41+інші!AN41</f>
        <v>84035.4</v>
      </c>
      <c r="AO41" s="18">
        <f>'насел.'!AO41+пільги!AO41+субсидії!AO41+'держ.бюджет'!AO41+'місц.-районн.бюджет'!AO41+областной!AO41+інші!AO41</f>
        <v>1035341.7000000002</v>
      </c>
      <c r="AP41" s="18">
        <f>'насел.'!AP41+пільги!AP41+субсидії!AP41+'держ.бюджет'!AP41+'місц.-районн.бюджет'!AP41+областной!AP41+інші!AP41</f>
        <v>853425.5999999999</v>
      </c>
      <c r="AQ41" s="11">
        <f>AP41/AO41*100</f>
        <v>82.42936607305586</v>
      </c>
      <c r="AR41" s="18">
        <f>SUM(AR42:AR42)</f>
        <v>181916.10000000033</v>
      </c>
      <c r="AS41" s="18">
        <f>SUM(AS42:AS42)</f>
        <v>778492.9</v>
      </c>
      <c r="AT41" s="48">
        <f>M41+Y41+AB41+AE41+AH41</f>
        <v>912570.3</v>
      </c>
      <c r="AU41" s="48">
        <f>N41+Z41+AC41+AF41+AI41</f>
        <v>769390.2000000001</v>
      </c>
      <c r="AV41" s="48">
        <f>AT41-AU41</f>
        <v>143180.09999999998</v>
      </c>
      <c r="AW41" s="48">
        <f>C41+AO41-AP41</f>
        <v>778492.9000000004</v>
      </c>
    </row>
    <row r="42" spans="1:47" s="12" customFormat="1" ht="29.25" customHeight="1">
      <c r="A42" s="8"/>
      <c r="B42" s="47" t="s">
        <v>121</v>
      </c>
      <c r="C42" s="18">
        <f>'насел.'!C42+пільги!C42+субсидії!C42+'держ.бюджет'!C42+'місц.-районн.бюджет'!C42+областной!C42+інші!C42</f>
        <v>596576.8</v>
      </c>
      <c r="D42" s="14">
        <f>'насел.'!D42+пільги!D42+субсидії!D42+'держ.бюджет'!D42+'місц.-районн.бюджет'!D42+областной!D42+інші!D42</f>
        <v>103976.1</v>
      </c>
      <c r="E42" s="14">
        <f>'насел.'!E42+пільги!E42+субсидії!E42+'держ.бюджет'!E42+'місц.-районн.бюджет'!E42+областной!E42+інші!E42</f>
        <v>84016.50000000001</v>
      </c>
      <c r="F42" s="11">
        <f t="shared" si="14"/>
        <v>80.80366545773501</v>
      </c>
      <c r="G42" s="14">
        <f>'насел.'!G42+пільги!G42+субсидії!G42+'держ.бюджет'!G42+'місц.-районн.бюджет'!G42+областной!G42+інші!G42</f>
        <v>104486.9</v>
      </c>
      <c r="H42" s="14">
        <f>'насел.'!H42+пільги!H42+субсидії!H42+'держ.бюджет'!H42+'місц.-районн.бюджет'!H42+областной!H42+інші!H42</f>
        <v>66607.1</v>
      </c>
      <c r="I42" s="11">
        <f>H42/G42*100</f>
        <v>63.74684290566569</v>
      </c>
      <c r="J42" s="14">
        <f>'насел.'!J42+пільги!J42+субсидії!J42+'держ.бюджет'!J42+'місц.-районн.бюджет'!J42+областной!J42+інші!J42</f>
        <v>104460</v>
      </c>
      <c r="K42" s="14">
        <f>'насел.'!K42+пільги!K42+субсидії!K42+'держ.бюджет'!K42+'місц.-районн.бюджет'!K42+областной!K42+інші!K42</f>
        <v>94920.8</v>
      </c>
      <c r="L42" s="11">
        <f>K42/J42*100</f>
        <v>90.86808347692897</v>
      </c>
      <c r="M42" s="11">
        <f>'насел.'!M42+пільги!M42+субсидії!M42+'держ.бюджет'!M42+'місц.-районн.бюджет'!M42+областной!M42+інші!M42</f>
        <v>312923</v>
      </c>
      <c r="N42" s="11">
        <f>'насел.'!N42+пільги!N42+субсидії!N42+'держ.бюджет'!N42+'місц.-районн.бюджет'!N42+областной!N42+інші!N42</f>
        <v>245544.40000000002</v>
      </c>
      <c r="O42" s="11">
        <f t="shared" si="0"/>
        <v>78.46799372369561</v>
      </c>
      <c r="P42" s="18">
        <f>'насел.'!P42+пільги!P42+субсидії!P42+'держ.бюджет'!P42+'місц.-районн.бюджет'!P42+областной!P42+інші!P42</f>
        <v>102004.3</v>
      </c>
      <c r="Q42" s="18">
        <f>'насел.'!Q42+пільги!Q42+субсидії!Q42+'держ.бюджет'!Q42+'місц.-районн.бюджет'!Q42+областной!Q42+інші!Q42</f>
        <v>85231</v>
      </c>
      <c r="R42" s="11">
        <f>Q42/P42*100</f>
        <v>83.55628145088001</v>
      </c>
      <c r="S42" s="18">
        <f>'насел.'!S42+пільги!S42+субсидії!S42+'держ.бюджет'!S42+'місц.-районн.бюджет'!S42+областной!S42+інші!S42</f>
        <v>97219.6</v>
      </c>
      <c r="T42" s="18">
        <f>'насел.'!T42+пільги!T42+субсидії!T42+'держ.бюджет'!T42+'місц.-районн.бюджет'!T42+областной!T42+інші!T42</f>
        <v>97001.40000000001</v>
      </c>
      <c r="U42" s="11">
        <f>T42/S42*100</f>
        <v>99.77555966080914</v>
      </c>
      <c r="V42" s="18">
        <f>'насел.'!V42+пільги!V42+субсидії!V42+'держ.бюджет'!V42+'місц.-районн.бюджет'!V42+областной!V42+інші!V42</f>
        <v>96364.4</v>
      </c>
      <c r="W42" s="18">
        <f>'насел.'!W42+пільги!W42+субсидії!W42+'держ.бюджет'!W42+'місц.-районн.бюджет'!W42+областной!W42+інші!W42</f>
        <v>66059.9</v>
      </c>
      <c r="X42" s="11">
        <f>W42/V42*100</f>
        <v>68.55218317137864</v>
      </c>
      <c r="Y42" s="18">
        <f>'насел.'!Y42+пільги!Y42+субсидії!Y42+'держ.бюджет'!Y42+'місц.-районн.бюджет'!Y42+областной!Y42+інші!Y42</f>
        <v>295588.30000000005</v>
      </c>
      <c r="Z42" s="18">
        <f>'насел.'!Z42+пільги!Z42+субсидії!Z42+'держ.бюджет'!Z42+'місц.-районн.бюджет'!Z42+областной!Z42+інші!Z42</f>
        <v>248292.30000000005</v>
      </c>
      <c r="AA42" s="11">
        <f t="shared" si="19"/>
        <v>83.9993666867058</v>
      </c>
      <c r="AB42" s="18">
        <f>'насел.'!AB42+пільги!AB42+субсидії!AB42+'держ.бюджет'!AB42+'місц.-районн.бюджет'!AB42+областной!AB42+інші!AB42</f>
        <v>95362.4</v>
      </c>
      <c r="AC42" s="18">
        <f>'насел.'!AC42+пільги!AC42+субсидії!AC42+'держ.бюджет'!AC42+'місц.-районн.бюджет'!AC42+областной!AC42+інші!AC42</f>
        <v>79857.6</v>
      </c>
      <c r="AD42" s="11">
        <f>AC42/AB42*100</f>
        <v>83.74118101054505</v>
      </c>
      <c r="AE42" s="18">
        <f>'насел.'!AE42+пільги!AE42+субсидії!AE42+'держ.бюджет'!AE42+'місц.-районн.бюджет'!AE42+областной!AE42+інші!AE42</f>
        <v>101248.4</v>
      </c>
      <c r="AF42" s="18">
        <f>'насел.'!AF42+пільги!AF42+субсидії!AF42+'держ.бюджет'!AF42+'місц.-районн.бюджет'!AF42+областной!AF42+інші!AF42</f>
        <v>98386.80000000002</v>
      </c>
      <c r="AG42" s="11">
        <f>AF42/AE42*100</f>
        <v>97.17368373228616</v>
      </c>
      <c r="AH42" s="18">
        <f>'насел.'!AH42+пільги!AH42+субсидії!AH42+'держ.бюджет'!AH42+'місц.-районн.бюджет'!AH42+областной!AH42+інші!AH42</f>
        <v>107448.2</v>
      </c>
      <c r="AI42" s="18">
        <f>'насел.'!AI42+пільги!AI42+субсидії!AI42+'держ.бюджет'!AI42+'місц.-районн.бюджет'!AI42+областной!AI42+інші!AI42</f>
        <v>97309.1</v>
      </c>
      <c r="AJ42" s="18">
        <f>'насел.'!AJ42+пільги!AJ42+субсидії!AJ42+'держ.бюджет'!AJ42+'місц.-районн.бюджет'!AJ42+областной!AJ42+інші!AJ42</f>
        <v>304059</v>
      </c>
      <c r="AK42" s="18">
        <f>'насел.'!AK42+пільги!AK42+субсидії!AK42+'держ.бюджет'!AK42+'місц.-районн.бюджет'!AK42+областной!AK42+інші!AK42</f>
        <v>275553.5</v>
      </c>
      <c r="AL42" s="18">
        <f t="shared" si="10"/>
        <v>90.6250102776106</v>
      </c>
      <c r="AM42" s="18">
        <f>'насел.'!AM42+пільги!AM42+субсидії!AM42+'держ.бюджет'!AM42+'місц.-районн.бюджет'!AM42+областной!AM42+інші!AM42</f>
        <v>122771.4</v>
      </c>
      <c r="AN42" s="18">
        <f>'насел.'!AN42+пільги!AN42+субсидії!AN42+'держ.бюджет'!AN42+'місц.-районн.бюджет'!AN42+областной!AN42+інші!AN42</f>
        <v>84035.4</v>
      </c>
      <c r="AO42" s="18">
        <f>'насел.'!AO42+пільги!AO42+субсидії!AO42+'держ.бюджет'!AO42+'місц.-районн.бюджет'!AO42+областной!AO42+інші!AO42</f>
        <v>1035341.7000000002</v>
      </c>
      <c r="AP42" s="18">
        <f>'насел.'!AP42+пільги!AP42+субсидії!AP42+'держ.бюджет'!AP42+'місц.-районн.бюджет'!AP42+областной!AP42+інші!AP42</f>
        <v>853425.5999999999</v>
      </c>
      <c r="AQ42" s="11">
        <f>AP42/AO42*100</f>
        <v>82.42936607305586</v>
      </c>
      <c r="AR42" s="11">
        <f>AO42-AP42</f>
        <v>181916.10000000033</v>
      </c>
      <c r="AS42" s="14">
        <f>'насел.'!AS42+пільги!AS42+субсидії!AS42+'держ.бюджет'!AS42+'місц.-районн.бюджет'!AS42+областной!AS42+інші!AS42</f>
        <v>778492.9</v>
      </c>
      <c r="AT42" s="48"/>
      <c r="AU42" s="48"/>
    </row>
    <row r="43" spans="1:49" ht="27" customHeight="1">
      <c r="A43" s="13"/>
      <c r="B43" s="16" t="s">
        <v>122</v>
      </c>
      <c r="C43" s="18">
        <f>'насел.'!C43+пільги!C43+субсидії!C43+'держ.бюджет'!C43+'місц.-районн.бюджет'!C43+областной!C43+інші!C43</f>
        <v>607677.4</v>
      </c>
      <c r="D43" s="18">
        <f>'насел.'!D43+пільги!D43+субсидії!D43+'держ.бюджет'!D43+'місц.-районн.бюджет'!D43+областной!D43+інші!D43</f>
        <v>126622.6</v>
      </c>
      <c r="E43" s="18">
        <f>'насел.'!E43+пільги!E43+субсидії!E43+'держ.бюджет'!E43+'місц.-районн.бюджет'!E43+областной!E43+інші!E43</f>
        <v>111322.8</v>
      </c>
      <c r="F43" s="18">
        <f>'насел.'!F43+пільги!F43+субсидії!F43+'держ.бюджет'!F43+'місц.-районн.бюджет'!F43+областной!F43+інші!F43</f>
        <v>497.142656916246</v>
      </c>
      <c r="G43" s="18">
        <f>'насел.'!G43+пільги!G43+субсидії!G43+'держ.бюджет'!G43+'місц.-районн.бюджет'!G43+областной!G43+інші!G43</f>
        <v>127286.30000000002</v>
      </c>
      <c r="H43" s="18">
        <f>'насел.'!H43+пільги!H43+субсидії!H43+'держ.бюджет'!H43+'місц.-районн.бюджет'!H43+областной!H43+інші!H43</f>
        <v>82290.29999999999</v>
      </c>
      <c r="I43" s="18">
        <f>'насел.'!I43+пільги!I43+субсидії!I43+'держ.бюджет'!I43+'місц.-районн.бюджет'!I43+областной!I43+інші!I43</f>
        <v>408.9829550173903</v>
      </c>
      <c r="J43" s="18">
        <f>'насел.'!J43+пільги!J43+субсидії!J43+'держ.бюджет'!J43+'місц.-районн.бюджет'!J43+областной!J43+інші!J43</f>
        <v>128590.8</v>
      </c>
      <c r="K43" s="18">
        <f>'насел.'!K43+пільги!K43+субсидії!K43+'держ.бюджет'!K43+'місц.-районн.бюджет'!K43+областной!K43+інші!K43</f>
        <v>126480.6</v>
      </c>
      <c r="L43" s="18">
        <f>'насел.'!L43+пільги!L43+субсидії!L43+'держ.бюджет'!L43+'місц.-районн.бюджет'!L43+областной!L43+інші!L43</f>
        <v>700.2430616340478</v>
      </c>
      <c r="M43" s="18">
        <f>'насел.'!M43+пільги!M43+субсидії!M43+'держ.бюджет'!M43+'місц.-районн.бюджет'!M43+областной!M43+інші!M43</f>
        <v>382499.69999999995</v>
      </c>
      <c r="N43" s="18">
        <f>'насел.'!N43+пільги!N43+субсидії!N43+'держ.бюджет'!N43+'місц.-районн.бюджет'!N43+областной!N43+інші!N43</f>
        <v>320093.69999999995</v>
      </c>
      <c r="O43" s="11">
        <f t="shared" si="0"/>
        <v>83.68469308603379</v>
      </c>
      <c r="P43" s="18">
        <f>'насел.'!P43+пільги!P43+субсидії!P43+'держ.бюджет'!P43+'місц.-районн.бюджет'!P43+областной!P43+інші!P43</f>
        <v>125311.2</v>
      </c>
      <c r="Q43" s="18">
        <f>'насел.'!Q43+пільги!Q43+субсидії!Q43+'держ.бюджет'!Q43+'місц.-районн.бюджет'!Q43+областной!Q43+інші!Q43</f>
        <v>113719.40000000001</v>
      </c>
      <c r="R43" s="11">
        <f>Q43/P43*100</f>
        <v>90.7495898211812</v>
      </c>
      <c r="S43" s="18">
        <f>'насел.'!S43+пільги!S43+субсидії!S43+'держ.бюджет'!S43+'місц.-районн.бюджет'!S43+областной!S43+інші!S43</f>
        <v>116808.2</v>
      </c>
      <c r="T43" s="18">
        <f>'насел.'!T43+пільги!T43+субсидії!T43+'держ.бюджет'!T43+'місц.-районн.бюджет'!T43+областной!T43+інші!T43</f>
        <v>111926.6</v>
      </c>
      <c r="U43" s="11">
        <f>T43/S43*100</f>
        <v>95.82084134504257</v>
      </c>
      <c r="V43" s="18">
        <f>'насел.'!V43+пільги!V43+субсидії!V43+'держ.бюджет'!V43+'місц.-районн.бюджет'!V43+областной!V43+інші!V43</f>
        <v>121770.8</v>
      </c>
      <c r="W43" s="18">
        <f>'насел.'!W43+пільги!W43+субсидії!W43+'держ.бюджет'!W43+'місц.-районн.бюджет'!W43+областной!W43+інші!W43</f>
        <v>85389</v>
      </c>
      <c r="X43" s="11">
        <f>W43/V43*100</f>
        <v>70.12272236036883</v>
      </c>
      <c r="Y43" s="18">
        <f>'насел.'!Y43+пільги!Y43+субсидії!Y43+'держ.бюджет'!Y43+'місц.-районн.бюджет'!Y43+областной!Y43+інші!Y43</f>
        <v>363890.19999999995</v>
      </c>
      <c r="Z43" s="18">
        <f>'насел.'!Z43+пільги!Z43+субсидії!Z43+'держ.бюджет'!Z43+'місц.-районн.бюджет'!Z43+областной!Z43+інші!Z43</f>
        <v>311035</v>
      </c>
      <c r="AA43" s="11">
        <f t="shared" si="19"/>
        <v>85.47495920472716</v>
      </c>
      <c r="AB43" s="18">
        <f>'насел.'!AB43+пільги!AB43+субсидії!AB43+'держ.бюджет'!AB43+'місц.-районн.бюджет'!AB43+областной!AB43+інші!AB43</f>
        <v>119519.53</v>
      </c>
      <c r="AC43" s="18">
        <f>'насел.'!AC43+пільги!AC43+субсидії!AC43+'держ.бюджет'!AC43+'місц.-районн.бюджет'!AC43+областной!AC43+інші!AC43</f>
        <v>97734.56</v>
      </c>
      <c r="AD43" s="11">
        <f>AC43/AB43*100</f>
        <v>81.77287845760436</v>
      </c>
      <c r="AE43" s="18">
        <f>'насел.'!AE43+пільги!AE43+субсидії!AE43+'держ.бюджет'!AE43+'місц.-районн.бюджет'!AE43+областной!AE43+інші!AE43</f>
        <v>134398.5</v>
      </c>
      <c r="AF43" s="18">
        <f>'насел.'!AF43+пільги!AF43+субсидії!AF43+'держ.бюджет'!AF43+'місц.-районн.бюджет'!AF43+областной!AF43+інші!AF43</f>
        <v>117366.90000000001</v>
      </c>
      <c r="AG43" s="11">
        <f>AF43/AE43*100</f>
        <v>87.32753713769128</v>
      </c>
      <c r="AH43" s="18">
        <f>'насел.'!AH43+пільги!AH43+субсидії!AH43+'держ.бюджет'!AH43+'місц.-районн.бюджет'!AH43+областной!AH43+інші!AH43</f>
        <v>136171.78</v>
      </c>
      <c r="AI43" s="18">
        <f>'насел.'!AI43+пільги!AI43+субсидії!AI43+'держ.бюджет'!AI43+'місц.-районн.бюджет'!AI43+областной!AI43+інші!AI43</f>
        <v>124911.1</v>
      </c>
      <c r="AJ43" s="18">
        <f>'насел.'!AJ43+пільги!AJ43+субсидії!AJ43+'держ.бюджет'!AJ43+'місц.-районн.бюджет'!AJ43+областной!AJ43+інші!AJ43</f>
        <v>390089.80999999994</v>
      </c>
      <c r="AK43" s="18">
        <f>'насел.'!AK43+пільги!AK43+субсидії!AK43+'держ.бюджет'!AK43+'місц.-районн.бюджет'!AK43+областной!AK43+інші!AK43</f>
        <v>340012.55999999994</v>
      </c>
      <c r="AL43" s="18">
        <f t="shared" si="10"/>
        <v>87.16263570176314</v>
      </c>
      <c r="AM43" s="18">
        <f>'насел.'!AM43+пільги!AM43+субсидії!AM43+'держ.бюджет'!AM43+'місц.-районн.бюджет'!AM43+областной!AM43+інші!AM43</f>
        <v>149175.3</v>
      </c>
      <c r="AN43" s="18">
        <f>'насел.'!AN43+пільги!AN43+субсидії!AN43+'держ.бюджет'!AN43+'місц.-районн.бюджет'!AN43+областной!AN43+інші!AN43</f>
        <v>105728.29999999999</v>
      </c>
      <c r="AO43" s="18">
        <f>'насел.'!AO43+пільги!AO43+субсидії!AO43+'держ.бюджет'!AO43+'місц.-районн.бюджет'!AO43+областной!AO43+інші!AO43</f>
        <v>1285655.01</v>
      </c>
      <c r="AP43" s="18">
        <f>'насел.'!AP43+пільги!AP43+субсидії!AP43+'держ.бюджет'!AP43+'місц.-районн.бюджет'!AP43+областной!AP43+інші!AP43</f>
        <v>1076869.5599999998</v>
      </c>
      <c r="AQ43" s="11">
        <f>AP43/AO43*100</f>
        <v>83.76038296618934</v>
      </c>
      <c r="AR43" s="18">
        <f>'насел.'!AR43+пільги!AR43+субсидії!AR43+'держ.бюджет'!AR43+'місц.-районн.бюджет'!AR43+областной!AR43+інші!AR43</f>
        <v>208785.4500000001</v>
      </c>
      <c r="AS43" s="18">
        <f>'насел.'!AS43+пільги!AS43+субсидії!AS43+'держ.бюджет'!AS43+'місц.-районн.бюджет'!AS43+областной!AS43+інші!AS43</f>
        <v>816462.8500000001</v>
      </c>
      <c r="AT43" s="48">
        <f>M43+Y43+AB43+AE43+AH43</f>
        <v>1136479.71</v>
      </c>
      <c r="AU43" s="48">
        <f>N43+Z43+AC43+AF43+AI43</f>
        <v>971141.26</v>
      </c>
      <c r="AV43" s="48">
        <f>AT43-AU43</f>
        <v>165338.44999999995</v>
      </c>
      <c r="AW43" s="48">
        <f>C43+AO43-AP43</f>
        <v>816462.8500000003</v>
      </c>
    </row>
    <row r="44" spans="1:49" ht="32.25" customHeight="1">
      <c r="A44" s="147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9"/>
      <c r="AU44" s="19"/>
      <c r="AV44" s="48"/>
      <c r="AW44" s="48"/>
    </row>
    <row r="45" spans="1:57" ht="3.75" customHeight="1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U45" s="20"/>
      <c r="BC45" s="12"/>
      <c r="BD45" s="12"/>
      <c r="BE45" s="21"/>
    </row>
    <row r="46" spans="2:45" ht="32.25" customHeight="1" hidden="1">
      <c r="B46" s="22"/>
      <c r="C46" s="23" t="e">
        <f>'насел.'!C43+пільги!C43+субсидії!C43+'держ.бюджет'!C43+областной!C43+'місц.-районн.бюджет'!C43+#REF!+інші!C43</f>
        <v>#REF!</v>
      </c>
      <c r="D46" s="23" t="e">
        <f>'насел.'!D43+пільги!D43+субсидії!D43+'держ.бюджет'!D43+областной!D43+'місц.-районн.бюджет'!D43+#REF!+інші!D43</f>
        <v>#REF!</v>
      </c>
      <c r="E46" s="23" t="e">
        <f>'насел.'!E43+пільги!E43+субсидії!E43+'держ.бюджет'!E43+областной!E43+'місц.-районн.бюджет'!E43+#REF!+інші!E43</f>
        <v>#REF!</v>
      </c>
      <c r="F46" s="28"/>
      <c r="G46" s="23"/>
      <c r="H46" s="23"/>
      <c r="I46" s="59"/>
      <c r="J46" s="23"/>
      <c r="K46" s="23"/>
      <c r="L46" s="59"/>
      <c r="M46" s="59"/>
      <c r="N46" s="59"/>
      <c r="O46" s="59"/>
      <c r="P46" s="23"/>
      <c r="Q46" s="23"/>
      <c r="R46" s="59"/>
      <c r="S46" s="23"/>
      <c r="T46" s="23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23"/>
      <c r="AP46" s="23"/>
      <c r="AQ46" s="59"/>
      <c r="AR46" s="23"/>
      <c r="AS46" s="23">
        <f>D43-E43</f>
        <v>15299.800000000003</v>
      </c>
    </row>
    <row r="47" spans="1:58" s="12" customFormat="1" ht="25.5" customHeight="1">
      <c r="A47" s="24"/>
      <c r="B47" s="24"/>
      <c r="C47" s="25"/>
      <c r="D47" s="26">
        <f>D43-E43</f>
        <v>15299.800000000003</v>
      </c>
      <c r="E47" s="27"/>
      <c r="F47" s="28"/>
      <c r="G47" s="27"/>
      <c r="H47" s="27"/>
      <c r="I47" s="28"/>
      <c r="J47" s="27"/>
      <c r="K47" s="27"/>
      <c r="L47" s="28"/>
      <c r="M47" s="28"/>
      <c r="N47" s="28"/>
      <c r="O47" s="28"/>
      <c r="P47" s="27"/>
      <c r="Q47" s="27"/>
      <c r="R47" s="28"/>
      <c r="S47" s="27"/>
      <c r="T47" s="27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7"/>
      <c r="BA47" s="6"/>
      <c r="BB47" s="6"/>
      <c r="BC47" s="29"/>
      <c r="BD47" s="6"/>
      <c r="BF47" s="6"/>
    </row>
    <row r="48" spans="1:58" s="12" customFormat="1" ht="19.5" customHeight="1" hidden="1">
      <c r="A48" s="30"/>
      <c r="B48" s="12" t="s">
        <v>123</v>
      </c>
      <c r="C48" s="25"/>
      <c r="D48" s="27"/>
      <c r="E48" s="27"/>
      <c r="F48" s="28"/>
      <c r="G48" s="27"/>
      <c r="H48" s="27"/>
      <c r="I48" s="28"/>
      <c r="J48" s="27"/>
      <c r="K48" s="27"/>
      <c r="L48" s="28"/>
      <c r="M48" s="28"/>
      <c r="N48" s="28"/>
      <c r="O48" s="28"/>
      <c r="P48" s="27"/>
      <c r="Q48" s="27"/>
      <c r="R48" s="28"/>
      <c r="S48" s="27"/>
      <c r="T48" s="27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7"/>
      <c r="BA48" s="6"/>
      <c r="BB48" s="6"/>
      <c r="BC48" s="29"/>
      <c r="BD48" s="6"/>
      <c r="BF48" s="6"/>
    </row>
    <row r="49" spans="1:58" s="12" customFormat="1" ht="7.5" customHeight="1" hidden="1">
      <c r="A49" s="24"/>
      <c r="C49" s="25"/>
      <c r="D49" s="27"/>
      <c r="E49" s="27"/>
      <c r="F49" s="28"/>
      <c r="G49" s="27"/>
      <c r="H49" s="27"/>
      <c r="I49" s="28"/>
      <c r="J49" s="27"/>
      <c r="K49" s="27"/>
      <c r="L49" s="28"/>
      <c r="M49" s="28"/>
      <c r="N49" s="28"/>
      <c r="O49" s="28"/>
      <c r="P49" s="27"/>
      <c r="Q49" s="27"/>
      <c r="R49" s="28"/>
      <c r="S49" s="27"/>
      <c r="T49" s="27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7"/>
      <c r="BA49" s="6"/>
      <c r="BB49" s="6"/>
      <c r="BC49" s="29"/>
      <c r="BD49" s="6"/>
      <c r="BF49" s="6"/>
    </row>
    <row r="50" spans="1:58" s="12" customFormat="1" ht="19.5" customHeight="1" hidden="1">
      <c r="A50" s="30"/>
      <c r="B50" s="12" t="s">
        <v>124</v>
      </c>
      <c r="C50" s="25"/>
      <c r="D50" s="27"/>
      <c r="E50" s="27"/>
      <c r="F50" s="28"/>
      <c r="G50" s="27"/>
      <c r="H50" s="27"/>
      <c r="I50" s="28"/>
      <c r="J50" s="27"/>
      <c r="K50" s="27"/>
      <c r="L50" s="28"/>
      <c r="M50" s="28"/>
      <c r="N50" s="28"/>
      <c r="O50" s="28"/>
      <c r="P50" s="27"/>
      <c r="Q50" s="27"/>
      <c r="R50" s="28"/>
      <c r="S50" s="27"/>
      <c r="T50" s="27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7"/>
      <c r="BA50" s="6"/>
      <c r="BB50" s="6"/>
      <c r="BC50" s="29"/>
      <c r="BD50" s="6"/>
      <c r="BF50" s="6"/>
    </row>
    <row r="51" spans="1:58" ht="24.75" customHeight="1">
      <c r="A51" s="2"/>
      <c r="C51" s="31"/>
      <c r="D51" s="21"/>
      <c r="E51" s="21"/>
      <c r="F51" s="28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21"/>
      <c r="AP51" s="21"/>
      <c r="AQ51" s="60"/>
      <c r="AR51" s="21"/>
      <c r="AS51" s="21"/>
      <c r="AT51" s="21"/>
      <c r="AU51" s="21"/>
      <c r="AV51" s="21"/>
      <c r="AW51" s="21"/>
      <c r="AX51" s="21"/>
      <c r="AY51" s="21"/>
      <c r="AZ51" s="21"/>
      <c r="BA51" s="7"/>
      <c r="BB51" s="7"/>
      <c r="BC51" s="32"/>
      <c r="BD51" s="7"/>
      <c r="BF51" s="7"/>
    </row>
    <row r="52" spans="1:46" s="38" customFormat="1" ht="42" customHeight="1">
      <c r="A52" s="33"/>
      <c r="B52" s="150" t="s">
        <v>138</v>
      </c>
      <c r="C52" s="150"/>
      <c r="D52" s="150"/>
      <c r="E52" s="150"/>
      <c r="F52" s="150"/>
      <c r="G52" s="34"/>
      <c r="H52" s="34"/>
      <c r="I52" s="61"/>
      <c r="J52" s="34"/>
      <c r="K52" s="34"/>
      <c r="L52" s="61"/>
      <c r="M52" s="61"/>
      <c r="N52" s="61"/>
      <c r="O52" s="61"/>
      <c r="P52" s="34"/>
      <c r="Q52" s="34"/>
      <c r="R52" s="61"/>
      <c r="S52" s="34"/>
      <c r="T52" s="34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34"/>
      <c r="AP52" s="34"/>
      <c r="AQ52" s="61"/>
      <c r="AR52" s="35" t="s">
        <v>137</v>
      </c>
      <c r="AS52" s="36"/>
      <c r="AT52" s="37"/>
    </row>
    <row r="53" spans="1:45" ht="73.5" customHeight="1" hidden="1">
      <c r="A53" s="146" t="s">
        <v>134</v>
      </c>
      <c r="B53" s="146"/>
      <c r="C53" s="39"/>
      <c r="D53" s="39"/>
      <c r="E53" s="39"/>
      <c r="F53" s="39"/>
      <c r="G53" s="40"/>
      <c r="H53" s="40"/>
      <c r="I53" s="41"/>
      <c r="J53" s="40"/>
      <c r="K53" s="40"/>
      <c r="L53" s="41"/>
      <c r="M53" s="41"/>
      <c r="N53" s="41"/>
      <c r="O53" s="41"/>
      <c r="P53" s="40"/>
      <c r="Q53" s="40"/>
      <c r="R53" s="41"/>
      <c r="S53" s="40"/>
      <c r="T53" s="40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0"/>
      <c r="AP53" s="40"/>
      <c r="AQ53" s="41"/>
      <c r="AS53" s="4" t="s">
        <v>135</v>
      </c>
    </row>
  </sheetData>
  <sheetProtection/>
  <mergeCells count="23">
    <mergeCell ref="AR5:AR6"/>
    <mergeCell ref="AH5:AI5"/>
    <mergeCell ref="P5:R5"/>
    <mergeCell ref="I1:AS1"/>
    <mergeCell ref="B2:AS2"/>
    <mergeCell ref="B3:AS3"/>
    <mergeCell ref="B4:F4"/>
    <mergeCell ref="S5:U5"/>
    <mergeCell ref="J5:L5"/>
    <mergeCell ref="Y5:AA5"/>
    <mergeCell ref="AS5:AS6"/>
    <mergeCell ref="AE5:AG5"/>
    <mergeCell ref="V5:X5"/>
    <mergeCell ref="A53:B53"/>
    <mergeCell ref="A44:AS45"/>
    <mergeCell ref="B52:F52"/>
    <mergeCell ref="D5:F5"/>
    <mergeCell ref="G5:I5"/>
    <mergeCell ref="AO5:AQ5"/>
    <mergeCell ref="AJ5:AL5"/>
    <mergeCell ref="AM5:AN5"/>
    <mergeCell ref="M5:O5"/>
    <mergeCell ref="AB5:AD5"/>
  </mergeCells>
  <printOptions horizontalCentered="1"/>
  <pageMargins left="0" right="0" top="0" bottom="0" header="0" footer="0"/>
  <pageSetup fitToHeight="1" fitToWidth="1" horizontalDpi="600" verticalDpi="600" orientation="landscape" paperSize="9" scale="47" r:id="rId1"/>
  <rowBreaks count="1" manualBreakCount="1">
    <brk id="30" min="1" max="28" man="1"/>
  </rowBreaks>
  <colBreaks count="1" manualBreakCount="1">
    <brk id="44" min="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D93"/>
  <sheetViews>
    <sheetView view="pageBreakPreview" zoomScale="76" zoomScaleNormal="50" zoomScaleSheetLayoutView="76" zoomScalePageLayoutView="0" workbookViewId="0" topLeftCell="A1">
      <pane xSplit="6" ySplit="9" topLeftCell="Z34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M36" sqref="AM36"/>
    </sheetView>
  </sheetViews>
  <sheetFormatPr defaultColWidth="5.75390625" defaultRowHeight="12.75"/>
  <cols>
    <col min="1" max="1" width="5.00390625" style="1" customWidth="1"/>
    <col min="2" max="2" width="51.125" style="2" customWidth="1"/>
    <col min="3" max="3" width="16.875" style="3" customWidth="1"/>
    <col min="4" max="5" width="21.00390625" style="2" hidden="1" customWidth="1"/>
    <col min="6" max="6" width="13.75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2.25390625" style="12" customWidth="1"/>
    <col min="15" max="15" width="11.00390625" style="12" customWidth="1"/>
    <col min="16" max="17" width="14.75390625" style="2" hidden="1" customWidth="1"/>
    <col min="18" max="18" width="11.00390625" style="12" hidden="1" customWidth="1"/>
    <col min="19" max="20" width="14.75390625" style="2" hidden="1" customWidth="1"/>
    <col min="21" max="21" width="11.00390625" style="12" hidden="1" customWidth="1"/>
    <col min="22" max="22" width="14.75390625" style="12" hidden="1" customWidth="1"/>
    <col min="23" max="23" width="12.125" style="12" hidden="1" customWidth="1"/>
    <col min="24" max="24" width="11.00390625" style="12" hidden="1" customWidth="1"/>
    <col min="25" max="25" width="15.75390625" style="12" customWidth="1"/>
    <col min="26" max="26" width="12.25390625" style="12" customWidth="1"/>
    <col min="27" max="27" width="11.00390625" style="12" customWidth="1"/>
    <col min="28" max="28" width="14.75390625" style="12" hidden="1" customWidth="1"/>
    <col min="29" max="29" width="12.125" style="12" hidden="1" customWidth="1"/>
    <col min="30" max="30" width="11.003906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875" style="12" hidden="1" customWidth="1"/>
    <col min="35" max="35" width="11.75390625" style="12" hidden="1" customWidth="1"/>
    <col min="36" max="36" width="15.75390625" style="12" customWidth="1"/>
    <col min="37" max="37" width="12.25390625" style="12" customWidth="1"/>
    <col min="38" max="38" width="11.00390625" style="12" customWidth="1"/>
    <col min="39" max="39" width="13.875" style="12" customWidth="1"/>
    <col min="40" max="40" width="11.75390625" style="12" customWidth="1"/>
    <col min="41" max="42" width="14.75390625" style="2" customWidth="1"/>
    <col min="43" max="43" width="11.75390625" style="12" customWidth="1"/>
    <col min="44" max="44" width="17.125" style="2" customWidth="1"/>
    <col min="45" max="45" width="21.125" style="2" customWidth="1"/>
    <col min="46" max="46" width="15.375" style="2" customWidth="1"/>
    <col min="47" max="47" width="15.625" style="2" customWidth="1"/>
    <col min="48" max="48" width="10.75390625" style="2" customWidth="1"/>
    <col min="49" max="49" width="14.25390625" style="2" customWidth="1"/>
    <col min="50" max="50" width="6.75390625" style="2" customWidth="1"/>
    <col min="51" max="51" width="12.25390625" style="2" customWidth="1"/>
    <col min="52" max="52" width="10.75390625" style="2" customWidth="1"/>
    <col min="53" max="16384" width="5.75390625" style="2" customWidth="1"/>
  </cols>
  <sheetData>
    <row r="1" spans="9:45" ht="15" customHeight="1">
      <c r="I1" s="158" t="s">
        <v>86</v>
      </c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</row>
    <row r="2" spans="1:45" s="63" customFormat="1" ht="42" customHeight="1">
      <c r="A2" s="62"/>
      <c r="B2" s="159" t="s">
        <v>128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</row>
    <row r="3" spans="1:45" s="63" customFormat="1" ht="42" customHeight="1">
      <c r="A3" s="62"/>
      <c r="B3" s="159" t="s">
        <v>159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</row>
    <row r="4" spans="2:45" ht="18.75">
      <c r="B4" s="160"/>
      <c r="C4" s="160"/>
      <c r="D4" s="160"/>
      <c r="E4" s="160"/>
      <c r="F4" s="160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7"/>
      <c r="AQ4" s="6"/>
      <c r="AR4" s="7"/>
      <c r="AS4" s="5" t="s">
        <v>87</v>
      </c>
    </row>
    <row r="5" spans="1:45" ht="58.5" customHeight="1">
      <c r="A5" s="50" t="s">
        <v>55</v>
      </c>
      <c r="B5" s="51"/>
      <c r="C5" s="52" t="s">
        <v>1</v>
      </c>
      <c r="D5" s="151" t="s">
        <v>142</v>
      </c>
      <c r="E5" s="152"/>
      <c r="F5" s="153"/>
      <c r="G5" s="154" t="s">
        <v>143</v>
      </c>
      <c r="H5" s="155"/>
      <c r="I5" s="156"/>
      <c r="J5" s="154" t="s">
        <v>147</v>
      </c>
      <c r="K5" s="155"/>
      <c r="L5" s="156"/>
      <c r="M5" s="154" t="s">
        <v>149</v>
      </c>
      <c r="N5" s="155"/>
      <c r="O5" s="156"/>
      <c r="P5" s="154" t="s">
        <v>148</v>
      </c>
      <c r="Q5" s="155"/>
      <c r="R5" s="156"/>
      <c r="S5" s="154" t="s">
        <v>150</v>
      </c>
      <c r="T5" s="155"/>
      <c r="U5" s="156"/>
      <c r="V5" s="154" t="s">
        <v>151</v>
      </c>
      <c r="W5" s="155"/>
      <c r="X5" s="156"/>
      <c r="Y5" s="154" t="s">
        <v>153</v>
      </c>
      <c r="Z5" s="155"/>
      <c r="AA5" s="156"/>
      <c r="AB5" s="154" t="s">
        <v>154</v>
      </c>
      <c r="AC5" s="155"/>
      <c r="AD5" s="156"/>
      <c r="AE5" s="154" t="s">
        <v>155</v>
      </c>
      <c r="AF5" s="155"/>
      <c r="AG5" s="156"/>
      <c r="AH5" s="154" t="s">
        <v>156</v>
      </c>
      <c r="AI5" s="156"/>
      <c r="AJ5" s="154" t="s">
        <v>157</v>
      </c>
      <c r="AK5" s="155"/>
      <c r="AL5" s="156"/>
      <c r="AM5" s="154" t="s">
        <v>158</v>
      </c>
      <c r="AN5" s="156"/>
      <c r="AO5" s="151" t="s">
        <v>144</v>
      </c>
      <c r="AP5" s="152"/>
      <c r="AQ5" s="153"/>
      <c r="AR5" s="161" t="s">
        <v>160</v>
      </c>
      <c r="AS5" s="161" t="s">
        <v>161</v>
      </c>
    </row>
    <row r="6" spans="1:45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8" t="s">
        <v>0</v>
      </c>
      <c r="AR6" s="162"/>
      <c r="AS6" s="162"/>
    </row>
    <row r="7" spans="1:56" s="12" customFormat="1" ht="36" customHeight="1">
      <c r="A7" s="8"/>
      <c r="B7" s="9" t="s">
        <v>89</v>
      </c>
      <c r="C7" s="11">
        <f>SUM(C8:C40)</f>
        <v>-17269.100000000002</v>
      </c>
      <c r="D7" s="11">
        <f>SUM(D8:D40)</f>
        <v>1988.2</v>
      </c>
      <c r="E7" s="11">
        <f>SUM(E8:E40)</f>
        <v>7152.5</v>
      </c>
      <c r="F7" s="11">
        <f aca="true" t="shared" si="0" ref="F7:F20">E7/D7*100</f>
        <v>359.7475103108339</v>
      </c>
      <c r="G7" s="11">
        <f>SUM(G8:G40)</f>
        <v>1616.1</v>
      </c>
      <c r="H7" s="11">
        <f>SUM(H8:H40)</f>
        <v>6827.399999999999</v>
      </c>
      <c r="I7" s="11">
        <f aca="true" t="shared" si="1" ref="I7:I24">H7/G7*100</f>
        <v>422.4614813439762</v>
      </c>
      <c r="J7" s="11">
        <f>SUM(J8:J40)</f>
        <v>1764.3999999999996</v>
      </c>
      <c r="K7" s="11">
        <f>SUM(K8:K40)</f>
        <v>7670.099999999999</v>
      </c>
      <c r="L7" s="11">
        <f aca="true" t="shared" si="2" ref="L7:L24">K7/J7*100</f>
        <v>434.7143504874179</v>
      </c>
      <c r="M7" s="11">
        <f>SUM(M8:M40)</f>
        <v>5368.699999999999</v>
      </c>
      <c r="N7" s="11">
        <f>SUM(N8:N40)</f>
        <v>21650</v>
      </c>
      <c r="O7" s="11">
        <f>N7/M7*100</f>
        <v>403.26335984502776</v>
      </c>
      <c r="P7" s="11">
        <f>SUM(P8:P40)</f>
        <v>8382.599999999999</v>
      </c>
      <c r="Q7" s="11">
        <f>SUM(Q8:Q40)</f>
        <v>5924.599999999999</v>
      </c>
      <c r="R7" s="11">
        <f aca="true" t="shared" si="3" ref="R7:R24">Q7/P7*100</f>
        <v>70.67735547443515</v>
      </c>
      <c r="S7" s="11">
        <f>SUM(S8:S40)</f>
        <v>41392.299999999996</v>
      </c>
      <c r="T7" s="11">
        <f>SUM(T8:T40)</f>
        <v>4817.499999999999</v>
      </c>
      <c r="U7" s="11">
        <f aca="true" t="shared" si="4" ref="U7:U24">T7/S7*100</f>
        <v>11.638638104188459</v>
      </c>
      <c r="V7" s="11">
        <f>SUM(V8:V40)</f>
        <v>17651.2</v>
      </c>
      <c r="W7" s="11">
        <f>SUM(W8:W40)</f>
        <v>9664.000000000002</v>
      </c>
      <c r="X7" s="11">
        <f aca="true" t="shared" si="5" ref="X7:X24">W7/V7*100</f>
        <v>54.749818709209585</v>
      </c>
      <c r="Y7" s="11">
        <f>SUM(Y8:Y40)</f>
        <v>67426.1</v>
      </c>
      <c r="Z7" s="11">
        <f>SUM(Z8:Z40)</f>
        <v>20406.100000000002</v>
      </c>
      <c r="AA7" s="11">
        <f>Z7/Y7*100</f>
        <v>30.264393165257964</v>
      </c>
      <c r="AB7" s="11">
        <f>SUM(AB8:AB40)</f>
        <v>11842.330000000004</v>
      </c>
      <c r="AC7" s="11">
        <f>SUM(AC8:AC40)</f>
        <v>13206.059999999998</v>
      </c>
      <c r="AD7" s="11">
        <f aca="true" t="shared" si="6" ref="AD7:AD24">AC7/AB7*100</f>
        <v>111.51572367937723</v>
      </c>
      <c r="AE7" s="11">
        <f>SUM(AE8:AE40)</f>
        <v>15234.300000000001</v>
      </c>
      <c r="AF7" s="11">
        <f>SUM(AF8:AF40)</f>
        <v>11862.099999999999</v>
      </c>
      <c r="AG7" s="11">
        <f>AF7/AE7*100</f>
        <v>77.8644243581917</v>
      </c>
      <c r="AH7" s="11">
        <f>SUM(AH8:AH40)</f>
        <v>11529.8</v>
      </c>
      <c r="AI7" s="11">
        <f>SUM(AI8:AI40)</f>
        <v>12195.000000000002</v>
      </c>
      <c r="AJ7" s="11">
        <f>SUM(AJ8:AJ40)</f>
        <v>38606.42999999999</v>
      </c>
      <c r="AK7" s="11">
        <f>SUM(AK8:AK40)</f>
        <v>37263.159999999996</v>
      </c>
      <c r="AL7" s="11">
        <f>AK7/AJ7*100</f>
        <v>96.52060550535235</v>
      </c>
      <c r="AM7" s="11">
        <f>SUM(AM8:AM40)</f>
        <v>8495.699999999999</v>
      </c>
      <c r="AN7" s="11">
        <f>SUM(AN8:AN40)</f>
        <v>12619.199999999995</v>
      </c>
      <c r="AO7" s="11">
        <f>SUM(AO8:AO40)</f>
        <v>119896.93000000002</v>
      </c>
      <c r="AP7" s="11">
        <f>SUM(AP8:AP40)</f>
        <v>91938.46</v>
      </c>
      <c r="AQ7" s="11">
        <f aca="true" t="shared" si="7" ref="AQ7:AQ42">AP7/AO7*100</f>
        <v>76.68124613365829</v>
      </c>
      <c r="AR7" s="11">
        <f>SUM(AR8:AR40)</f>
        <v>27958.47</v>
      </c>
      <c r="AS7" s="11">
        <f>SUM(AS8:AS40)</f>
        <v>10689.369999999995</v>
      </c>
      <c r="AT7" s="27">
        <f>SUM(AR8:AR40)</f>
        <v>27958.47</v>
      </c>
      <c r="AU7" s="27">
        <f>SUM(AS8:AS40)</f>
        <v>10689.369999999995</v>
      </c>
      <c r="AV7" s="86"/>
      <c r="AW7" s="27"/>
      <c r="AX7" s="27"/>
      <c r="AY7" s="27"/>
      <c r="AZ7" s="27"/>
      <c r="BA7" s="24"/>
      <c r="BB7" s="24"/>
      <c r="BC7" s="24"/>
      <c r="BD7" s="24"/>
    </row>
    <row r="8" spans="1:56" ht="24.75" customHeight="1">
      <c r="A8" s="13" t="s">
        <v>13</v>
      </c>
      <c r="B8" s="47" t="s">
        <v>91</v>
      </c>
      <c r="C8" s="88">
        <v>-4244.3</v>
      </c>
      <c r="D8" s="44">
        <v>120.5</v>
      </c>
      <c r="E8" s="44">
        <v>581.6</v>
      </c>
      <c r="F8" s="11">
        <f t="shared" si="0"/>
        <v>482.6556016597511</v>
      </c>
      <c r="G8" s="44">
        <v>151.9</v>
      </c>
      <c r="H8" s="44">
        <v>568.5</v>
      </c>
      <c r="I8" s="11">
        <f t="shared" si="1"/>
        <v>374.2593811718236</v>
      </c>
      <c r="J8" s="44">
        <v>148.1</v>
      </c>
      <c r="K8" s="44">
        <v>584</v>
      </c>
      <c r="L8" s="11">
        <f t="shared" si="2"/>
        <v>394.3281566509115</v>
      </c>
      <c r="M8" s="89">
        <f>D8+G8+J8</f>
        <v>420.5</v>
      </c>
      <c r="N8" s="89">
        <f>E8+H8+K8</f>
        <v>1734.1</v>
      </c>
      <c r="O8" s="11">
        <f aca="true" t="shared" si="8" ref="O8:O43">N8/M8*100</f>
        <v>412.39001189060633</v>
      </c>
      <c r="P8" s="44">
        <v>563.3</v>
      </c>
      <c r="Q8" s="44">
        <v>548</v>
      </c>
      <c r="R8" s="11">
        <f t="shared" si="3"/>
        <v>97.28386295047045</v>
      </c>
      <c r="S8" s="44">
        <v>1252.6</v>
      </c>
      <c r="T8" s="44">
        <v>669.4</v>
      </c>
      <c r="U8" s="11">
        <f t="shared" si="4"/>
        <v>53.44084304646336</v>
      </c>
      <c r="V8" s="44">
        <v>1234.8</v>
      </c>
      <c r="W8" s="44">
        <v>670.2</v>
      </c>
      <c r="X8" s="11">
        <f t="shared" si="5"/>
        <v>54.275996112730816</v>
      </c>
      <c r="Y8" s="89">
        <f>P8+S8+V8</f>
        <v>3050.7</v>
      </c>
      <c r="Z8" s="89">
        <f>Q8+T8+W8</f>
        <v>1887.6000000000001</v>
      </c>
      <c r="AA8" s="11">
        <f aca="true" t="shared" si="9" ref="AA8:AA28">Z8/Y8*100</f>
        <v>61.87432392565641</v>
      </c>
      <c r="AB8" s="44">
        <v>3006.2</v>
      </c>
      <c r="AC8" s="44">
        <v>859.6</v>
      </c>
      <c r="AD8" s="11">
        <f t="shared" si="6"/>
        <v>28.594238573614533</v>
      </c>
      <c r="AE8" s="44">
        <v>459.3</v>
      </c>
      <c r="AF8" s="44">
        <v>878.6</v>
      </c>
      <c r="AG8" s="11">
        <f>AF8/AE8*100</f>
        <v>191.29109514478554</v>
      </c>
      <c r="AH8" s="44">
        <v>637.3</v>
      </c>
      <c r="AI8" s="44">
        <v>879</v>
      </c>
      <c r="AJ8" s="89">
        <f>AB8+AE8+AH8</f>
        <v>4102.8</v>
      </c>
      <c r="AK8" s="89">
        <f>AC8+AF8+AI8</f>
        <v>2617.2</v>
      </c>
      <c r="AL8" s="11">
        <f aca="true" t="shared" si="10" ref="AL8:AL28">AK8/AJ8*100</f>
        <v>63.79058204153261</v>
      </c>
      <c r="AM8" s="44">
        <v>536.3</v>
      </c>
      <c r="AN8" s="44">
        <v>846.5</v>
      </c>
      <c r="AO8" s="72">
        <f>M8+Y8+AJ8+AM8</f>
        <v>8110.3</v>
      </c>
      <c r="AP8" s="72">
        <f>N8+Z8+AK8+AN8</f>
        <v>7085.4</v>
      </c>
      <c r="AQ8" s="11">
        <f t="shared" si="7"/>
        <v>87.36298287362982</v>
      </c>
      <c r="AR8" s="89">
        <f>AO8-AP8</f>
        <v>1024.9000000000005</v>
      </c>
      <c r="AS8" s="90">
        <f>C8+AO8-AP8</f>
        <v>-3219.3999999999996</v>
      </c>
      <c r="AT8" s="45"/>
      <c r="AU8" s="45"/>
      <c r="AV8" s="45"/>
      <c r="AW8" s="45"/>
      <c r="AX8" s="46"/>
      <c r="AY8" s="46"/>
      <c r="AZ8" s="45"/>
      <c r="BA8" s="46"/>
      <c r="BB8" s="46"/>
      <c r="BC8" s="46"/>
      <c r="BD8" s="46"/>
    </row>
    <row r="9" spans="1:56" ht="24.75" customHeight="1">
      <c r="A9" s="13" t="s">
        <v>14</v>
      </c>
      <c r="B9" s="47" t="s">
        <v>92</v>
      </c>
      <c r="C9" s="88">
        <v>-1344.2</v>
      </c>
      <c r="D9" s="44">
        <v>-71.5</v>
      </c>
      <c r="E9" s="44">
        <v>59.1</v>
      </c>
      <c r="F9" s="11">
        <f t="shared" si="0"/>
        <v>-82.65734265734265</v>
      </c>
      <c r="G9" s="44">
        <v>-61.3</v>
      </c>
      <c r="H9" s="44">
        <v>65.9</v>
      </c>
      <c r="I9" s="11">
        <f t="shared" si="1"/>
        <v>-107.50407830342579</v>
      </c>
      <c r="J9" s="44">
        <v>-57.3</v>
      </c>
      <c r="K9" s="44">
        <v>68.6</v>
      </c>
      <c r="L9" s="11">
        <f t="shared" si="2"/>
        <v>-119.72076788830715</v>
      </c>
      <c r="M9" s="89">
        <f aca="true" t="shared" si="11" ref="M9:M42">D9+G9+J9</f>
        <v>-190.10000000000002</v>
      </c>
      <c r="N9" s="89">
        <f aca="true" t="shared" si="12" ref="N9:N42">E9+H9+K9</f>
        <v>193.6</v>
      </c>
      <c r="O9" s="11">
        <f t="shared" si="8"/>
        <v>-101.84113624408204</v>
      </c>
      <c r="P9" s="44">
        <v>58.5</v>
      </c>
      <c r="Q9" s="44">
        <v>60</v>
      </c>
      <c r="R9" s="11">
        <f t="shared" si="3"/>
        <v>102.56410256410255</v>
      </c>
      <c r="S9" s="44">
        <v>1142.5</v>
      </c>
      <c r="T9" s="44">
        <v>81.5</v>
      </c>
      <c r="U9" s="11">
        <f t="shared" si="4"/>
        <v>7.133479212253829</v>
      </c>
      <c r="V9" s="44">
        <v>138</v>
      </c>
      <c r="W9" s="44">
        <v>116.1</v>
      </c>
      <c r="X9" s="11">
        <f t="shared" si="5"/>
        <v>84.13043478260869</v>
      </c>
      <c r="Y9" s="89">
        <f aca="true" t="shared" si="13" ref="Y9:Y28">P9+S9+V9</f>
        <v>1339</v>
      </c>
      <c r="Z9" s="89">
        <f aca="true" t="shared" si="14" ref="Z9:Z28">Q9+T9+W9</f>
        <v>257.6</v>
      </c>
      <c r="AA9" s="11">
        <f t="shared" si="9"/>
        <v>19.238237490664677</v>
      </c>
      <c r="AB9" s="44">
        <v>7.1</v>
      </c>
      <c r="AC9" s="44">
        <v>126.7</v>
      </c>
      <c r="AD9" s="11">
        <f t="shared" si="6"/>
        <v>1784.5070422535211</v>
      </c>
      <c r="AE9" s="44">
        <f>-89.2+98.4</f>
        <v>9.200000000000003</v>
      </c>
      <c r="AF9" s="44">
        <f>104.7+0.1</f>
        <v>104.8</v>
      </c>
      <c r="AG9" s="11">
        <f>AF9/AE9*100</f>
        <v>1139.1304347826083</v>
      </c>
      <c r="AH9" s="44">
        <f>-39+27.6</f>
        <v>-11.399999999999999</v>
      </c>
      <c r="AI9" s="44">
        <f>23+95.6</f>
        <v>118.6</v>
      </c>
      <c r="AJ9" s="89">
        <f aca="true" t="shared" si="15" ref="AJ9:AJ40">AB9+AE9+AH9</f>
        <v>4.900000000000006</v>
      </c>
      <c r="AK9" s="89">
        <f aca="true" t="shared" si="16" ref="AK9:AK40">AC9+AF9+AI9</f>
        <v>350.1</v>
      </c>
      <c r="AL9" s="11">
        <f t="shared" si="10"/>
        <v>7144.897959183666</v>
      </c>
      <c r="AM9" s="44">
        <f>-1.4+10.4</f>
        <v>9</v>
      </c>
      <c r="AN9" s="44">
        <f>9.6+107.7</f>
        <v>117.3</v>
      </c>
      <c r="AO9" s="72">
        <f aca="true" t="shared" si="17" ref="AO9:AO40">M9+Y9+AJ9+AM9</f>
        <v>1162.8000000000002</v>
      </c>
      <c r="AP9" s="72">
        <f aca="true" t="shared" si="18" ref="AP9:AP40">N9+Z9+AK9+AN9</f>
        <v>918.6</v>
      </c>
      <c r="AQ9" s="11">
        <f t="shared" si="7"/>
        <v>78.99896800825591</v>
      </c>
      <c r="AR9" s="89">
        <f aca="true" t="shared" si="19" ref="AR9:AR42">AO9-AP9</f>
        <v>244.20000000000016</v>
      </c>
      <c r="AS9" s="90">
        <f aca="true" t="shared" si="20" ref="AS9:AS42">C9+AO9-AP9</f>
        <v>-1100</v>
      </c>
      <c r="AT9" s="45"/>
      <c r="AU9" s="45"/>
      <c r="AV9" s="45"/>
      <c r="AW9" s="45"/>
      <c r="AX9" s="46"/>
      <c r="AY9" s="46"/>
      <c r="AZ9" s="45"/>
      <c r="BA9" s="46"/>
      <c r="BB9" s="46"/>
      <c r="BC9" s="46"/>
      <c r="BD9" s="46"/>
    </row>
    <row r="10" spans="1:56" ht="24.75" customHeight="1">
      <c r="A10" s="13" t="s">
        <v>15</v>
      </c>
      <c r="B10" s="15" t="s">
        <v>133</v>
      </c>
      <c r="C10" s="91">
        <v>-197</v>
      </c>
      <c r="D10" s="44">
        <v>3.6</v>
      </c>
      <c r="E10" s="44">
        <v>13.7</v>
      </c>
      <c r="F10" s="11">
        <f t="shared" si="0"/>
        <v>380.55555555555554</v>
      </c>
      <c r="G10" s="44">
        <v>-51.8</v>
      </c>
      <c r="H10" s="44">
        <v>18.5</v>
      </c>
      <c r="I10" s="11">
        <f t="shared" si="1"/>
        <v>-35.714285714285715</v>
      </c>
      <c r="J10" s="44">
        <v>-50.8</v>
      </c>
      <c r="K10" s="44">
        <v>16.6</v>
      </c>
      <c r="L10" s="11">
        <f t="shared" si="2"/>
        <v>-32.67716535433071</v>
      </c>
      <c r="M10" s="89">
        <f t="shared" si="11"/>
        <v>-99</v>
      </c>
      <c r="N10" s="89">
        <f t="shared" si="12"/>
        <v>48.800000000000004</v>
      </c>
      <c r="O10" s="11">
        <f t="shared" si="8"/>
        <v>-49.2929292929293</v>
      </c>
      <c r="P10" s="44">
        <v>1.7</v>
      </c>
      <c r="Q10" s="44">
        <v>10.9</v>
      </c>
      <c r="R10" s="11">
        <f t="shared" si="3"/>
        <v>641.1764705882354</v>
      </c>
      <c r="S10" s="44">
        <v>55.1</v>
      </c>
      <c r="T10" s="44">
        <v>18.5</v>
      </c>
      <c r="U10" s="11">
        <f t="shared" si="4"/>
        <v>33.57531760435572</v>
      </c>
      <c r="V10" s="44">
        <v>271.3</v>
      </c>
      <c r="W10" s="44">
        <v>21.7</v>
      </c>
      <c r="X10" s="11">
        <f t="shared" si="5"/>
        <v>7.998525617397714</v>
      </c>
      <c r="Y10" s="89">
        <f t="shared" si="13"/>
        <v>328.1</v>
      </c>
      <c r="Z10" s="89">
        <f t="shared" si="14"/>
        <v>51.099999999999994</v>
      </c>
      <c r="AA10" s="11">
        <f t="shared" si="9"/>
        <v>15.574519963425782</v>
      </c>
      <c r="AB10" s="44">
        <v>-14.1</v>
      </c>
      <c r="AC10" s="44">
        <v>26.6</v>
      </c>
      <c r="AD10" s="11">
        <f t="shared" si="6"/>
        <v>-188.65248226950357</v>
      </c>
      <c r="AE10" s="44">
        <v>18.9</v>
      </c>
      <c r="AF10" s="44">
        <v>23.9</v>
      </c>
      <c r="AG10" s="11">
        <f>AF10/AE10*100</f>
        <v>126.45502645502647</v>
      </c>
      <c r="AH10" s="44">
        <v>87.7</v>
      </c>
      <c r="AI10" s="44">
        <v>20.6</v>
      </c>
      <c r="AJ10" s="89">
        <f t="shared" si="15"/>
        <v>92.5</v>
      </c>
      <c r="AK10" s="89">
        <f t="shared" si="16"/>
        <v>71.1</v>
      </c>
      <c r="AL10" s="11">
        <f t="shared" si="10"/>
        <v>76.86486486486486</v>
      </c>
      <c r="AM10" s="44">
        <v>30.8</v>
      </c>
      <c r="AN10" s="44">
        <v>30.1</v>
      </c>
      <c r="AO10" s="72">
        <f t="shared" si="17"/>
        <v>352.40000000000003</v>
      </c>
      <c r="AP10" s="72">
        <f t="shared" si="18"/>
        <v>201.1</v>
      </c>
      <c r="AQ10" s="11">
        <f t="shared" si="7"/>
        <v>57.06583427922814</v>
      </c>
      <c r="AR10" s="89">
        <f t="shared" si="19"/>
        <v>151.30000000000004</v>
      </c>
      <c r="AS10" s="90">
        <f t="shared" si="20"/>
        <v>-45.69999999999996</v>
      </c>
      <c r="AT10" s="45"/>
      <c r="AU10" s="45"/>
      <c r="AV10" s="45"/>
      <c r="AW10" s="45"/>
      <c r="AX10" s="46"/>
      <c r="AY10" s="46"/>
      <c r="AZ10" s="45"/>
      <c r="BA10" s="46"/>
      <c r="BB10" s="46"/>
      <c r="BC10" s="46"/>
      <c r="BD10" s="46"/>
    </row>
    <row r="11" spans="1:56" ht="24.75" customHeight="1">
      <c r="A11" s="13" t="s">
        <v>16</v>
      </c>
      <c r="B11" s="47" t="s">
        <v>93</v>
      </c>
      <c r="C11" s="88">
        <v>-1077.9</v>
      </c>
      <c r="D11" s="44">
        <v>225.6</v>
      </c>
      <c r="E11" s="44">
        <v>399.6</v>
      </c>
      <c r="F11" s="11">
        <f t="shared" si="0"/>
        <v>177.1276595744681</v>
      </c>
      <c r="G11" s="44">
        <v>-21.9</v>
      </c>
      <c r="H11" s="44">
        <v>65.1</v>
      </c>
      <c r="I11" s="11">
        <f t="shared" si="1"/>
        <v>-297.2602739726027</v>
      </c>
      <c r="J11" s="44">
        <v>216.5</v>
      </c>
      <c r="K11" s="44">
        <v>324.7</v>
      </c>
      <c r="L11" s="11">
        <f t="shared" si="2"/>
        <v>149.97690531177827</v>
      </c>
      <c r="M11" s="89">
        <f t="shared" si="11"/>
        <v>420.2</v>
      </c>
      <c r="N11" s="89">
        <f t="shared" si="12"/>
        <v>789.4000000000001</v>
      </c>
      <c r="O11" s="11">
        <f t="shared" si="8"/>
        <v>187.86292241789627</v>
      </c>
      <c r="P11" s="44">
        <v>131.4</v>
      </c>
      <c r="Q11" s="44">
        <v>71.4</v>
      </c>
      <c r="R11" s="11">
        <f t="shared" si="3"/>
        <v>54.337899543378995</v>
      </c>
      <c r="S11" s="44">
        <v>249.1</v>
      </c>
      <c r="T11" s="44">
        <v>-439.5</v>
      </c>
      <c r="U11" s="11">
        <f t="shared" si="4"/>
        <v>-176.43516659975913</v>
      </c>
      <c r="V11" s="44">
        <v>312.4</v>
      </c>
      <c r="W11" s="44">
        <v>306.2</v>
      </c>
      <c r="X11" s="11">
        <f t="shared" si="5"/>
        <v>98.01536491677338</v>
      </c>
      <c r="Y11" s="89">
        <f t="shared" si="13"/>
        <v>692.9</v>
      </c>
      <c r="Z11" s="89">
        <f t="shared" si="14"/>
        <v>-61.900000000000034</v>
      </c>
      <c r="AA11" s="11">
        <f t="shared" si="9"/>
        <v>-8.933468032905187</v>
      </c>
      <c r="AB11" s="44">
        <v>330.3</v>
      </c>
      <c r="AC11" s="44">
        <v>298.1</v>
      </c>
      <c r="AD11" s="11">
        <f t="shared" si="6"/>
        <v>90.25128670905238</v>
      </c>
      <c r="AE11" s="44">
        <v>328</v>
      </c>
      <c r="AF11" s="44">
        <v>315.8</v>
      </c>
      <c r="AG11" s="11">
        <f>AF11/AE11*100</f>
        <v>96.28048780487805</v>
      </c>
      <c r="AH11" s="44">
        <v>297.8</v>
      </c>
      <c r="AI11" s="44">
        <v>305.6</v>
      </c>
      <c r="AJ11" s="89">
        <f t="shared" si="15"/>
        <v>956.0999999999999</v>
      </c>
      <c r="AK11" s="89">
        <f t="shared" si="16"/>
        <v>919.5000000000001</v>
      </c>
      <c r="AL11" s="11">
        <f t="shared" si="10"/>
        <v>96.17194854094761</v>
      </c>
      <c r="AM11" s="44">
        <v>301.4</v>
      </c>
      <c r="AN11" s="44">
        <v>355.4</v>
      </c>
      <c r="AO11" s="72">
        <f t="shared" si="17"/>
        <v>2370.6</v>
      </c>
      <c r="AP11" s="72">
        <f t="shared" si="18"/>
        <v>2002.4</v>
      </c>
      <c r="AQ11" s="11">
        <f t="shared" si="7"/>
        <v>84.46806715599428</v>
      </c>
      <c r="AR11" s="89">
        <f t="shared" si="19"/>
        <v>368.1999999999998</v>
      </c>
      <c r="AS11" s="90">
        <f t="shared" si="20"/>
        <v>-709.7000000000003</v>
      </c>
      <c r="AT11" s="45"/>
      <c r="AU11" s="45"/>
      <c r="AV11" s="45"/>
      <c r="AW11" s="45"/>
      <c r="AX11" s="46"/>
      <c r="AY11" s="46"/>
      <c r="AZ11" s="45"/>
      <c r="BA11" s="46"/>
      <c r="BB11" s="46"/>
      <c r="BC11" s="46"/>
      <c r="BD11" s="46"/>
    </row>
    <row r="12" spans="1:56" ht="24.75" customHeight="1">
      <c r="A12" s="13" t="s">
        <v>17</v>
      </c>
      <c r="B12" s="47" t="s">
        <v>94</v>
      </c>
      <c r="C12" s="88">
        <v>-558</v>
      </c>
      <c r="D12" s="44">
        <v>-20.6</v>
      </c>
      <c r="E12" s="44">
        <v>70</v>
      </c>
      <c r="F12" s="92">
        <f t="shared" si="0"/>
        <v>-339.8058252427184</v>
      </c>
      <c r="G12" s="44">
        <v>-16.8</v>
      </c>
      <c r="H12" s="44">
        <v>78.7</v>
      </c>
      <c r="I12" s="75">
        <f t="shared" si="1"/>
        <v>-468.4523809523809</v>
      </c>
      <c r="J12" s="44">
        <v>-34.8</v>
      </c>
      <c r="K12" s="44">
        <v>67.6</v>
      </c>
      <c r="L12" s="75">
        <f t="shared" si="2"/>
        <v>-194.25287356321837</v>
      </c>
      <c r="M12" s="89">
        <f t="shared" si="11"/>
        <v>-72.2</v>
      </c>
      <c r="N12" s="89">
        <f t="shared" si="12"/>
        <v>216.29999999999998</v>
      </c>
      <c r="O12" s="11">
        <f t="shared" si="8"/>
        <v>-299.58448753462596</v>
      </c>
      <c r="P12" s="44">
        <v>70.4</v>
      </c>
      <c r="Q12" s="44">
        <v>59.1</v>
      </c>
      <c r="R12" s="141">
        <f t="shared" si="3"/>
        <v>83.94886363636364</v>
      </c>
      <c r="S12" s="44">
        <v>298.9</v>
      </c>
      <c r="T12" s="44">
        <v>93.8</v>
      </c>
      <c r="U12" s="141">
        <f t="shared" si="4"/>
        <v>31.381733021077284</v>
      </c>
      <c r="V12" s="44">
        <v>745.4</v>
      </c>
      <c r="W12" s="44">
        <v>140.8</v>
      </c>
      <c r="X12" s="141">
        <f t="shared" si="5"/>
        <v>18.88918701368393</v>
      </c>
      <c r="Y12" s="89">
        <f>P12+S12+V12</f>
        <v>1114.6999999999998</v>
      </c>
      <c r="Z12" s="89">
        <f t="shared" si="14"/>
        <v>293.70000000000005</v>
      </c>
      <c r="AA12" s="11">
        <f t="shared" si="9"/>
        <v>26.347896294967267</v>
      </c>
      <c r="AB12" s="44">
        <v>-29.4</v>
      </c>
      <c r="AC12" s="44">
        <v>142.6</v>
      </c>
      <c r="AD12" s="141">
        <f t="shared" si="6"/>
        <v>-485.0340136054422</v>
      </c>
      <c r="AE12" s="44">
        <v>48.5</v>
      </c>
      <c r="AF12" s="44">
        <v>118.2</v>
      </c>
      <c r="AG12" s="141">
        <f aca="true" t="shared" si="21" ref="AG12:AG24">AF12/AE12*100</f>
        <v>243.71134020618558</v>
      </c>
      <c r="AH12" s="44">
        <v>86.2</v>
      </c>
      <c r="AI12" s="44">
        <v>124.8</v>
      </c>
      <c r="AJ12" s="89">
        <f t="shared" si="15"/>
        <v>105.30000000000001</v>
      </c>
      <c r="AK12" s="89">
        <f t="shared" si="16"/>
        <v>385.6</v>
      </c>
      <c r="AL12" s="11">
        <f t="shared" si="10"/>
        <v>366.19183285849954</v>
      </c>
      <c r="AM12" s="44">
        <v>21.4</v>
      </c>
      <c r="AN12" s="44">
        <v>119.6</v>
      </c>
      <c r="AO12" s="72">
        <f t="shared" si="17"/>
        <v>1169.1999999999998</v>
      </c>
      <c r="AP12" s="72">
        <f t="shared" si="18"/>
        <v>1015.2</v>
      </c>
      <c r="AQ12" s="11">
        <f t="shared" si="7"/>
        <v>86.82860075265141</v>
      </c>
      <c r="AR12" s="89">
        <f t="shared" si="19"/>
        <v>153.99999999999977</v>
      </c>
      <c r="AS12" s="90">
        <f t="shared" si="20"/>
        <v>-404.0000000000002</v>
      </c>
      <c r="AT12" s="45"/>
      <c r="AU12" s="45"/>
      <c r="AV12" s="45"/>
      <c r="AW12" s="45"/>
      <c r="AX12" s="46"/>
      <c r="AY12" s="46"/>
      <c r="AZ12" s="45"/>
      <c r="BA12" s="46"/>
      <c r="BB12" s="46"/>
      <c r="BC12" s="46"/>
      <c r="BD12" s="46"/>
    </row>
    <row r="13" spans="1:56" ht="24.75" customHeight="1">
      <c r="A13" s="13" t="s">
        <v>18</v>
      </c>
      <c r="B13" s="47" t="s">
        <v>95</v>
      </c>
      <c r="C13" s="88">
        <v>-1799.1</v>
      </c>
      <c r="D13" s="44">
        <v>-80</v>
      </c>
      <c r="E13" s="44">
        <v>127.9</v>
      </c>
      <c r="F13" s="11">
        <f t="shared" si="0"/>
        <v>-159.875</v>
      </c>
      <c r="G13" s="44">
        <v>-51.5</v>
      </c>
      <c r="H13" s="44">
        <v>132.7</v>
      </c>
      <c r="I13" s="11">
        <f t="shared" si="1"/>
        <v>-257.66990291262135</v>
      </c>
      <c r="J13" s="44">
        <v>-48.9</v>
      </c>
      <c r="K13" s="44">
        <v>129.1</v>
      </c>
      <c r="L13" s="11">
        <f t="shared" si="2"/>
        <v>-264.00817995910023</v>
      </c>
      <c r="M13" s="89">
        <f t="shared" si="11"/>
        <v>-180.4</v>
      </c>
      <c r="N13" s="89">
        <f t="shared" si="12"/>
        <v>389.70000000000005</v>
      </c>
      <c r="O13" s="11">
        <f t="shared" si="8"/>
        <v>-216.01995565410203</v>
      </c>
      <c r="P13" s="44">
        <v>117.1</v>
      </c>
      <c r="Q13" s="44">
        <v>108.3</v>
      </c>
      <c r="R13" s="11">
        <f t="shared" si="3"/>
        <v>92.48505550811272</v>
      </c>
      <c r="S13" s="44">
        <v>1414.2</v>
      </c>
      <c r="T13" s="44">
        <v>147.9</v>
      </c>
      <c r="U13" s="11">
        <f t="shared" si="4"/>
        <v>10.458209588459907</v>
      </c>
      <c r="V13" s="44">
        <v>-24.3</v>
      </c>
      <c r="W13" s="44">
        <v>130.1</v>
      </c>
      <c r="X13" s="11">
        <f t="shared" si="5"/>
        <v>-535.3909465020575</v>
      </c>
      <c r="Y13" s="89">
        <f t="shared" si="13"/>
        <v>1507</v>
      </c>
      <c r="Z13" s="89">
        <f t="shared" si="14"/>
        <v>386.29999999999995</v>
      </c>
      <c r="AA13" s="11">
        <f t="shared" si="9"/>
        <v>25.633709356337093</v>
      </c>
      <c r="AB13" s="44">
        <v>92</v>
      </c>
      <c r="AC13" s="44">
        <v>180</v>
      </c>
      <c r="AD13" s="11">
        <f t="shared" si="6"/>
        <v>195.65217391304347</v>
      </c>
      <c r="AE13" s="44">
        <v>104.5</v>
      </c>
      <c r="AF13" s="44">
        <v>192.8</v>
      </c>
      <c r="AG13" s="11">
        <f t="shared" si="21"/>
        <v>184.4976076555024</v>
      </c>
      <c r="AH13" s="44">
        <v>160.2</v>
      </c>
      <c r="AI13" s="44">
        <v>241.7</v>
      </c>
      <c r="AJ13" s="89">
        <f t="shared" si="15"/>
        <v>356.7</v>
      </c>
      <c r="AK13" s="89">
        <f t="shared" si="16"/>
        <v>614.5</v>
      </c>
      <c r="AL13" s="11">
        <f t="shared" si="10"/>
        <v>172.27361928791703</v>
      </c>
      <c r="AM13" s="44">
        <v>107.7</v>
      </c>
      <c r="AN13" s="44">
        <v>159.7</v>
      </c>
      <c r="AO13" s="72">
        <f t="shared" si="17"/>
        <v>1791</v>
      </c>
      <c r="AP13" s="72">
        <f t="shared" si="18"/>
        <v>1550.2</v>
      </c>
      <c r="AQ13" s="11">
        <f t="shared" si="7"/>
        <v>86.55499720826354</v>
      </c>
      <c r="AR13" s="89">
        <f t="shared" si="19"/>
        <v>240.79999999999995</v>
      </c>
      <c r="AS13" s="90">
        <f t="shared" si="20"/>
        <v>-1558.3</v>
      </c>
      <c r="AT13" s="45"/>
      <c r="AU13" s="45"/>
      <c r="AV13" s="45"/>
      <c r="AW13" s="45"/>
      <c r="AX13" s="46"/>
      <c r="AY13" s="46"/>
      <c r="AZ13" s="45"/>
      <c r="BA13" s="46"/>
      <c r="BB13" s="46"/>
      <c r="BC13" s="46"/>
      <c r="BD13" s="46"/>
    </row>
    <row r="14" spans="1:56" ht="24.75" customHeight="1">
      <c r="A14" s="13" t="s">
        <v>19</v>
      </c>
      <c r="B14" s="47" t="s">
        <v>96</v>
      </c>
      <c r="C14" s="88">
        <v>-439.4</v>
      </c>
      <c r="D14" s="44">
        <v>-32.8</v>
      </c>
      <c r="E14" s="44">
        <v>25.1</v>
      </c>
      <c r="F14" s="11">
        <f>E14/D14*100</f>
        <v>-76.52439024390245</v>
      </c>
      <c r="G14" s="44">
        <v>-17.9</v>
      </c>
      <c r="H14" s="44">
        <v>30.4</v>
      </c>
      <c r="I14" s="11">
        <f t="shared" si="1"/>
        <v>-169.83240223463687</v>
      </c>
      <c r="J14" s="44">
        <v>-32.3</v>
      </c>
      <c r="K14" s="44">
        <v>29.1</v>
      </c>
      <c r="L14" s="11">
        <f t="shared" si="2"/>
        <v>-90.09287925696596</v>
      </c>
      <c r="M14" s="89">
        <f t="shared" si="11"/>
        <v>-83</v>
      </c>
      <c r="N14" s="89">
        <f t="shared" si="12"/>
        <v>84.6</v>
      </c>
      <c r="O14" s="11">
        <f t="shared" si="8"/>
        <v>-101.92771084337349</v>
      </c>
      <c r="P14" s="44">
        <v>-25.3</v>
      </c>
      <c r="Q14" s="44">
        <v>24.8</v>
      </c>
      <c r="R14" s="11">
        <f t="shared" si="3"/>
        <v>-98.02371541501977</v>
      </c>
      <c r="S14" s="44">
        <v>170.9</v>
      </c>
      <c r="T14" s="44">
        <v>37.7</v>
      </c>
      <c r="U14" s="11">
        <f t="shared" si="4"/>
        <v>22.05968402574605</v>
      </c>
      <c r="V14" s="44">
        <v>84.4</v>
      </c>
      <c r="W14" s="44">
        <v>45.9</v>
      </c>
      <c r="X14" s="11">
        <f t="shared" si="5"/>
        <v>54.38388625592416</v>
      </c>
      <c r="Y14" s="89">
        <f t="shared" si="13"/>
        <v>230</v>
      </c>
      <c r="Z14" s="89">
        <f t="shared" si="14"/>
        <v>108.4</v>
      </c>
      <c r="AA14" s="11">
        <f t="shared" si="9"/>
        <v>47.1304347826087</v>
      </c>
      <c r="AB14" s="44">
        <v>158.1</v>
      </c>
      <c r="AC14" s="44">
        <v>53.7</v>
      </c>
      <c r="AD14" s="11">
        <f t="shared" si="6"/>
        <v>33.96584440227704</v>
      </c>
      <c r="AE14" s="44">
        <v>43.3</v>
      </c>
      <c r="AF14" s="44">
        <v>45.9</v>
      </c>
      <c r="AG14" s="11">
        <f t="shared" si="21"/>
        <v>106.00461893764435</v>
      </c>
      <c r="AH14" s="44">
        <v>58.5</v>
      </c>
      <c r="AI14" s="44">
        <v>45.5</v>
      </c>
      <c r="AJ14" s="89">
        <f t="shared" si="15"/>
        <v>259.9</v>
      </c>
      <c r="AK14" s="89">
        <f t="shared" si="16"/>
        <v>145.1</v>
      </c>
      <c r="AL14" s="11">
        <f t="shared" si="10"/>
        <v>55.829165063485966</v>
      </c>
      <c r="AM14" s="44">
        <v>19.3</v>
      </c>
      <c r="AN14" s="44">
        <v>50.1</v>
      </c>
      <c r="AO14" s="72">
        <f t="shared" si="17"/>
        <v>426.2</v>
      </c>
      <c r="AP14" s="72">
        <f t="shared" si="18"/>
        <v>388.20000000000005</v>
      </c>
      <c r="AQ14" s="11">
        <f t="shared" si="7"/>
        <v>91.08399812294698</v>
      </c>
      <c r="AR14" s="89">
        <f t="shared" si="19"/>
        <v>37.99999999999994</v>
      </c>
      <c r="AS14" s="90">
        <f t="shared" si="20"/>
        <v>-401.40000000000003</v>
      </c>
      <c r="AT14" s="45"/>
      <c r="AU14" s="45"/>
      <c r="AV14" s="45"/>
      <c r="AW14" s="45"/>
      <c r="AX14" s="46"/>
      <c r="AY14" s="46"/>
      <c r="AZ14" s="45"/>
      <c r="BA14" s="46"/>
      <c r="BB14" s="46"/>
      <c r="BC14" s="46"/>
      <c r="BD14" s="46"/>
    </row>
    <row r="15" spans="1:56" ht="24.75" customHeight="1">
      <c r="A15" s="13" t="s">
        <v>20</v>
      </c>
      <c r="B15" s="47" t="s">
        <v>97</v>
      </c>
      <c r="C15" s="88">
        <v>-727.3</v>
      </c>
      <c r="D15" s="44">
        <v>90.7</v>
      </c>
      <c r="E15" s="44">
        <v>251.9</v>
      </c>
      <c r="F15" s="11">
        <f t="shared" si="0"/>
        <v>277.728776185226</v>
      </c>
      <c r="G15" s="44">
        <v>52.9</v>
      </c>
      <c r="H15" s="44">
        <v>259.4</v>
      </c>
      <c r="I15" s="11">
        <f t="shared" si="1"/>
        <v>490.3591682419659</v>
      </c>
      <c r="J15" s="44">
        <v>554.6</v>
      </c>
      <c r="K15" s="44">
        <v>391.7</v>
      </c>
      <c r="L15" s="11">
        <f t="shared" si="2"/>
        <v>70.62747926433465</v>
      </c>
      <c r="M15" s="89">
        <f t="shared" si="11"/>
        <v>698.2</v>
      </c>
      <c r="N15" s="89">
        <f t="shared" si="12"/>
        <v>903</v>
      </c>
      <c r="O15" s="11">
        <f t="shared" si="8"/>
        <v>129.33256946433687</v>
      </c>
      <c r="P15" s="44">
        <v>595.5</v>
      </c>
      <c r="Q15" s="44">
        <v>407.8</v>
      </c>
      <c r="R15" s="11">
        <f t="shared" si="3"/>
        <v>68.48026868178002</v>
      </c>
      <c r="S15" s="44">
        <v>1615.4</v>
      </c>
      <c r="T15" s="44">
        <v>833.3</v>
      </c>
      <c r="U15" s="11">
        <f t="shared" si="4"/>
        <v>51.58474681193512</v>
      </c>
      <c r="V15" s="44">
        <v>1000.7</v>
      </c>
      <c r="W15" s="44">
        <v>634.2</v>
      </c>
      <c r="X15" s="11">
        <f t="shared" si="5"/>
        <v>63.37563705406216</v>
      </c>
      <c r="Y15" s="89">
        <f t="shared" si="13"/>
        <v>3211.6000000000004</v>
      </c>
      <c r="Z15" s="89">
        <f t="shared" si="14"/>
        <v>1875.3</v>
      </c>
      <c r="AA15" s="11">
        <f t="shared" si="9"/>
        <v>58.39145597210113</v>
      </c>
      <c r="AB15" s="44">
        <v>710.8</v>
      </c>
      <c r="AC15" s="44">
        <v>543</v>
      </c>
      <c r="AD15" s="11">
        <f t="shared" si="6"/>
        <v>76.39279684862129</v>
      </c>
      <c r="AE15" s="44">
        <v>508.7</v>
      </c>
      <c r="AF15" s="44">
        <v>627.7</v>
      </c>
      <c r="AG15" s="11">
        <f t="shared" si="21"/>
        <v>123.39296245331238</v>
      </c>
      <c r="AH15" s="44">
        <v>156.1</v>
      </c>
      <c r="AI15" s="44">
        <v>736.4</v>
      </c>
      <c r="AJ15" s="89">
        <f t="shared" si="15"/>
        <v>1375.6</v>
      </c>
      <c r="AK15" s="89">
        <f t="shared" si="16"/>
        <v>1907.1</v>
      </c>
      <c r="AL15" s="11">
        <f t="shared" si="10"/>
        <v>138.63768537365513</v>
      </c>
      <c r="AM15" s="44">
        <v>441</v>
      </c>
      <c r="AN15" s="44">
        <v>547.6</v>
      </c>
      <c r="AO15" s="72">
        <f t="shared" si="17"/>
        <v>5726.4</v>
      </c>
      <c r="AP15" s="72">
        <f t="shared" si="18"/>
        <v>5233</v>
      </c>
      <c r="AQ15" s="11">
        <f t="shared" si="7"/>
        <v>91.38376641519979</v>
      </c>
      <c r="AR15" s="89">
        <f t="shared" si="19"/>
        <v>493.39999999999964</v>
      </c>
      <c r="AS15" s="90">
        <f t="shared" si="20"/>
        <v>-233.90000000000055</v>
      </c>
      <c r="AT15" s="45"/>
      <c r="AU15" s="45"/>
      <c r="AV15" s="45"/>
      <c r="AW15" s="45"/>
      <c r="AX15" s="46"/>
      <c r="AY15" s="46"/>
      <c r="AZ15" s="45"/>
      <c r="BA15" s="46"/>
      <c r="BB15" s="46"/>
      <c r="BC15" s="46"/>
      <c r="BD15" s="46"/>
    </row>
    <row r="16" spans="1:56" ht="24.75" customHeight="1">
      <c r="A16" s="13" t="s">
        <v>140</v>
      </c>
      <c r="B16" s="47" t="s">
        <v>98</v>
      </c>
      <c r="C16" s="91">
        <v>-102.1</v>
      </c>
      <c r="D16" s="44">
        <v>-8.3</v>
      </c>
      <c r="E16" s="44">
        <v>9.6</v>
      </c>
      <c r="F16" s="11">
        <f t="shared" si="0"/>
        <v>-115.66265060240963</v>
      </c>
      <c r="G16" s="44">
        <v>-3.8</v>
      </c>
      <c r="H16" s="44">
        <v>8.7</v>
      </c>
      <c r="I16" s="11">
        <f t="shared" si="1"/>
        <v>-228.9473684210526</v>
      </c>
      <c r="J16" s="44">
        <v>-0.7</v>
      </c>
      <c r="K16" s="44">
        <v>8.6</v>
      </c>
      <c r="L16" s="11">
        <f t="shared" si="2"/>
        <v>-1228.5714285714287</v>
      </c>
      <c r="M16" s="89">
        <f t="shared" si="11"/>
        <v>-12.8</v>
      </c>
      <c r="N16" s="89">
        <f t="shared" si="12"/>
        <v>26.9</v>
      </c>
      <c r="O16" s="11">
        <f t="shared" si="8"/>
        <v>-210.15624999999994</v>
      </c>
      <c r="P16" s="44">
        <v>14.6</v>
      </c>
      <c r="Q16" s="44">
        <v>7.3</v>
      </c>
      <c r="R16" s="11">
        <f t="shared" si="3"/>
        <v>50</v>
      </c>
      <c r="S16" s="44">
        <v>29.2</v>
      </c>
      <c r="T16" s="44">
        <v>13.3</v>
      </c>
      <c r="U16" s="11">
        <f t="shared" si="4"/>
        <v>45.54794520547946</v>
      </c>
      <c r="V16" s="44">
        <v>35.3</v>
      </c>
      <c r="W16" s="44">
        <v>14.2</v>
      </c>
      <c r="X16" s="11">
        <f t="shared" si="5"/>
        <v>40.226628895184135</v>
      </c>
      <c r="Y16" s="89">
        <f t="shared" si="13"/>
        <v>79.1</v>
      </c>
      <c r="Z16" s="89">
        <f t="shared" si="14"/>
        <v>34.8</v>
      </c>
      <c r="AA16" s="11">
        <f t="shared" si="9"/>
        <v>43.994943109987354</v>
      </c>
      <c r="AB16" s="44">
        <v>33.7</v>
      </c>
      <c r="AC16" s="44">
        <v>21.8</v>
      </c>
      <c r="AD16" s="11">
        <f t="shared" si="6"/>
        <v>64.68842729970326</v>
      </c>
      <c r="AE16" s="44">
        <v>28.9</v>
      </c>
      <c r="AF16" s="44">
        <v>21.9</v>
      </c>
      <c r="AG16" s="11">
        <f t="shared" si="21"/>
        <v>75.77854671280276</v>
      </c>
      <c r="AH16" s="44">
        <v>1.1</v>
      </c>
      <c r="AI16" s="44">
        <v>22.9</v>
      </c>
      <c r="AJ16" s="89">
        <f t="shared" si="15"/>
        <v>63.7</v>
      </c>
      <c r="AK16" s="89">
        <f t="shared" si="16"/>
        <v>66.6</v>
      </c>
      <c r="AL16" s="11">
        <f t="shared" si="10"/>
        <v>104.55259026687598</v>
      </c>
      <c r="AM16" s="44">
        <v>16.1</v>
      </c>
      <c r="AN16" s="44">
        <v>17.1</v>
      </c>
      <c r="AO16" s="72">
        <f t="shared" si="17"/>
        <v>146.1</v>
      </c>
      <c r="AP16" s="72">
        <f t="shared" si="18"/>
        <v>145.39999999999998</v>
      </c>
      <c r="AQ16" s="11">
        <f t="shared" si="7"/>
        <v>99.52087611225187</v>
      </c>
      <c r="AR16" s="89">
        <f t="shared" si="19"/>
        <v>0.700000000000017</v>
      </c>
      <c r="AS16" s="90">
        <f t="shared" si="20"/>
        <v>-101.39999999999998</v>
      </c>
      <c r="AT16" s="45"/>
      <c r="AU16" s="45"/>
      <c r="AV16" s="45"/>
      <c r="AW16" s="45"/>
      <c r="AX16" s="46"/>
      <c r="AY16" s="46"/>
      <c r="AZ16" s="45"/>
      <c r="BA16" s="46"/>
      <c r="BB16" s="46"/>
      <c r="BC16" s="46"/>
      <c r="BD16" s="46"/>
    </row>
    <row r="17" spans="1:56" ht="24.75" customHeight="1">
      <c r="A17" s="13" t="s">
        <v>22</v>
      </c>
      <c r="B17" s="15" t="s">
        <v>99</v>
      </c>
      <c r="C17" s="91">
        <f>2089.7+1257.6</f>
        <v>3347.2999999999997</v>
      </c>
      <c r="D17" s="44">
        <f>370.4+212.9</f>
        <v>583.3</v>
      </c>
      <c r="E17" s="44">
        <f>321.6+204.7</f>
        <v>526.3</v>
      </c>
      <c r="F17" s="11">
        <f t="shared" si="0"/>
        <v>90.22801302931596</v>
      </c>
      <c r="G17" s="44">
        <f>309.7+218.7</f>
        <v>528.4</v>
      </c>
      <c r="H17" s="44">
        <f>218.6+211.3</f>
        <v>429.9</v>
      </c>
      <c r="I17" s="11">
        <f t="shared" si="1"/>
        <v>81.35881907645724</v>
      </c>
      <c r="J17" s="44">
        <f>202.7+348.2</f>
        <v>550.9</v>
      </c>
      <c r="K17" s="44">
        <f>208.2+291.7</f>
        <v>499.9</v>
      </c>
      <c r="L17" s="11">
        <f t="shared" si="2"/>
        <v>90.74242149210383</v>
      </c>
      <c r="M17" s="89">
        <f t="shared" si="11"/>
        <v>1662.6</v>
      </c>
      <c r="N17" s="89">
        <f t="shared" si="12"/>
        <v>1456.1</v>
      </c>
      <c r="O17" s="11">
        <f t="shared" si="8"/>
        <v>87.5796944544689</v>
      </c>
      <c r="P17" s="44">
        <f>303.7+221.2</f>
        <v>524.9</v>
      </c>
      <c r="Q17" s="44">
        <f>283.1+174.3</f>
        <v>457.40000000000003</v>
      </c>
      <c r="R17" s="11">
        <f t="shared" si="3"/>
        <v>87.14040769670414</v>
      </c>
      <c r="S17" s="44">
        <f>320.1+357.9</f>
        <v>678</v>
      </c>
      <c r="T17" s="44">
        <f>227.1+329.4</f>
        <v>556.5</v>
      </c>
      <c r="U17" s="11">
        <f t="shared" si="4"/>
        <v>82.07964601769912</v>
      </c>
      <c r="V17" s="44">
        <f>211.4+401.9</f>
        <v>613.3</v>
      </c>
      <c r="W17" s="44">
        <f>230.9+367.9</f>
        <v>598.8</v>
      </c>
      <c r="X17" s="11">
        <f t="shared" si="5"/>
        <v>97.6357410728844</v>
      </c>
      <c r="Y17" s="89">
        <f t="shared" si="13"/>
        <v>1816.2</v>
      </c>
      <c r="Z17" s="89">
        <f t="shared" si="14"/>
        <v>1612.7</v>
      </c>
      <c r="AA17" s="11">
        <f t="shared" si="9"/>
        <v>88.79528686268033</v>
      </c>
      <c r="AB17" s="44">
        <f>32.7+437.9+202.9</f>
        <v>673.5</v>
      </c>
      <c r="AC17" s="44">
        <f>233.7+371.9</f>
        <v>605.5999999999999</v>
      </c>
      <c r="AD17" s="11">
        <f t="shared" si="6"/>
        <v>89.91833704528581</v>
      </c>
      <c r="AE17" s="44">
        <f>-21.3+463.9+282.1</f>
        <v>724.7</v>
      </c>
      <c r="AF17" s="44">
        <f>118.6+392.7+89.8</f>
        <v>601.0999999999999</v>
      </c>
      <c r="AG17" s="11">
        <f t="shared" si="21"/>
        <v>82.94466675865874</v>
      </c>
      <c r="AH17" s="44">
        <f>50.9+457.1+288.7</f>
        <v>796.7</v>
      </c>
      <c r="AI17" s="44">
        <f>97.8+363.9+203.7</f>
        <v>665.4</v>
      </c>
      <c r="AJ17" s="89">
        <f t="shared" si="15"/>
        <v>2194.9</v>
      </c>
      <c r="AK17" s="89">
        <f t="shared" si="16"/>
        <v>1872.1</v>
      </c>
      <c r="AL17" s="11">
        <f t="shared" si="10"/>
        <v>85.29317964371953</v>
      </c>
      <c r="AM17" s="44">
        <f>0.7+397.7+202.7</f>
        <v>601.0999999999999</v>
      </c>
      <c r="AN17" s="44">
        <f>59.3+371.7+240.2</f>
        <v>671.2</v>
      </c>
      <c r="AO17" s="72">
        <f t="shared" si="17"/>
        <v>6274.800000000001</v>
      </c>
      <c r="AP17" s="72">
        <f t="shared" si="18"/>
        <v>5612.099999999999</v>
      </c>
      <c r="AQ17" s="11">
        <f t="shared" si="7"/>
        <v>89.43870720979152</v>
      </c>
      <c r="AR17" s="89">
        <f t="shared" si="19"/>
        <v>662.7000000000016</v>
      </c>
      <c r="AS17" s="90">
        <f t="shared" si="20"/>
        <v>4010.000000000001</v>
      </c>
      <c r="AT17" s="45"/>
      <c r="AU17" s="45"/>
      <c r="AV17" s="45"/>
      <c r="AW17" s="45"/>
      <c r="AX17" s="46"/>
      <c r="AY17" s="46"/>
      <c r="AZ17" s="45"/>
      <c r="BA17" s="46"/>
      <c r="BB17" s="46"/>
      <c r="BC17" s="46"/>
      <c r="BD17" s="46"/>
    </row>
    <row r="18" spans="1:56" ht="24.75" customHeight="1">
      <c r="A18" s="13" t="s">
        <v>23</v>
      </c>
      <c r="B18" s="15" t="s">
        <v>100</v>
      </c>
      <c r="C18" s="88">
        <v>-64.5</v>
      </c>
      <c r="D18" s="44">
        <v>43.1</v>
      </c>
      <c r="E18" s="44">
        <v>62.1</v>
      </c>
      <c r="F18" s="11">
        <f t="shared" si="0"/>
        <v>144.0835266821346</v>
      </c>
      <c r="G18" s="44">
        <v>39.8</v>
      </c>
      <c r="H18" s="44">
        <v>40.6</v>
      </c>
      <c r="I18" s="11">
        <f t="shared" si="1"/>
        <v>102.01005025125629</v>
      </c>
      <c r="J18" s="44">
        <v>50.3</v>
      </c>
      <c r="K18" s="44">
        <v>45.5</v>
      </c>
      <c r="L18" s="11">
        <f t="shared" si="2"/>
        <v>90.4572564612326</v>
      </c>
      <c r="M18" s="89">
        <f t="shared" si="11"/>
        <v>133.2</v>
      </c>
      <c r="N18" s="89">
        <f t="shared" si="12"/>
        <v>148.2</v>
      </c>
      <c r="O18" s="11">
        <f t="shared" si="8"/>
        <v>111.26126126126125</v>
      </c>
      <c r="P18" s="44">
        <v>53.4</v>
      </c>
      <c r="Q18" s="44">
        <v>47.9</v>
      </c>
      <c r="R18" s="11">
        <f t="shared" si="3"/>
        <v>89.70037453183521</v>
      </c>
      <c r="S18" s="44">
        <v>147.6</v>
      </c>
      <c r="T18" s="44">
        <v>78.1</v>
      </c>
      <c r="U18" s="11">
        <f t="shared" si="4"/>
        <v>52.913279132791324</v>
      </c>
      <c r="V18" s="44">
        <v>85.4</v>
      </c>
      <c r="W18" s="44">
        <v>64.5</v>
      </c>
      <c r="X18" s="11">
        <f t="shared" si="5"/>
        <v>75.52693208430912</v>
      </c>
      <c r="Y18" s="89">
        <f t="shared" si="13"/>
        <v>286.4</v>
      </c>
      <c r="Z18" s="89">
        <f t="shared" si="14"/>
        <v>190.5</v>
      </c>
      <c r="AA18" s="11">
        <f t="shared" si="9"/>
        <v>66.51536312849163</v>
      </c>
      <c r="AB18" s="44">
        <v>88.7</v>
      </c>
      <c r="AC18" s="44">
        <v>85.3</v>
      </c>
      <c r="AD18" s="11">
        <f t="shared" si="6"/>
        <v>96.16685456595265</v>
      </c>
      <c r="AE18" s="44">
        <v>75.7</v>
      </c>
      <c r="AF18" s="44">
        <v>82.3</v>
      </c>
      <c r="AG18" s="11">
        <f t="shared" si="21"/>
        <v>108.71862615587847</v>
      </c>
      <c r="AH18" s="44">
        <v>86.4</v>
      </c>
      <c r="AI18" s="44">
        <v>81.5</v>
      </c>
      <c r="AJ18" s="89">
        <f t="shared" si="15"/>
        <v>250.8</v>
      </c>
      <c r="AK18" s="89">
        <f t="shared" si="16"/>
        <v>249.1</v>
      </c>
      <c r="AL18" s="11">
        <f t="shared" si="10"/>
        <v>99.32216905901116</v>
      </c>
      <c r="AM18" s="44">
        <v>68.6</v>
      </c>
      <c r="AN18" s="44">
        <v>97.2</v>
      </c>
      <c r="AO18" s="72">
        <f t="shared" si="17"/>
        <v>739</v>
      </c>
      <c r="AP18" s="72">
        <f t="shared" si="18"/>
        <v>685</v>
      </c>
      <c r="AQ18" s="11">
        <f t="shared" si="7"/>
        <v>92.69282814614344</v>
      </c>
      <c r="AR18" s="89">
        <f t="shared" si="19"/>
        <v>54</v>
      </c>
      <c r="AS18" s="90">
        <f t="shared" si="20"/>
        <v>-10.5</v>
      </c>
      <c r="AT18" s="45"/>
      <c r="AU18" s="45"/>
      <c r="AV18" s="45"/>
      <c r="AW18" s="45"/>
      <c r="AX18" s="46"/>
      <c r="AY18" s="46"/>
      <c r="AZ18" s="45"/>
      <c r="BA18" s="46"/>
      <c r="BB18" s="46"/>
      <c r="BC18" s="46"/>
      <c r="BD18" s="46"/>
    </row>
    <row r="19" spans="1:56" ht="24.75" customHeight="1">
      <c r="A19" s="13" t="s">
        <v>24</v>
      </c>
      <c r="B19" s="47" t="s">
        <v>101</v>
      </c>
      <c r="C19" s="88">
        <v>-77.5</v>
      </c>
      <c r="D19" s="44">
        <v>96.8</v>
      </c>
      <c r="E19" s="44">
        <v>252.6</v>
      </c>
      <c r="F19" s="11">
        <f t="shared" si="0"/>
        <v>260.95041322314046</v>
      </c>
      <c r="G19" s="44">
        <v>47.3</v>
      </c>
      <c r="H19" s="44">
        <v>238.2</v>
      </c>
      <c r="I19" s="75">
        <f t="shared" si="1"/>
        <v>503.59408033826634</v>
      </c>
      <c r="J19" s="44">
        <v>86.2</v>
      </c>
      <c r="K19" s="44">
        <v>257.5</v>
      </c>
      <c r="L19" s="75">
        <f t="shared" si="2"/>
        <v>298.723897911833</v>
      </c>
      <c r="M19" s="89">
        <f t="shared" si="11"/>
        <v>230.3</v>
      </c>
      <c r="N19" s="89">
        <f t="shared" si="12"/>
        <v>748.3</v>
      </c>
      <c r="O19" s="11">
        <f t="shared" si="8"/>
        <v>324.92401215805467</v>
      </c>
      <c r="P19" s="44">
        <v>288</v>
      </c>
      <c r="Q19" s="44">
        <v>219</v>
      </c>
      <c r="R19" s="141">
        <f t="shared" si="3"/>
        <v>76.04166666666666</v>
      </c>
      <c r="S19" s="44">
        <v>1236.1</v>
      </c>
      <c r="T19" s="44">
        <v>315</v>
      </c>
      <c r="U19" s="141">
        <f t="shared" si="4"/>
        <v>25.483375131461855</v>
      </c>
      <c r="V19" s="44">
        <v>712.8</v>
      </c>
      <c r="W19" s="44">
        <v>286.4</v>
      </c>
      <c r="X19" s="141">
        <f t="shared" si="5"/>
        <v>40.17957351290685</v>
      </c>
      <c r="Y19" s="89">
        <f t="shared" si="13"/>
        <v>2236.8999999999996</v>
      </c>
      <c r="Z19" s="89">
        <f t="shared" si="14"/>
        <v>820.4</v>
      </c>
      <c r="AA19" s="11">
        <f t="shared" si="9"/>
        <v>36.67575662747553</v>
      </c>
      <c r="AB19" s="44">
        <v>601.3</v>
      </c>
      <c r="AC19" s="44">
        <v>661.4</v>
      </c>
      <c r="AD19" s="141">
        <f t="shared" si="6"/>
        <v>109.99501080991185</v>
      </c>
      <c r="AE19" s="44">
        <v>300.9</v>
      </c>
      <c r="AF19" s="44">
        <v>495.4</v>
      </c>
      <c r="AG19" s="141">
        <f t="shared" si="21"/>
        <v>164.63941508806914</v>
      </c>
      <c r="AH19" s="44">
        <v>306.1</v>
      </c>
      <c r="AI19" s="44">
        <v>478</v>
      </c>
      <c r="AJ19" s="89">
        <f t="shared" si="15"/>
        <v>1208.3</v>
      </c>
      <c r="AK19" s="89">
        <f t="shared" si="16"/>
        <v>1634.8</v>
      </c>
      <c r="AL19" s="11">
        <f t="shared" si="10"/>
        <v>135.2975254489779</v>
      </c>
      <c r="AM19" s="44">
        <v>451.2</v>
      </c>
      <c r="AN19" s="44">
        <v>482.3</v>
      </c>
      <c r="AO19" s="72">
        <f t="shared" si="17"/>
        <v>4126.7</v>
      </c>
      <c r="AP19" s="72">
        <f t="shared" si="18"/>
        <v>3685.8</v>
      </c>
      <c r="AQ19" s="11">
        <f t="shared" si="7"/>
        <v>89.31591828822062</v>
      </c>
      <c r="AR19" s="89">
        <f t="shared" si="19"/>
        <v>440.89999999999964</v>
      </c>
      <c r="AS19" s="90">
        <f t="shared" si="20"/>
        <v>363.39999999999964</v>
      </c>
      <c r="AT19" s="45"/>
      <c r="AU19" s="45"/>
      <c r="AV19" s="45"/>
      <c r="AW19" s="45"/>
      <c r="AX19" s="46"/>
      <c r="AY19" s="46"/>
      <c r="AZ19" s="45"/>
      <c r="BA19" s="46"/>
      <c r="BB19" s="46"/>
      <c r="BC19" s="46"/>
      <c r="BD19" s="46"/>
    </row>
    <row r="20" spans="1:56" ht="24.75" customHeight="1">
      <c r="A20" s="13" t="s">
        <v>25</v>
      </c>
      <c r="B20" s="15" t="s">
        <v>102</v>
      </c>
      <c r="C20" s="93">
        <v>-46.9</v>
      </c>
      <c r="D20" s="44">
        <v>34.9</v>
      </c>
      <c r="E20" s="44">
        <v>46.3</v>
      </c>
      <c r="F20" s="94">
        <f t="shared" si="0"/>
        <v>132.66475644699142</v>
      </c>
      <c r="G20" s="44">
        <v>26.3</v>
      </c>
      <c r="H20" s="44">
        <v>53.3</v>
      </c>
      <c r="I20" s="11">
        <f t="shared" si="1"/>
        <v>202.66159695817487</v>
      </c>
      <c r="J20" s="44">
        <v>30</v>
      </c>
      <c r="K20" s="44">
        <v>63.6</v>
      </c>
      <c r="L20" s="11">
        <f t="shared" si="2"/>
        <v>212</v>
      </c>
      <c r="M20" s="89">
        <f t="shared" si="11"/>
        <v>91.2</v>
      </c>
      <c r="N20" s="89">
        <f t="shared" si="12"/>
        <v>163.2</v>
      </c>
      <c r="O20" s="11">
        <f t="shared" si="8"/>
        <v>178.9473684210526</v>
      </c>
      <c r="P20" s="44">
        <v>92.2</v>
      </c>
      <c r="Q20" s="44">
        <v>29.6</v>
      </c>
      <c r="R20" s="11">
        <f t="shared" si="3"/>
        <v>32.10412147505423</v>
      </c>
      <c r="S20" s="44">
        <v>265.7</v>
      </c>
      <c r="T20" s="44">
        <v>72.3</v>
      </c>
      <c r="U20" s="11">
        <f t="shared" si="4"/>
        <v>27.211140383891607</v>
      </c>
      <c r="V20" s="44">
        <v>282.1</v>
      </c>
      <c r="W20" s="44">
        <v>74.5</v>
      </c>
      <c r="X20" s="11">
        <f t="shared" si="5"/>
        <v>26.409074796171566</v>
      </c>
      <c r="Y20" s="89">
        <f t="shared" si="13"/>
        <v>640</v>
      </c>
      <c r="Z20" s="89">
        <f t="shared" si="14"/>
        <v>176.4</v>
      </c>
      <c r="AA20" s="11">
        <f t="shared" si="9"/>
        <v>27.5625</v>
      </c>
      <c r="AB20" s="44">
        <v>121.1</v>
      </c>
      <c r="AC20" s="44">
        <v>141.6</v>
      </c>
      <c r="AD20" s="11">
        <f t="shared" si="6"/>
        <v>116.92815854665565</v>
      </c>
      <c r="AE20" s="44">
        <v>108.6</v>
      </c>
      <c r="AF20" s="44">
        <v>122.9</v>
      </c>
      <c r="AG20" s="11">
        <f t="shared" si="21"/>
        <v>113.16758747697975</v>
      </c>
      <c r="AH20" s="44">
        <v>29.7</v>
      </c>
      <c r="AI20" s="44">
        <v>124.6</v>
      </c>
      <c r="AJ20" s="89">
        <f t="shared" si="15"/>
        <v>259.4</v>
      </c>
      <c r="AK20" s="89">
        <f t="shared" si="16"/>
        <v>389.1</v>
      </c>
      <c r="AL20" s="11">
        <f t="shared" si="10"/>
        <v>150.00000000000003</v>
      </c>
      <c r="AM20" s="44">
        <v>86.1</v>
      </c>
      <c r="AN20" s="44">
        <v>113.7</v>
      </c>
      <c r="AO20" s="72">
        <f t="shared" si="17"/>
        <v>1076.7</v>
      </c>
      <c r="AP20" s="72">
        <f t="shared" si="18"/>
        <v>842.4000000000001</v>
      </c>
      <c r="AQ20" s="11">
        <f t="shared" si="7"/>
        <v>78.23906380607411</v>
      </c>
      <c r="AR20" s="89">
        <f t="shared" si="19"/>
        <v>234.29999999999995</v>
      </c>
      <c r="AS20" s="90">
        <f t="shared" si="20"/>
        <v>187.39999999999986</v>
      </c>
      <c r="AT20" s="45"/>
      <c r="AU20" s="45"/>
      <c r="AV20" s="45"/>
      <c r="AW20" s="45"/>
      <c r="AX20" s="46"/>
      <c r="AY20" s="46"/>
      <c r="AZ20" s="45"/>
      <c r="BA20" s="46"/>
      <c r="BB20" s="46"/>
      <c r="BC20" s="46"/>
      <c r="BD20" s="46"/>
    </row>
    <row r="21" spans="1:56" ht="24.75" customHeight="1">
      <c r="A21" s="13" t="s">
        <v>26</v>
      </c>
      <c r="B21" s="56" t="s">
        <v>103</v>
      </c>
      <c r="C21" s="88">
        <v>6.7</v>
      </c>
      <c r="D21" s="44">
        <v>9.6</v>
      </c>
      <c r="E21" s="44">
        <v>7.7</v>
      </c>
      <c r="F21" s="11">
        <f aca="true" t="shared" si="22" ref="F21:F28">E21/D21*100</f>
        <v>80.20833333333334</v>
      </c>
      <c r="G21" s="44">
        <v>6.5</v>
      </c>
      <c r="H21" s="44">
        <v>3.4</v>
      </c>
      <c r="I21" s="11">
        <f t="shared" si="1"/>
        <v>52.307692307692314</v>
      </c>
      <c r="J21" s="44">
        <v>14.5</v>
      </c>
      <c r="K21" s="44">
        <v>14</v>
      </c>
      <c r="L21" s="11">
        <f t="shared" si="2"/>
        <v>96.55172413793103</v>
      </c>
      <c r="M21" s="89">
        <f t="shared" si="11"/>
        <v>30.6</v>
      </c>
      <c r="N21" s="89">
        <f t="shared" si="12"/>
        <v>25.1</v>
      </c>
      <c r="O21" s="11">
        <f t="shared" si="8"/>
        <v>82.02614379084967</v>
      </c>
      <c r="P21" s="44">
        <v>4.5</v>
      </c>
      <c r="Q21" s="44">
        <v>4.6</v>
      </c>
      <c r="R21" s="11">
        <f t="shared" si="3"/>
        <v>102.22222222222221</v>
      </c>
      <c r="S21" s="44">
        <v>8</v>
      </c>
      <c r="T21" s="44">
        <v>8.1</v>
      </c>
      <c r="U21" s="11">
        <f t="shared" si="4"/>
        <v>101.25</v>
      </c>
      <c r="V21" s="44">
        <v>8</v>
      </c>
      <c r="W21" s="44">
        <v>8.3</v>
      </c>
      <c r="X21" s="11">
        <f t="shared" si="5"/>
        <v>103.75000000000001</v>
      </c>
      <c r="Y21" s="89">
        <f t="shared" si="13"/>
        <v>20.5</v>
      </c>
      <c r="Z21" s="89">
        <f t="shared" si="14"/>
        <v>21</v>
      </c>
      <c r="AA21" s="11">
        <f t="shared" si="9"/>
        <v>102.4390243902439</v>
      </c>
      <c r="AB21" s="44">
        <v>9.3</v>
      </c>
      <c r="AC21" s="44">
        <v>9</v>
      </c>
      <c r="AD21" s="11">
        <f t="shared" si="6"/>
        <v>96.77419354838709</v>
      </c>
      <c r="AE21" s="44">
        <v>7.7</v>
      </c>
      <c r="AF21" s="44">
        <v>7.5</v>
      </c>
      <c r="AG21" s="11">
        <f t="shared" si="21"/>
        <v>97.40259740259741</v>
      </c>
      <c r="AH21" s="44">
        <v>9.8</v>
      </c>
      <c r="AI21" s="44">
        <v>9.5</v>
      </c>
      <c r="AJ21" s="89">
        <f t="shared" si="15"/>
        <v>26.8</v>
      </c>
      <c r="AK21" s="89">
        <f t="shared" si="16"/>
        <v>26</v>
      </c>
      <c r="AL21" s="11">
        <f t="shared" si="10"/>
        <v>97.01492537313433</v>
      </c>
      <c r="AM21" s="44">
        <v>15.6</v>
      </c>
      <c r="AN21" s="44">
        <v>16.7</v>
      </c>
      <c r="AO21" s="72">
        <f t="shared" si="17"/>
        <v>93.5</v>
      </c>
      <c r="AP21" s="72">
        <f t="shared" si="18"/>
        <v>88.8</v>
      </c>
      <c r="AQ21" s="11">
        <f t="shared" si="7"/>
        <v>94.97326203208556</v>
      </c>
      <c r="AR21" s="89">
        <f t="shared" si="19"/>
        <v>4.700000000000003</v>
      </c>
      <c r="AS21" s="90">
        <f t="shared" si="20"/>
        <v>11.400000000000006</v>
      </c>
      <c r="AT21" s="45"/>
      <c r="AU21" s="45"/>
      <c r="AV21" s="45"/>
      <c r="AW21" s="45"/>
      <c r="AX21" s="46"/>
      <c r="AY21" s="46"/>
      <c r="AZ21" s="45"/>
      <c r="BA21" s="46"/>
      <c r="BB21" s="46"/>
      <c r="BC21" s="46"/>
      <c r="BD21" s="46"/>
    </row>
    <row r="22" spans="1:56" ht="24.75" customHeight="1">
      <c r="A22" s="13" t="s">
        <v>27</v>
      </c>
      <c r="B22" s="15" t="s">
        <v>104</v>
      </c>
      <c r="C22" s="95">
        <v>247.2</v>
      </c>
      <c r="D22" s="79">
        <v>62</v>
      </c>
      <c r="E22" s="79">
        <v>49.6</v>
      </c>
      <c r="F22" s="96">
        <f t="shared" si="22"/>
        <v>80</v>
      </c>
      <c r="G22" s="44">
        <v>65.1</v>
      </c>
      <c r="H22" s="44">
        <v>107</v>
      </c>
      <c r="I22" s="97">
        <f t="shared" si="1"/>
        <v>164.36251920122888</v>
      </c>
      <c r="J22" s="44">
        <v>143</v>
      </c>
      <c r="K22" s="44">
        <v>54.9</v>
      </c>
      <c r="L22" s="97">
        <f t="shared" si="2"/>
        <v>38.391608391608386</v>
      </c>
      <c r="M22" s="89">
        <f t="shared" si="11"/>
        <v>270.1</v>
      </c>
      <c r="N22" s="89">
        <f t="shared" si="12"/>
        <v>211.5</v>
      </c>
      <c r="O22" s="11">
        <f t="shared" si="8"/>
        <v>78.30433172898925</v>
      </c>
      <c r="P22" s="44">
        <v>177.5</v>
      </c>
      <c r="Q22" s="44">
        <v>56.9</v>
      </c>
      <c r="R22" s="142">
        <f t="shared" si="3"/>
        <v>32.056338028169016</v>
      </c>
      <c r="S22" s="44">
        <v>55.9</v>
      </c>
      <c r="T22" s="44">
        <v>150</v>
      </c>
      <c r="U22" s="142">
        <f t="shared" si="4"/>
        <v>268.3363148479428</v>
      </c>
      <c r="V22" s="44">
        <v>264.7</v>
      </c>
      <c r="W22" s="44">
        <v>79.8</v>
      </c>
      <c r="X22" s="142">
        <f t="shared" si="5"/>
        <v>30.14733660748017</v>
      </c>
      <c r="Y22" s="89">
        <f t="shared" si="13"/>
        <v>498.1</v>
      </c>
      <c r="Z22" s="89">
        <f t="shared" si="14"/>
        <v>286.7</v>
      </c>
      <c r="AA22" s="11">
        <f t="shared" si="9"/>
        <v>57.558723147962255</v>
      </c>
      <c r="AB22" s="44">
        <v>193</v>
      </c>
      <c r="AC22" s="44">
        <v>121</v>
      </c>
      <c r="AD22" s="142">
        <f t="shared" si="6"/>
        <v>62.69430051813472</v>
      </c>
      <c r="AE22" s="44">
        <v>72.4</v>
      </c>
      <c r="AF22" s="44">
        <v>146.3</v>
      </c>
      <c r="AG22" s="142">
        <f t="shared" si="21"/>
        <v>202.0718232044199</v>
      </c>
      <c r="AH22" s="44">
        <v>107.9</v>
      </c>
      <c r="AI22" s="44">
        <v>231.2</v>
      </c>
      <c r="AJ22" s="89">
        <f t="shared" si="15"/>
        <v>373.29999999999995</v>
      </c>
      <c r="AK22" s="89">
        <f t="shared" si="16"/>
        <v>498.5</v>
      </c>
      <c r="AL22" s="11">
        <f t="shared" si="10"/>
        <v>133.53870881328692</v>
      </c>
      <c r="AM22" s="44">
        <v>110.8</v>
      </c>
      <c r="AN22" s="44">
        <v>158.9</v>
      </c>
      <c r="AO22" s="72">
        <f t="shared" si="17"/>
        <v>1252.3</v>
      </c>
      <c r="AP22" s="72">
        <f t="shared" si="18"/>
        <v>1155.6000000000001</v>
      </c>
      <c r="AQ22" s="11">
        <f t="shared" si="7"/>
        <v>92.27820809710134</v>
      </c>
      <c r="AR22" s="89">
        <f t="shared" si="19"/>
        <v>96.69999999999982</v>
      </c>
      <c r="AS22" s="90">
        <f t="shared" si="20"/>
        <v>343.89999999999986</v>
      </c>
      <c r="AT22" s="45"/>
      <c r="AU22" s="45"/>
      <c r="AV22" s="45"/>
      <c r="AW22" s="45"/>
      <c r="AX22" s="46"/>
      <c r="AY22" s="46"/>
      <c r="AZ22" s="45"/>
      <c r="BA22" s="46"/>
      <c r="BB22" s="46"/>
      <c r="BC22" s="46"/>
      <c r="BD22" s="46"/>
    </row>
    <row r="23" spans="1:56" ht="24.75" customHeight="1">
      <c r="A23" s="13" t="s">
        <v>28</v>
      </c>
      <c r="B23" s="15" t="s">
        <v>125</v>
      </c>
      <c r="C23" s="88">
        <v>-85.8</v>
      </c>
      <c r="D23" s="44">
        <v>0</v>
      </c>
      <c r="E23" s="44">
        <v>10.5</v>
      </c>
      <c r="F23" s="98">
        <v>0</v>
      </c>
      <c r="G23" s="44">
        <v>-0.9</v>
      </c>
      <c r="H23" s="44">
        <v>7</v>
      </c>
      <c r="I23" s="97">
        <f t="shared" si="1"/>
        <v>-777.7777777777777</v>
      </c>
      <c r="J23" s="44">
        <v>-2.4</v>
      </c>
      <c r="K23" s="44">
        <v>9.2</v>
      </c>
      <c r="L23" s="97">
        <f t="shared" si="2"/>
        <v>-383.3333333333333</v>
      </c>
      <c r="M23" s="89">
        <f t="shared" si="11"/>
        <v>-3.3</v>
      </c>
      <c r="N23" s="89">
        <f t="shared" si="12"/>
        <v>26.7</v>
      </c>
      <c r="O23" s="11">
        <f t="shared" si="8"/>
        <v>-809.0909090909091</v>
      </c>
      <c r="P23" s="44">
        <v>14.9</v>
      </c>
      <c r="Q23" s="44">
        <v>7.7</v>
      </c>
      <c r="R23" s="142">
        <f t="shared" si="3"/>
        <v>51.67785234899329</v>
      </c>
      <c r="S23" s="44">
        <v>84.4</v>
      </c>
      <c r="T23" s="44">
        <v>12.2</v>
      </c>
      <c r="U23" s="142">
        <f t="shared" si="4"/>
        <v>14.454976303317535</v>
      </c>
      <c r="V23" s="44">
        <v>23.8</v>
      </c>
      <c r="W23" s="44">
        <v>14.7</v>
      </c>
      <c r="X23" s="142">
        <f t="shared" si="5"/>
        <v>61.764705882352935</v>
      </c>
      <c r="Y23" s="89">
        <f t="shared" si="13"/>
        <v>123.10000000000001</v>
      </c>
      <c r="Z23" s="89">
        <f t="shared" si="14"/>
        <v>34.599999999999994</v>
      </c>
      <c r="AA23" s="11">
        <f t="shared" si="9"/>
        <v>28.10722989439479</v>
      </c>
      <c r="AB23" s="44">
        <v>13.8</v>
      </c>
      <c r="AC23" s="44">
        <v>20.9</v>
      </c>
      <c r="AD23" s="142">
        <f t="shared" si="6"/>
        <v>151.44927536231882</v>
      </c>
      <c r="AE23" s="44">
        <v>19</v>
      </c>
      <c r="AF23" s="44">
        <v>18.8</v>
      </c>
      <c r="AG23" s="142">
        <f t="shared" si="21"/>
        <v>98.94736842105264</v>
      </c>
      <c r="AH23" s="44">
        <v>20.7</v>
      </c>
      <c r="AI23" s="44">
        <v>16.5</v>
      </c>
      <c r="AJ23" s="89">
        <f t="shared" si="15"/>
        <v>53.5</v>
      </c>
      <c r="AK23" s="89">
        <f t="shared" si="16"/>
        <v>56.2</v>
      </c>
      <c r="AL23" s="11">
        <f t="shared" si="10"/>
        <v>105.04672897196264</v>
      </c>
      <c r="AM23" s="44">
        <v>9.8</v>
      </c>
      <c r="AN23" s="44">
        <v>9.2</v>
      </c>
      <c r="AO23" s="72">
        <f t="shared" si="17"/>
        <v>183.10000000000002</v>
      </c>
      <c r="AP23" s="72">
        <f t="shared" si="18"/>
        <v>126.7</v>
      </c>
      <c r="AQ23" s="11">
        <f t="shared" si="7"/>
        <v>69.19716002184599</v>
      </c>
      <c r="AR23" s="89">
        <f t="shared" si="19"/>
        <v>56.40000000000002</v>
      </c>
      <c r="AS23" s="90">
        <f t="shared" si="20"/>
        <v>-29.399999999999977</v>
      </c>
      <c r="AT23" s="45"/>
      <c r="AU23" s="45"/>
      <c r="AV23" s="45"/>
      <c r="AW23" s="45"/>
      <c r="AX23" s="46"/>
      <c r="AY23" s="46"/>
      <c r="AZ23" s="45"/>
      <c r="BA23" s="46"/>
      <c r="BB23" s="46"/>
      <c r="BC23" s="46"/>
      <c r="BD23" s="46"/>
    </row>
    <row r="24" spans="1:56" ht="24.75" customHeight="1">
      <c r="A24" s="13" t="s">
        <v>29</v>
      </c>
      <c r="B24" s="15" t="s">
        <v>105</v>
      </c>
      <c r="C24" s="88">
        <v>-1676.3</v>
      </c>
      <c r="D24" s="44">
        <v>268</v>
      </c>
      <c r="E24" s="44">
        <v>583.2</v>
      </c>
      <c r="F24" s="11">
        <f t="shared" si="22"/>
        <v>217.6119402985075</v>
      </c>
      <c r="G24" s="44">
        <v>280.2</v>
      </c>
      <c r="H24" s="44">
        <v>584.6</v>
      </c>
      <c r="I24" s="11">
        <f t="shared" si="1"/>
        <v>208.63668807994293</v>
      </c>
      <c r="J24" s="44">
        <v>288</v>
      </c>
      <c r="K24" s="44">
        <v>644.5</v>
      </c>
      <c r="L24" s="11">
        <f t="shared" si="2"/>
        <v>223.78472222222223</v>
      </c>
      <c r="M24" s="89">
        <f t="shared" si="11"/>
        <v>836.2</v>
      </c>
      <c r="N24" s="89">
        <f t="shared" si="12"/>
        <v>1812.3000000000002</v>
      </c>
      <c r="O24" s="11">
        <f t="shared" si="8"/>
        <v>216.73044726142075</v>
      </c>
      <c r="P24" s="44">
        <v>736.1</v>
      </c>
      <c r="Q24" s="44">
        <v>511.7</v>
      </c>
      <c r="R24" s="11">
        <f t="shared" si="3"/>
        <v>69.5150115473441</v>
      </c>
      <c r="S24" s="44">
        <v>3125</v>
      </c>
      <c r="T24" s="44">
        <v>775.6</v>
      </c>
      <c r="U24" s="11">
        <f t="shared" si="4"/>
        <v>24.8192</v>
      </c>
      <c r="V24" s="44">
        <v>1086.9</v>
      </c>
      <c r="W24" s="44">
        <v>776.4</v>
      </c>
      <c r="X24" s="142">
        <f t="shared" si="5"/>
        <v>71.4325144907535</v>
      </c>
      <c r="Y24" s="89">
        <f t="shared" si="13"/>
        <v>4948</v>
      </c>
      <c r="Z24" s="89">
        <f t="shared" si="14"/>
        <v>2063.7</v>
      </c>
      <c r="AA24" s="11">
        <f t="shared" si="9"/>
        <v>41.70776071139854</v>
      </c>
      <c r="AB24" s="44">
        <v>528.5</v>
      </c>
      <c r="AC24" s="44">
        <v>998.7</v>
      </c>
      <c r="AD24" s="142">
        <f t="shared" si="6"/>
        <v>188.96877956480606</v>
      </c>
      <c r="AE24" s="44">
        <v>585.1</v>
      </c>
      <c r="AF24" s="44">
        <v>1014.5</v>
      </c>
      <c r="AG24" s="142">
        <f t="shared" si="21"/>
        <v>173.3891642454281</v>
      </c>
      <c r="AH24" s="44">
        <v>868.6</v>
      </c>
      <c r="AI24" s="44">
        <v>916.2</v>
      </c>
      <c r="AJ24" s="89">
        <f t="shared" si="15"/>
        <v>1982.1999999999998</v>
      </c>
      <c r="AK24" s="89">
        <f t="shared" si="16"/>
        <v>2929.4</v>
      </c>
      <c r="AL24" s="11">
        <f t="shared" si="10"/>
        <v>147.78528907274747</v>
      </c>
      <c r="AM24" s="44">
        <v>715.1</v>
      </c>
      <c r="AN24" s="44">
        <v>927.7</v>
      </c>
      <c r="AO24" s="72">
        <f t="shared" si="17"/>
        <v>8481.5</v>
      </c>
      <c r="AP24" s="72">
        <f t="shared" si="18"/>
        <v>7733.099999999999</v>
      </c>
      <c r="AQ24" s="11">
        <f t="shared" si="7"/>
        <v>91.17608913517655</v>
      </c>
      <c r="AR24" s="89">
        <f t="shared" si="19"/>
        <v>748.4000000000005</v>
      </c>
      <c r="AS24" s="90">
        <f t="shared" si="20"/>
        <v>-927.8999999999996</v>
      </c>
      <c r="AT24" s="45"/>
      <c r="AU24" s="45"/>
      <c r="AV24" s="45"/>
      <c r="AW24" s="45"/>
      <c r="AX24" s="46"/>
      <c r="AY24" s="46"/>
      <c r="AZ24" s="45"/>
      <c r="BA24" s="46"/>
      <c r="BB24" s="46"/>
      <c r="BC24" s="46"/>
      <c r="BD24" s="46"/>
    </row>
    <row r="25" spans="1:56" ht="24.75" customHeight="1">
      <c r="A25" s="13" t="s">
        <v>30</v>
      </c>
      <c r="B25" s="47" t="s">
        <v>106</v>
      </c>
      <c r="C25" s="88">
        <v>-725.4</v>
      </c>
      <c r="D25" s="44">
        <v>-27.1</v>
      </c>
      <c r="E25" s="44">
        <v>70.1</v>
      </c>
      <c r="F25" s="11">
        <f t="shared" si="22"/>
        <v>-258.67158671586714</v>
      </c>
      <c r="G25" s="44">
        <v>-32</v>
      </c>
      <c r="H25" s="44">
        <v>66.1</v>
      </c>
      <c r="I25" s="11">
        <f>H25/G25*100</f>
        <v>-206.56249999999997</v>
      </c>
      <c r="J25" s="44">
        <v>-18</v>
      </c>
      <c r="K25" s="44">
        <v>73.5</v>
      </c>
      <c r="L25" s="11">
        <f>K25/J25*100</f>
        <v>-408.3333333333333</v>
      </c>
      <c r="M25" s="89">
        <f t="shared" si="11"/>
        <v>-77.1</v>
      </c>
      <c r="N25" s="89">
        <f t="shared" si="12"/>
        <v>209.7</v>
      </c>
      <c r="O25" s="11">
        <f t="shared" si="8"/>
        <v>-271.98443579766536</v>
      </c>
      <c r="P25" s="44">
        <v>68</v>
      </c>
      <c r="Q25" s="44">
        <v>66.9</v>
      </c>
      <c r="R25" s="11">
        <f>Q25/P25*100</f>
        <v>98.38235294117648</v>
      </c>
      <c r="S25" s="44">
        <v>824.8</v>
      </c>
      <c r="T25" s="44">
        <v>93.8</v>
      </c>
      <c r="U25" s="11">
        <f>T25/S25*100</f>
        <v>11.372453928225026</v>
      </c>
      <c r="V25" s="44">
        <v>17.8</v>
      </c>
      <c r="W25" s="44">
        <v>113.8</v>
      </c>
      <c r="X25" s="11">
        <f>W25/V25*100</f>
        <v>639.3258426966293</v>
      </c>
      <c r="Y25" s="89">
        <f t="shared" si="13"/>
        <v>910.5999999999999</v>
      </c>
      <c r="Z25" s="89">
        <f t="shared" si="14"/>
        <v>274.5</v>
      </c>
      <c r="AA25" s="11">
        <f t="shared" si="9"/>
        <v>30.144959367450035</v>
      </c>
      <c r="AB25" s="44">
        <v>139.1</v>
      </c>
      <c r="AC25" s="44">
        <v>139.3</v>
      </c>
      <c r="AD25" s="11">
        <f>AC25/AB25*100</f>
        <v>100.14378145219267</v>
      </c>
      <c r="AE25" s="44">
        <v>105.5</v>
      </c>
      <c r="AF25" s="44">
        <v>135.7</v>
      </c>
      <c r="AG25" s="11">
        <f>AF25/AE25*100</f>
        <v>128.6255924170616</v>
      </c>
      <c r="AH25" s="44">
        <v>109.8</v>
      </c>
      <c r="AI25" s="44">
        <v>134.5</v>
      </c>
      <c r="AJ25" s="89">
        <f t="shared" si="15"/>
        <v>354.4</v>
      </c>
      <c r="AK25" s="89">
        <f t="shared" si="16"/>
        <v>409.5</v>
      </c>
      <c r="AL25" s="11">
        <f t="shared" si="10"/>
        <v>115.54740406320543</v>
      </c>
      <c r="AM25" s="44">
        <v>56.6</v>
      </c>
      <c r="AN25" s="44">
        <v>137.9</v>
      </c>
      <c r="AO25" s="72">
        <f t="shared" si="17"/>
        <v>1244.4999999999998</v>
      </c>
      <c r="AP25" s="72">
        <f t="shared" si="18"/>
        <v>1031.6000000000001</v>
      </c>
      <c r="AQ25" s="11">
        <f t="shared" si="7"/>
        <v>82.89272800321416</v>
      </c>
      <c r="AR25" s="89">
        <f t="shared" si="19"/>
        <v>212.89999999999964</v>
      </c>
      <c r="AS25" s="90">
        <f t="shared" si="20"/>
        <v>-512.5000000000003</v>
      </c>
      <c r="AT25" s="45"/>
      <c r="AU25" s="45"/>
      <c r="AV25" s="45"/>
      <c r="AW25" s="45"/>
      <c r="AX25" s="46"/>
      <c r="AY25" s="46"/>
      <c r="AZ25" s="45"/>
      <c r="BA25" s="46"/>
      <c r="BB25" s="46"/>
      <c r="BC25" s="46"/>
      <c r="BD25" s="46"/>
    </row>
    <row r="26" spans="1:56" ht="24.75" customHeight="1">
      <c r="A26" s="13" t="s">
        <v>31</v>
      </c>
      <c r="B26" s="15" t="s">
        <v>107</v>
      </c>
      <c r="C26" s="88">
        <v>63.5</v>
      </c>
      <c r="D26" s="44">
        <v>16.4</v>
      </c>
      <c r="E26" s="44">
        <v>8.9</v>
      </c>
      <c r="F26" s="11">
        <f t="shared" si="22"/>
        <v>54.268292682926834</v>
      </c>
      <c r="G26" s="44">
        <v>19.6</v>
      </c>
      <c r="H26" s="44">
        <v>6.5</v>
      </c>
      <c r="I26" s="11">
        <f>H26/G26*100</f>
        <v>33.16326530612245</v>
      </c>
      <c r="J26" s="44">
        <v>17.6</v>
      </c>
      <c r="K26" s="44">
        <v>8.7</v>
      </c>
      <c r="L26" s="11">
        <f>K26/J26*100</f>
        <v>49.43181818181817</v>
      </c>
      <c r="M26" s="89">
        <f t="shared" si="11"/>
        <v>53.6</v>
      </c>
      <c r="N26" s="89">
        <f t="shared" si="12"/>
        <v>24.1</v>
      </c>
      <c r="O26" s="11">
        <f t="shared" si="8"/>
        <v>44.96268656716418</v>
      </c>
      <c r="P26" s="44">
        <v>16.7</v>
      </c>
      <c r="Q26" s="44">
        <v>7.1</v>
      </c>
      <c r="R26" s="11">
        <f>Q26/P26*100</f>
        <v>42.51497005988024</v>
      </c>
      <c r="S26" s="44">
        <v>15.6</v>
      </c>
      <c r="T26" s="44">
        <v>9.9</v>
      </c>
      <c r="U26" s="11">
        <f>T26/S26*100</f>
        <v>63.46153846153847</v>
      </c>
      <c r="V26" s="44">
        <v>16.1</v>
      </c>
      <c r="W26" s="44">
        <v>12.1</v>
      </c>
      <c r="X26" s="11">
        <f>W26/V26*100</f>
        <v>75.15527950310558</v>
      </c>
      <c r="Y26" s="89">
        <f t="shared" si="13"/>
        <v>48.4</v>
      </c>
      <c r="Z26" s="89">
        <f t="shared" si="14"/>
        <v>29.1</v>
      </c>
      <c r="AA26" s="11">
        <f t="shared" si="9"/>
        <v>60.12396694214877</v>
      </c>
      <c r="AB26" s="44">
        <v>15.8</v>
      </c>
      <c r="AC26" s="44">
        <v>13.2</v>
      </c>
      <c r="AD26" s="11">
        <f>AC26/AB26*100</f>
        <v>83.54430379746834</v>
      </c>
      <c r="AE26" s="44">
        <v>15.9</v>
      </c>
      <c r="AF26" s="44">
        <v>13.4</v>
      </c>
      <c r="AG26" s="11">
        <f>AF26/AE26*100</f>
        <v>84.27672955974843</v>
      </c>
      <c r="AH26" s="44">
        <v>16.2</v>
      </c>
      <c r="AI26" s="44">
        <v>10.1</v>
      </c>
      <c r="AJ26" s="89">
        <f t="shared" si="15"/>
        <v>47.900000000000006</v>
      </c>
      <c r="AK26" s="89">
        <f t="shared" si="16"/>
        <v>36.7</v>
      </c>
      <c r="AL26" s="11">
        <f t="shared" si="10"/>
        <v>76.61795407098121</v>
      </c>
      <c r="AM26" s="44">
        <v>16.4</v>
      </c>
      <c r="AN26" s="44">
        <v>12.4</v>
      </c>
      <c r="AO26" s="72">
        <f t="shared" si="17"/>
        <v>166.3</v>
      </c>
      <c r="AP26" s="72">
        <f t="shared" si="18"/>
        <v>102.30000000000001</v>
      </c>
      <c r="AQ26" s="11">
        <f t="shared" si="7"/>
        <v>61.515333734215275</v>
      </c>
      <c r="AR26" s="89">
        <f t="shared" si="19"/>
        <v>64</v>
      </c>
      <c r="AS26" s="90">
        <f t="shared" si="20"/>
        <v>127.5</v>
      </c>
      <c r="AT26" s="45"/>
      <c r="AU26" s="45"/>
      <c r="AV26" s="45"/>
      <c r="AW26" s="45"/>
      <c r="AX26" s="46"/>
      <c r="AY26" s="46"/>
      <c r="AZ26" s="45"/>
      <c r="BA26" s="46"/>
      <c r="BB26" s="46"/>
      <c r="BC26" s="46"/>
      <c r="BD26" s="46"/>
    </row>
    <row r="27" spans="1:56" ht="24.75" customHeight="1">
      <c r="A27" s="13" t="s">
        <v>32</v>
      </c>
      <c r="B27" s="15" t="s">
        <v>108</v>
      </c>
      <c r="C27" s="88">
        <v>-1643.2</v>
      </c>
      <c r="D27" s="44">
        <v>-154.7</v>
      </c>
      <c r="E27" s="44">
        <v>106.8</v>
      </c>
      <c r="F27" s="64">
        <f t="shared" si="22"/>
        <v>-69.03684550743374</v>
      </c>
      <c r="G27" s="44">
        <v>-35.8</v>
      </c>
      <c r="H27" s="44">
        <v>91.3</v>
      </c>
      <c r="I27" s="11">
        <f>H27/G27*100</f>
        <v>-255.02793296089385</v>
      </c>
      <c r="J27" s="44">
        <v>-489.4</v>
      </c>
      <c r="K27" s="44">
        <v>91.9</v>
      </c>
      <c r="L27" s="11">
        <f>K27/J27*100</f>
        <v>-18.778095627298736</v>
      </c>
      <c r="M27" s="89">
        <f t="shared" si="11"/>
        <v>-679.9</v>
      </c>
      <c r="N27" s="89">
        <f t="shared" si="12"/>
        <v>290</v>
      </c>
      <c r="O27" s="11">
        <f t="shared" si="8"/>
        <v>-42.65333137226063</v>
      </c>
      <c r="P27" s="44">
        <v>24</v>
      </c>
      <c r="Q27" s="44">
        <v>77.2</v>
      </c>
      <c r="R27" s="11">
        <f>Q27/P27*100</f>
        <v>321.6666666666667</v>
      </c>
      <c r="S27" s="44">
        <v>1920.6</v>
      </c>
      <c r="T27" s="44">
        <v>136.7</v>
      </c>
      <c r="U27" s="11">
        <f>T27/S27*100</f>
        <v>7.117567426845777</v>
      </c>
      <c r="V27" s="44">
        <v>324.7</v>
      </c>
      <c r="W27" s="44">
        <v>232.1</v>
      </c>
      <c r="X27" s="11">
        <f>W27/V27*100</f>
        <v>71.48136741607638</v>
      </c>
      <c r="Y27" s="89">
        <f t="shared" si="13"/>
        <v>2269.2999999999997</v>
      </c>
      <c r="Z27" s="89">
        <f t="shared" si="14"/>
        <v>446</v>
      </c>
      <c r="AA27" s="11">
        <f t="shared" si="9"/>
        <v>19.65363768562993</v>
      </c>
      <c r="AB27" s="44">
        <v>-61.7</v>
      </c>
      <c r="AC27" s="44">
        <v>178.5</v>
      </c>
      <c r="AD27" s="11">
        <f>AC27/AB27*100</f>
        <v>-289.30307941653155</v>
      </c>
      <c r="AE27" s="44">
        <v>-195.6</v>
      </c>
      <c r="AF27" s="44">
        <v>218.2</v>
      </c>
      <c r="AG27" s="11">
        <f>AF27/AE27*100</f>
        <v>-111.55419222903886</v>
      </c>
      <c r="AH27" s="44">
        <v>-6.9</v>
      </c>
      <c r="AI27" s="44">
        <v>223.1</v>
      </c>
      <c r="AJ27" s="89">
        <f t="shared" si="15"/>
        <v>-264.2</v>
      </c>
      <c r="AK27" s="89">
        <f t="shared" si="16"/>
        <v>619.8</v>
      </c>
      <c r="AL27" s="11">
        <f t="shared" si="10"/>
        <v>-234.59500378501136</v>
      </c>
      <c r="AM27" s="44">
        <v>17.2</v>
      </c>
      <c r="AN27" s="44">
        <v>241.9</v>
      </c>
      <c r="AO27" s="72">
        <f t="shared" si="17"/>
        <v>1342.3999999999996</v>
      </c>
      <c r="AP27" s="72">
        <f t="shared" si="18"/>
        <v>1597.7</v>
      </c>
      <c r="AQ27" s="11">
        <f t="shared" si="7"/>
        <v>119.01817640047679</v>
      </c>
      <c r="AR27" s="89">
        <f t="shared" si="19"/>
        <v>-255.3000000000004</v>
      </c>
      <c r="AS27" s="90">
        <f t="shared" si="20"/>
        <v>-1898.5000000000005</v>
      </c>
      <c r="AT27" s="45"/>
      <c r="AU27" s="45"/>
      <c r="AV27" s="45"/>
      <c r="AW27" s="45"/>
      <c r="AX27" s="46"/>
      <c r="AY27" s="46"/>
      <c r="AZ27" s="45"/>
      <c r="BA27" s="46"/>
      <c r="BB27" s="46"/>
      <c r="BC27" s="46"/>
      <c r="BD27" s="46"/>
    </row>
    <row r="28" spans="1:56" ht="24.75" customHeight="1">
      <c r="A28" s="13" t="s">
        <v>33</v>
      </c>
      <c r="B28" s="47" t="s">
        <v>109</v>
      </c>
      <c r="C28" s="93">
        <v>-176.3</v>
      </c>
      <c r="D28" s="44">
        <v>27.3</v>
      </c>
      <c r="E28" s="44">
        <v>51.8</v>
      </c>
      <c r="F28" s="11">
        <f t="shared" si="22"/>
        <v>189.74358974358972</v>
      </c>
      <c r="G28" s="44">
        <v>25.3</v>
      </c>
      <c r="H28" s="99">
        <v>54.9</v>
      </c>
      <c r="I28" s="94">
        <f>H28/G28*100</f>
        <v>216.99604743083003</v>
      </c>
      <c r="J28" s="44">
        <v>49</v>
      </c>
      <c r="K28" s="99">
        <v>98</v>
      </c>
      <c r="L28" s="94">
        <f>K28/J28*100</f>
        <v>200</v>
      </c>
      <c r="M28" s="89">
        <f t="shared" si="11"/>
        <v>101.6</v>
      </c>
      <c r="N28" s="89">
        <f t="shared" si="12"/>
        <v>204.7</v>
      </c>
      <c r="O28" s="11">
        <f t="shared" si="8"/>
        <v>201.4763779527559</v>
      </c>
      <c r="P28" s="44">
        <v>84.3</v>
      </c>
      <c r="Q28" s="99">
        <v>56.2</v>
      </c>
      <c r="R28" s="94">
        <f>Q28/P28*100</f>
        <v>66.66666666666667</v>
      </c>
      <c r="S28" s="44">
        <v>148</v>
      </c>
      <c r="T28" s="99">
        <v>81.1</v>
      </c>
      <c r="U28" s="94">
        <f>T28/S28*100</f>
        <v>54.7972972972973</v>
      </c>
      <c r="V28" s="44">
        <v>149.9</v>
      </c>
      <c r="W28" s="99">
        <v>73.6</v>
      </c>
      <c r="X28" s="94">
        <f>W28/V28*100</f>
        <v>49.099399599733154</v>
      </c>
      <c r="Y28" s="89">
        <f t="shared" si="13"/>
        <v>382.20000000000005</v>
      </c>
      <c r="Z28" s="89">
        <f t="shared" si="14"/>
        <v>210.9</v>
      </c>
      <c r="AA28" s="11">
        <f t="shared" si="9"/>
        <v>55.180533751962315</v>
      </c>
      <c r="AB28" s="44">
        <v>324.1</v>
      </c>
      <c r="AC28" s="99">
        <v>121.1</v>
      </c>
      <c r="AD28" s="94">
        <f>AC28/AB28*100</f>
        <v>37.365010799136066</v>
      </c>
      <c r="AE28" s="44">
        <v>78.8</v>
      </c>
      <c r="AF28" s="99">
        <v>128.8</v>
      </c>
      <c r="AG28" s="94">
        <f>AF28/AE28*100</f>
        <v>163.45177664974622</v>
      </c>
      <c r="AH28" s="44"/>
      <c r="AI28" s="99"/>
      <c r="AJ28" s="89">
        <f t="shared" si="15"/>
        <v>402.90000000000003</v>
      </c>
      <c r="AK28" s="89">
        <f t="shared" si="16"/>
        <v>249.9</v>
      </c>
      <c r="AL28" s="11">
        <f t="shared" si="10"/>
        <v>62.0253164556962</v>
      </c>
      <c r="AM28" s="44">
        <v>50.7</v>
      </c>
      <c r="AN28" s="99">
        <v>115</v>
      </c>
      <c r="AO28" s="72">
        <f t="shared" si="17"/>
        <v>937.4000000000001</v>
      </c>
      <c r="AP28" s="72">
        <f t="shared" si="18"/>
        <v>780.5</v>
      </c>
      <c r="AQ28" s="11">
        <f t="shared" si="7"/>
        <v>83.26221463622787</v>
      </c>
      <c r="AR28" s="89">
        <f t="shared" si="19"/>
        <v>156.9000000000001</v>
      </c>
      <c r="AS28" s="90">
        <f t="shared" si="20"/>
        <v>-19.399999999999864</v>
      </c>
      <c r="AT28" s="45"/>
      <c r="AU28" s="45"/>
      <c r="AV28" s="45"/>
      <c r="AW28" s="45"/>
      <c r="AX28" s="46"/>
      <c r="AY28" s="46"/>
      <c r="AZ28" s="45"/>
      <c r="BA28" s="46"/>
      <c r="BB28" s="46"/>
      <c r="BC28" s="46"/>
      <c r="BD28" s="46"/>
    </row>
    <row r="29" spans="1:56" ht="24.75" customHeight="1">
      <c r="A29" s="13" t="s">
        <v>34</v>
      </c>
      <c r="B29" s="65" t="s">
        <v>110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89"/>
      <c r="N29" s="89"/>
      <c r="O29" s="11"/>
      <c r="P29" s="66"/>
      <c r="Q29" s="66"/>
      <c r="R29" s="66"/>
      <c r="S29" s="66"/>
      <c r="T29" s="66"/>
      <c r="U29" s="66"/>
      <c r="V29" s="66"/>
      <c r="W29" s="66"/>
      <c r="X29" s="66"/>
      <c r="Y29" s="89"/>
      <c r="Z29" s="89"/>
      <c r="AA29" s="11"/>
      <c r="AB29" s="66"/>
      <c r="AC29" s="66"/>
      <c r="AD29" s="66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72">
        <f t="shared" si="17"/>
        <v>0</v>
      </c>
      <c r="AP29" s="72">
        <f t="shared" si="18"/>
        <v>0</v>
      </c>
      <c r="AQ29" s="66"/>
      <c r="AR29" s="89"/>
      <c r="AS29" s="100"/>
      <c r="AT29" s="45"/>
      <c r="AU29" s="101"/>
      <c r="AV29" s="45"/>
      <c r="AW29" s="45"/>
      <c r="AX29" s="46"/>
      <c r="AY29" s="46"/>
      <c r="AZ29" s="45"/>
      <c r="BA29" s="46"/>
      <c r="BB29" s="46"/>
      <c r="BC29" s="46"/>
      <c r="BD29" s="46"/>
    </row>
    <row r="30" spans="1:56" ht="24.75" customHeight="1">
      <c r="A30" s="13" t="s">
        <v>35</v>
      </c>
      <c r="B30" s="15" t="s">
        <v>111</v>
      </c>
      <c r="C30" s="102">
        <v>-287.7</v>
      </c>
      <c r="D30" s="44">
        <v>9</v>
      </c>
      <c r="E30" s="44">
        <v>30.5</v>
      </c>
      <c r="F30" s="96">
        <f>E30/D30*100</f>
        <v>338.88888888888886</v>
      </c>
      <c r="G30" s="44">
        <v>16.9</v>
      </c>
      <c r="H30" s="44">
        <v>39</v>
      </c>
      <c r="I30" s="75">
        <f aca="true" t="shared" si="23" ref="I30:I35">H30/G30*100</f>
        <v>230.7692307692308</v>
      </c>
      <c r="J30" s="44">
        <v>33.4</v>
      </c>
      <c r="K30" s="44">
        <v>37.4</v>
      </c>
      <c r="L30" s="75">
        <f aca="true" t="shared" si="24" ref="L30:L43">K30/J30*100</f>
        <v>111.97604790419162</v>
      </c>
      <c r="M30" s="89">
        <f t="shared" si="11"/>
        <v>59.3</v>
      </c>
      <c r="N30" s="89">
        <f t="shared" si="12"/>
        <v>106.9</v>
      </c>
      <c r="O30" s="11">
        <f t="shared" si="8"/>
        <v>180.26981450252953</v>
      </c>
      <c r="P30" s="44">
        <v>52.8</v>
      </c>
      <c r="Q30" s="44">
        <v>41.9</v>
      </c>
      <c r="R30" s="141">
        <f aca="true" t="shared" si="25" ref="R30:R41">Q30/P30*100</f>
        <v>79.35606060606061</v>
      </c>
      <c r="S30" s="44">
        <v>234.5</v>
      </c>
      <c r="T30" s="44">
        <v>54.8</v>
      </c>
      <c r="U30" s="141">
        <f aca="true" t="shared" si="26" ref="U30:U41">T30/S30*100</f>
        <v>23.368869936034116</v>
      </c>
      <c r="V30" s="44">
        <v>77.5</v>
      </c>
      <c r="W30" s="44">
        <v>67</v>
      </c>
      <c r="X30" s="141">
        <f aca="true" t="shared" si="27" ref="X30:X41">W30/V30*100</f>
        <v>86.45161290322581</v>
      </c>
      <c r="Y30" s="89">
        <f aca="true" t="shared" si="28" ref="Y30:Y40">P30+S30+V30</f>
        <v>364.8</v>
      </c>
      <c r="Z30" s="89">
        <f aca="true" t="shared" si="29" ref="Z30:Z40">Q30+T30+W30</f>
        <v>163.7</v>
      </c>
      <c r="AA30" s="11">
        <f aca="true" t="shared" si="30" ref="AA30:AA43">Z30/Y30*100</f>
        <v>44.873903508771924</v>
      </c>
      <c r="AB30" s="44">
        <v>5.6</v>
      </c>
      <c r="AC30" s="44">
        <v>67.7</v>
      </c>
      <c r="AD30" s="141">
        <f aca="true" t="shared" si="31" ref="AD30:AD41">AC30/AB30*100</f>
        <v>1208.9285714285716</v>
      </c>
      <c r="AE30" s="44">
        <v>65.6</v>
      </c>
      <c r="AF30" s="44">
        <v>60.8</v>
      </c>
      <c r="AG30" s="141">
        <f aca="true" t="shared" si="32" ref="AG30:AG41">AF30/AE30*100</f>
        <v>92.6829268292683</v>
      </c>
      <c r="AH30" s="44">
        <v>49</v>
      </c>
      <c r="AI30" s="44">
        <v>59.1</v>
      </c>
      <c r="AJ30" s="89">
        <f t="shared" si="15"/>
        <v>120.19999999999999</v>
      </c>
      <c r="AK30" s="89">
        <f t="shared" si="16"/>
        <v>187.6</v>
      </c>
      <c r="AL30" s="11">
        <f aca="true" t="shared" si="33" ref="AL30:AL43">AK30/AJ30*100</f>
        <v>156.07321131447588</v>
      </c>
      <c r="AM30" s="44">
        <v>43.5</v>
      </c>
      <c r="AN30" s="44">
        <v>65.5</v>
      </c>
      <c r="AO30" s="72">
        <f t="shared" si="17"/>
        <v>587.8</v>
      </c>
      <c r="AP30" s="72">
        <f t="shared" si="18"/>
        <v>523.7</v>
      </c>
      <c r="AQ30" s="11">
        <f t="shared" si="7"/>
        <v>89.09493024838382</v>
      </c>
      <c r="AR30" s="89">
        <f t="shared" si="19"/>
        <v>64.09999999999991</v>
      </c>
      <c r="AS30" s="90">
        <f t="shared" si="20"/>
        <v>-223.60000000000008</v>
      </c>
      <c r="AT30" s="45"/>
      <c r="AU30" s="45"/>
      <c r="AV30" s="45"/>
      <c r="AW30" s="45"/>
      <c r="AX30" s="46"/>
      <c r="AY30" s="46"/>
      <c r="AZ30" s="45"/>
      <c r="BA30" s="46"/>
      <c r="BB30" s="46"/>
      <c r="BC30" s="46"/>
      <c r="BD30" s="46"/>
    </row>
    <row r="31" spans="1:56" ht="24.75" customHeight="1">
      <c r="A31" s="13" t="s">
        <v>36</v>
      </c>
      <c r="B31" s="15" t="s">
        <v>112</v>
      </c>
      <c r="C31" s="88">
        <v>-1097.5</v>
      </c>
      <c r="D31" s="44">
        <v>-48.5</v>
      </c>
      <c r="E31" s="44">
        <v>30.5</v>
      </c>
      <c r="F31" s="96">
        <f>E31/D31*100</f>
        <v>-62.88659793814433</v>
      </c>
      <c r="G31" s="44">
        <v>-39.9</v>
      </c>
      <c r="H31" s="44">
        <v>30.5</v>
      </c>
      <c r="I31" s="75">
        <f t="shared" si="23"/>
        <v>-76.44110275689223</v>
      </c>
      <c r="J31" s="44">
        <v>-44.1</v>
      </c>
      <c r="K31" s="44">
        <v>31.4</v>
      </c>
      <c r="L31" s="75">
        <f t="shared" si="24"/>
        <v>-71.20181405895691</v>
      </c>
      <c r="M31" s="89">
        <f t="shared" si="11"/>
        <v>-132.5</v>
      </c>
      <c r="N31" s="89">
        <f t="shared" si="12"/>
        <v>92.4</v>
      </c>
      <c r="O31" s="11">
        <f t="shared" si="8"/>
        <v>-69.73584905660378</v>
      </c>
      <c r="P31" s="44">
        <v>34.3</v>
      </c>
      <c r="Q31" s="44">
        <v>27.1</v>
      </c>
      <c r="R31" s="141">
        <f t="shared" si="25"/>
        <v>79.00874635568515</v>
      </c>
      <c r="S31" s="44">
        <v>97.4</v>
      </c>
      <c r="T31" s="44">
        <v>41.9</v>
      </c>
      <c r="U31" s="141">
        <f t="shared" si="26"/>
        <v>43.01848049281314</v>
      </c>
      <c r="V31" s="44">
        <v>327.1</v>
      </c>
      <c r="W31" s="44">
        <v>37.2</v>
      </c>
      <c r="X31" s="141">
        <f t="shared" si="27"/>
        <v>11.372668908590645</v>
      </c>
      <c r="Y31" s="89">
        <f t="shared" si="28"/>
        <v>458.8</v>
      </c>
      <c r="Z31" s="89">
        <f t="shared" si="29"/>
        <v>106.2</v>
      </c>
      <c r="AA31" s="11">
        <f t="shared" si="30"/>
        <v>23.147340889276375</v>
      </c>
      <c r="AB31" s="44">
        <v>23.9</v>
      </c>
      <c r="AC31" s="44">
        <v>62.7</v>
      </c>
      <c r="AD31" s="141">
        <f t="shared" si="31"/>
        <v>262.34309623430966</v>
      </c>
      <c r="AE31" s="44">
        <v>49.4</v>
      </c>
      <c r="AF31" s="44">
        <v>57.2</v>
      </c>
      <c r="AG31" s="141">
        <f t="shared" si="32"/>
        <v>115.78947368421053</v>
      </c>
      <c r="AH31" s="44">
        <v>-9.8</v>
      </c>
      <c r="AI31" s="44">
        <v>80.5</v>
      </c>
      <c r="AJ31" s="89">
        <f t="shared" si="15"/>
        <v>63.5</v>
      </c>
      <c r="AK31" s="89">
        <f t="shared" si="16"/>
        <v>200.4</v>
      </c>
      <c r="AL31" s="11">
        <f t="shared" si="33"/>
        <v>315.59055118110234</v>
      </c>
      <c r="AM31" s="44">
        <v>35.1</v>
      </c>
      <c r="AN31" s="44">
        <v>71.4</v>
      </c>
      <c r="AO31" s="72">
        <f t="shared" si="17"/>
        <v>424.90000000000003</v>
      </c>
      <c r="AP31" s="72">
        <f t="shared" si="18"/>
        <v>470.4</v>
      </c>
      <c r="AQ31" s="11">
        <f t="shared" si="7"/>
        <v>110.70840197693575</v>
      </c>
      <c r="AR31" s="89">
        <f t="shared" si="19"/>
        <v>-45.49999999999994</v>
      </c>
      <c r="AS31" s="90">
        <f t="shared" si="20"/>
        <v>-1143</v>
      </c>
      <c r="AT31" s="45"/>
      <c r="AU31" s="45"/>
      <c r="AV31" s="45"/>
      <c r="AW31" s="45"/>
      <c r="AX31" s="46"/>
      <c r="AY31" s="46"/>
      <c r="AZ31" s="45"/>
      <c r="BA31" s="46"/>
      <c r="BB31" s="46"/>
      <c r="BC31" s="46"/>
      <c r="BD31" s="46"/>
    </row>
    <row r="32" spans="1:56" ht="24.75" customHeight="1">
      <c r="A32" s="13" t="s">
        <v>37</v>
      </c>
      <c r="B32" s="15" t="s">
        <v>113</v>
      </c>
      <c r="C32" s="88">
        <v>1655</v>
      </c>
      <c r="D32" s="99">
        <v>733.5</v>
      </c>
      <c r="E32" s="44">
        <v>855.8</v>
      </c>
      <c r="F32" s="67">
        <f>E32/D32*100</f>
        <v>116.67348329925017</v>
      </c>
      <c r="G32" s="44">
        <v>579.9</v>
      </c>
      <c r="H32" s="44">
        <v>819.3</v>
      </c>
      <c r="I32" s="11">
        <f t="shared" si="23"/>
        <v>141.2829798241076</v>
      </c>
      <c r="J32" s="44">
        <v>583.5</v>
      </c>
      <c r="K32" s="44">
        <v>891.4</v>
      </c>
      <c r="L32" s="11">
        <f t="shared" si="24"/>
        <v>152.76778063410455</v>
      </c>
      <c r="M32" s="89">
        <f t="shared" si="11"/>
        <v>1896.9</v>
      </c>
      <c r="N32" s="89">
        <f t="shared" si="12"/>
        <v>2566.5</v>
      </c>
      <c r="O32" s="11">
        <f t="shared" si="8"/>
        <v>135.29969950972637</v>
      </c>
      <c r="P32" s="44">
        <v>1047.1</v>
      </c>
      <c r="Q32" s="44">
        <v>653.6</v>
      </c>
      <c r="R32" s="11">
        <f t="shared" si="25"/>
        <v>62.42001719033522</v>
      </c>
      <c r="S32" s="44">
        <v>1995.4</v>
      </c>
      <c r="T32" s="44">
        <v>984</v>
      </c>
      <c r="U32" s="11">
        <f t="shared" si="26"/>
        <v>49.313420867996385</v>
      </c>
      <c r="V32" s="44">
        <v>1862.5</v>
      </c>
      <c r="W32" s="44">
        <v>739.9</v>
      </c>
      <c r="X32" s="11">
        <f t="shared" si="27"/>
        <v>39.7261744966443</v>
      </c>
      <c r="Y32" s="89">
        <f t="shared" si="28"/>
        <v>4905</v>
      </c>
      <c r="Z32" s="89">
        <f t="shared" si="29"/>
        <v>2377.5</v>
      </c>
      <c r="AA32" s="11">
        <f t="shared" si="30"/>
        <v>48.47094801223242</v>
      </c>
      <c r="AB32" s="44">
        <v>1221.73</v>
      </c>
      <c r="AC32" s="44">
        <v>1350.36</v>
      </c>
      <c r="AD32" s="11">
        <f t="shared" si="31"/>
        <v>110.52851284653728</v>
      </c>
      <c r="AE32" s="44">
        <v>729.3</v>
      </c>
      <c r="AF32" s="44">
        <v>1157.7</v>
      </c>
      <c r="AG32" s="11">
        <f t="shared" si="32"/>
        <v>158.74125874125875</v>
      </c>
      <c r="AH32" s="44">
        <v>1209.5</v>
      </c>
      <c r="AI32" s="44">
        <v>994.7</v>
      </c>
      <c r="AJ32" s="89">
        <f t="shared" si="15"/>
        <v>3160.5299999999997</v>
      </c>
      <c r="AK32" s="89">
        <f t="shared" si="16"/>
        <v>3502.76</v>
      </c>
      <c r="AL32" s="11">
        <f t="shared" si="33"/>
        <v>110.82824716107741</v>
      </c>
      <c r="AM32" s="44">
        <v>1058.8</v>
      </c>
      <c r="AN32" s="44">
        <v>1063</v>
      </c>
      <c r="AO32" s="72">
        <f t="shared" si="17"/>
        <v>11021.23</v>
      </c>
      <c r="AP32" s="72">
        <f t="shared" si="18"/>
        <v>9509.76</v>
      </c>
      <c r="AQ32" s="11">
        <f t="shared" si="7"/>
        <v>86.285831980641</v>
      </c>
      <c r="AR32" s="89">
        <f t="shared" si="19"/>
        <v>1511.4699999999993</v>
      </c>
      <c r="AS32" s="90">
        <f t="shared" si="20"/>
        <v>3166.4699999999993</v>
      </c>
      <c r="AT32" s="45"/>
      <c r="AU32" s="45"/>
      <c r="AV32" s="45"/>
      <c r="AW32" s="45"/>
      <c r="AX32" s="46"/>
      <c r="AY32" s="46"/>
      <c r="AZ32" s="45"/>
      <c r="BA32" s="46"/>
      <c r="BB32" s="46"/>
      <c r="BC32" s="46"/>
      <c r="BD32" s="46"/>
    </row>
    <row r="33" spans="1:56" ht="24.75" customHeight="1">
      <c r="A33" s="13" t="s">
        <v>38</v>
      </c>
      <c r="B33" s="15" t="s">
        <v>114</v>
      </c>
      <c r="C33" s="42">
        <v>839.3</v>
      </c>
      <c r="D33" s="43">
        <v>194.3</v>
      </c>
      <c r="E33" s="43">
        <v>193.7</v>
      </c>
      <c r="F33" s="11">
        <f>E33/D33*100</f>
        <v>99.69119917653113</v>
      </c>
      <c r="G33" s="44">
        <v>242.2</v>
      </c>
      <c r="H33" s="44">
        <v>211.5</v>
      </c>
      <c r="I33" s="11">
        <f t="shared" si="23"/>
        <v>87.32452518579686</v>
      </c>
      <c r="J33" s="44">
        <v>149.7</v>
      </c>
      <c r="K33" s="44">
        <v>252.2</v>
      </c>
      <c r="L33" s="11">
        <f t="shared" si="24"/>
        <v>168.47027388109552</v>
      </c>
      <c r="M33" s="89">
        <f t="shared" si="11"/>
        <v>586.2</v>
      </c>
      <c r="N33" s="89">
        <f t="shared" si="12"/>
        <v>657.4</v>
      </c>
      <c r="O33" s="11">
        <f t="shared" si="8"/>
        <v>112.14602524735584</v>
      </c>
      <c r="P33" s="44">
        <v>339.7</v>
      </c>
      <c r="Q33" s="44">
        <v>177.6</v>
      </c>
      <c r="R33" s="11">
        <f t="shared" si="25"/>
        <v>52.281424786576395</v>
      </c>
      <c r="S33" s="44">
        <v>525.4</v>
      </c>
      <c r="T33" s="44">
        <v>285.4</v>
      </c>
      <c r="U33" s="11">
        <f t="shared" si="26"/>
        <v>54.320517700799385</v>
      </c>
      <c r="V33" s="44">
        <v>515.2</v>
      </c>
      <c r="W33" s="44">
        <v>273.2</v>
      </c>
      <c r="X33" s="11">
        <f t="shared" si="27"/>
        <v>53.027950310559</v>
      </c>
      <c r="Y33" s="89">
        <f t="shared" si="28"/>
        <v>1380.3</v>
      </c>
      <c r="Z33" s="89">
        <f t="shared" si="29"/>
        <v>736.2</v>
      </c>
      <c r="AA33" s="11">
        <f t="shared" si="30"/>
        <v>53.33623125407521</v>
      </c>
      <c r="AB33" s="44">
        <v>399.7</v>
      </c>
      <c r="AC33" s="44">
        <v>361.9</v>
      </c>
      <c r="AD33" s="11">
        <f t="shared" si="31"/>
        <v>90.54290718038528</v>
      </c>
      <c r="AE33" s="44">
        <v>399.3</v>
      </c>
      <c r="AF33" s="44">
        <v>336.3</v>
      </c>
      <c r="AG33" s="11">
        <f t="shared" si="32"/>
        <v>84.22238918106687</v>
      </c>
      <c r="AH33" s="44">
        <v>468.5</v>
      </c>
      <c r="AI33" s="44">
        <v>365.9</v>
      </c>
      <c r="AJ33" s="89">
        <f t="shared" si="15"/>
        <v>1267.5</v>
      </c>
      <c r="AK33" s="89">
        <f t="shared" si="16"/>
        <v>1064.1</v>
      </c>
      <c r="AL33" s="11">
        <f t="shared" si="33"/>
        <v>83.95266272189347</v>
      </c>
      <c r="AM33" s="44">
        <v>333.4</v>
      </c>
      <c r="AN33" s="44">
        <v>667.6</v>
      </c>
      <c r="AO33" s="72">
        <f t="shared" si="17"/>
        <v>3567.4</v>
      </c>
      <c r="AP33" s="72">
        <f t="shared" si="18"/>
        <v>3125.2999999999997</v>
      </c>
      <c r="AQ33" s="11">
        <f t="shared" si="7"/>
        <v>87.6072209452262</v>
      </c>
      <c r="AR33" s="89">
        <f t="shared" si="19"/>
        <v>442.10000000000036</v>
      </c>
      <c r="AS33" s="90">
        <f t="shared" si="20"/>
        <v>1281.4</v>
      </c>
      <c r="AT33" s="45"/>
      <c r="AU33" s="45"/>
      <c r="AV33" s="45"/>
      <c r="AW33" s="45"/>
      <c r="AX33" s="46"/>
      <c r="AY33" s="46"/>
      <c r="AZ33" s="45"/>
      <c r="BA33" s="46"/>
      <c r="BB33" s="46"/>
      <c r="BC33" s="46"/>
      <c r="BD33" s="46"/>
    </row>
    <row r="34" spans="1:56" ht="24.75" customHeight="1">
      <c r="A34" s="13" t="s">
        <v>39</v>
      </c>
      <c r="B34" s="47" t="s">
        <v>115</v>
      </c>
      <c r="C34" s="91">
        <v>-1182.7</v>
      </c>
      <c r="D34" s="79">
        <v>-82.1</v>
      </c>
      <c r="E34" s="79">
        <v>33.4</v>
      </c>
      <c r="F34" s="11">
        <f>E34/D34*100</f>
        <v>-40.68209500609014</v>
      </c>
      <c r="G34" s="44">
        <v>-74</v>
      </c>
      <c r="H34" s="44">
        <v>38.8</v>
      </c>
      <c r="I34" s="11">
        <f t="shared" si="23"/>
        <v>-52.43243243243243</v>
      </c>
      <c r="J34" s="44">
        <v>-69</v>
      </c>
      <c r="K34" s="44">
        <v>34.6</v>
      </c>
      <c r="L34" s="11">
        <f t="shared" si="24"/>
        <v>-50.14492753623189</v>
      </c>
      <c r="M34" s="89">
        <f t="shared" si="11"/>
        <v>-225.1</v>
      </c>
      <c r="N34" s="89">
        <f t="shared" si="12"/>
        <v>106.79999999999998</v>
      </c>
      <c r="O34" s="11">
        <f t="shared" si="8"/>
        <v>-47.44557974233673</v>
      </c>
      <c r="P34" s="44">
        <v>21.9</v>
      </c>
      <c r="Q34" s="44">
        <v>29.2</v>
      </c>
      <c r="R34" s="11">
        <f t="shared" si="25"/>
        <v>133.33333333333334</v>
      </c>
      <c r="S34" s="44">
        <v>872.8</v>
      </c>
      <c r="T34" s="44">
        <v>52.1</v>
      </c>
      <c r="U34" s="11">
        <f t="shared" si="26"/>
        <v>5.96929422548121</v>
      </c>
      <c r="V34" s="44">
        <v>90.3</v>
      </c>
      <c r="W34" s="44">
        <v>78.5</v>
      </c>
      <c r="X34" s="11">
        <f t="shared" si="27"/>
        <v>86.93244739756368</v>
      </c>
      <c r="Y34" s="89">
        <f t="shared" si="28"/>
        <v>984.9999999999999</v>
      </c>
      <c r="Z34" s="89">
        <f t="shared" si="29"/>
        <v>159.8</v>
      </c>
      <c r="AA34" s="11">
        <f t="shared" si="30"/>
        <v>16.22335025380711</v>
      </c>
      <c r="AB34" s="44">
        <v>-72.4</v>
      </c>
      <c r="AC34" s="44">
        <v>85.4</v>
      </c>
      <c r="AD34" s="11">
        <f t="shared" si="31"/>
        <v>-117.95580110497237</v>
      </c>
      <c r="AE34" s="44">
        <v>-6.6</v>
      </c>
      <c r="AF34" s="44">
        <v>63.3</v>
      </c>
      <c r="AG34" s="11">
        <f t="shared" si="32"/>
        <v>-959.0909090909091</v>
      </c>
      <c r="AH34" s="44">
        <v>-2.4</v>
      </c>
      <c r="AI34" s="44">
        <v>16.3</v>
      </c>
      <c r="AJ34" s="89">
        <f t="shared" si="15"/>
        <v>-81.4</v>
      </c>
      <c r="AK34" s="89">
        <f t="shared" si="16"/>
        <v>165</v>
      </c>
      <c r="AL34" s="11">
        <f t="shared" si="33"/>
        <v>-202.70270270270268</v>
      </c>
      <c r="AM34" s="44">
        <v>-1.2</v>
      </c>
      <c r="AN34" s="44">
        <v>10</v>
      </c>
      <c r="AO34" s="72">
        <f t="shared" si="17"/>
        <v>677.2999999999998</v>
      </c>
      <c r="AP34" s="72">
        <f t="shared" si="18"/>
        <v>441.6</v>
      </c>
      <c r="AQ34" s="11">
        <f t="shared" si="7"/>
        <v>65.20005905802452</v>
      </c>
      <c r="AR34" s="89">
        <f t="shared" si="19"/>
        <v>235.69999999999982</v>
      </c>
      <c r="AS34" s="90">
        <f t="shared" si="20"/>
        <v>-947.0000000000002</v>
      </c>
      <c r="AT34" s="45"/>
      <c r="AU34" s="45"/>
      <c r="AV34" s="45"/>
      <c r="AW34" s="45"/>
      <c r="AX34" s="46"/>
      <c r="AY34" s="46"/>
      <c r="AZ34" s="45"/>
      <c r="BA34" s="46"/>
      <c r="BB34" s="46"/>
      <c r="BC34" s="46"/>
      <c r="BD34" s="46"/>
    </row>
    <row r="35" spans="1:56" ht="24.75" customHeight="1">
      <c r="A35" s="13" t="s">
        <v>40</v>
      </c>
      <c r="B35" s="15" t="s">
        <v>116</v>
      </c>
      <c r="C35" s="91">
        <v>-3563</v>
      </c>
      <c r="D35" s="44">
        <v>23.6</v>
      </c>
      <c r="E35" s="44">
        <v>469</v>
      </c>
      <c r="F35" s="11">
        <f aca="true" t="shared" si="34" ref="F35:F41">E35/D35*100</f>
        <v>1987.28813559322</v>
      </c>
      <c r="G35" s="44">
        <v>-18</v>
      </c>
      <c r="H35" s="44">
        <v>501.9</v>
      </c>
      <c r="I35" s="11">
        <f t="shared" si="23"/>
        <v>-2788.3333333333335</v>
      </c>
      <c r="J35" s="44">
        <v>22.2</v>
      </c>
      <c r="K35" s="44">
        <v>537.4</v>
      </c>
      <c r="L35" s="11">
        <f t="shared" si="24"/>
        <v>2420.7207207207207</v>
      </c>
      <c r="M35" s="89">
        <f t="shared" si="11"/>
        <v>27.8</v>
      </c>
      <c r="N35" s="89">
        <f t="shared" si="12"/>
        <v>1508.3</v>
      </c>
      <c r="O35" s="11">
        <f t="shared" si="8"/>
        <v>5425.5395683453235</v>
      </c>
      <c r="P35" s="44">
        <v>628.5</v>
      </c>
      <c r="Q35" s="44">
        <v>475.1</v>
      </c>
      <c r="R35" s="11">
        <f t="shared" si="25"/>
        <v>75.59268098647574</v>
      </c>
      <c r="S35" s="44">
        <v>1848.2</v>
      </c>
      <c r="T35" s="44">
        <v>-2609.6</v>
      </c>
      <c r="U35" s="11">
        <f t="shared" si="26"/>
        <v>-141.19684016881288</v>
      </c>
      <c r="V35" s="44">
        <v>1764.3</v>
      </c>
      <c r="W35" s="44">
        <v>969.4</v>
      </c>
      <c r="X35" s="11">
        <f t="shared" si="27"/>
        <v>54.94530408660658</v>
      </c>
      <c r="Y35" s="89">
        <f t="shared" si="28"/>
        <v>4241</v>
      </c>
      <c r="Z35" s="89">
        <f t="shared" si="29"/>
        <v>-1165.1</v>
      </c>
      <c r="AA35" s="11">
        <f t="shared" si="30"/>
        <v>-27.472294270219287</v>
      </c>
      <c r="AB35" s="44">
        <v>365.3</v>
      </c>
      <c r="AC35" s="44">
        <v>1320.2</v>
      </c>
      <c r="AD35" s="11">
        <f t="shared" si="31"/>
        <v>361.4015877361073</v>
      </c>
      <c r="AE35" s="44">
        <v>124.5</v>
      </c>
      <c r="AF35" s="44">
        <v>1052.8</v>
      </c>
      <c r="AG35" s="11">
        <f t="shared" si="32"/>
        <v>845.6224899598393</v>
      </c>
      <c r="AH35" s="44">
        <v>927.8</v>
      </c>
      <c r="AI35" s="44">
        <v>1046.1</v>
      </c>
      <c r="AJ35" s="89">
        <f t="shared" si="15"/>
        <v>1417.6</v>
      </c>
      <c r="AK35" s="89">
        <f t="shared" si="16"/>
        <v>3419.1</v>
      </c>
      <c r="AL35" s="11">
        <f t="shared" si="33"/>
        <v>241.1893340857788</v>
      </c>
      <c r="AM35" s="44">
        <v>726.9</v>
      </c>
      <c r="AN35" s="44">
        <v>1076</v>
      </c>
      <c r="AO35" s="72">
        <f t="shared" si="17"/>
        <v>6413.299999999999</v>
      </c>
      <c r="AP35" s="72">
        <f t="shared" si="18"/>
        <v>4838.3</v>
      </c>
      <c r="AQ35" s="11">
        <f t="shared" si="7"/>
        <v>75.44166029968972</v>
      </c>
      <c r="AR35" s="89">
        <f t="shared" si="19"/>
        <v>1574.999999999999</v>
      </c>
      <c r="AS35" s="90">
        <f t="shared" si="20"/>
        <v>-1988.000000000001</v>
      </c>
      <c r="AT35" s="45"/>
      <c r="AU35" s="45"/>
      <c r="AV35" s="45"/>
      <c r="AW35" s="45"/>
      <c r="AX35" s="46"/>
      <c r="AY35" s="46"/>
      <c r="AZ35" s="45"/>
      <c r="BA35" s="46"/>
      <c r="BB35" s="46"/>
      <c r="BC35" s="46"/>
      <c r="BD35" s="46"/>
    </row>
    <row r="36" spans="1:56" ht="24.75" customHeight="1">
      <c r="A36" s="13" t="s">
        <v>41</v>
      </c>
      <c r="B36" s="15" t="s">
        <v>117</v>
      </c>
      <c r="C36" s="91">
        <f>-5917.2+(-107.5)</f>
        <v>-6024.7</v>
      </c>
      <c r="D36" s="44">
        <f>-10.1+6.5</f>
        <v>-3.5999999999999996</v>
      </c>
      <c r="E36" s="44">
        <f>472.4+15.8</f>
        <v>488.2</v>
      </c>
      <c r="F36" s="11">
        <f t="shared" si="34"/>
        <v>-13561.111111111111</v>
      </c>
      <c r="G36" s="44">
        <f>-51.5+5.5</f>
        <v>-46</v>
      </c>
      <c r="H36" s="44">
        <f>477.2+15</f>
        <v>492.2</v>
      </c>
      <c r="I36" s="11">
        <f aca="true" t="shared" si="35" ref="I36:I41">H36/G36*100</f>
        <v>-1070</v>
      </c>
      <c r="J36" s="44">
        <f>-0.8+5.5</f>
        <v>4.7</v>
      </c>
      <c r="K36" s="44">
        <f>480.1+16</f>
        <v>496.1</v>
      </c>
      <c r="L36" s="11">
        <f t="shared" si="24"/>
        <v>10555.31914893617</v>
      </c>
      <c r="M36" s="89">
        <f t="shared" si="11"/>
        <v>-44.9</v>
      </c>
      <c r="N36" s="89">
        <f t="shared" si="12"/>
        <v>1476.5</v>
      </c>
      <c r="O36" s="11">
        <f t="shared" si="8"/>
        <v>-3288.4187082405347</v>
      </c>
      <c r="P36" s="44">
        <f>16.2+360.6</f>
        <v>376.8</v>
      </c>
      <c r="Q36" s="44">
        <f>15.4+44.1</f>
        <v>59.5</v>
      </c>
      <c r="R36" s="11">
        <f t="shared" si="25"/>
        <v>15.790870488322717</v>
      </c>
      <c r="S36" s="44">
        <f>107.3+4534.1</f>
        <v>4641.400000000001</v>
      </c>
      <c r="T36" s="44">
        <f>17.5+596.8</f>
        <v>614.3</v>
      </c>
      <c r="U36" s="11">
        <f t="shared" si="26"/>
        <v>13.235230749342868</v>
      </c>
      <c r="V36" s="44">
        <f>1947.9+37.1</f>
        <v>1985</v>
      </c>
      <c r="W36" s="44">
        <f>675.2+24.6</f>
        <v>699.8000000000001</v>
      </c>
      <c r="X36" s="11">
        <f t="shared" si="27"/>
        <v>35.2544080604534</v>
      </c>
      <c r="Y36" s="89">
        <f t="shared" si="28"/>
        <v>7003.200000000001</v>
      </c>
      <c r="Z36" s="89">
        <f t="shared" si="29"/>
        <v>1373.6</v>
      </c>
      <c r="AA36" s="11">
        <f t="shared" si="30"/>
        <v>19.61389079278044</v>
      </c>
      <c r="AB36" s="44">
        <f>20.2+508.3</f>
        <v>528.5</v>
      </c>
      <c r="AC36" s="44">
        <f>26.7+860</f>
        <v>886.7</v>
      </c>
      <c r="AD36" s="11">
        <f t="shared" si="31"/>
        <v>167.7767265846736</v>
      </c>
      <c r="AE36" s="44">
        <f>-26.2+410.8</f>
        <v>384.6</v>
      </c>
      <c r="AF36" s="44">
        <f>24.8+746</f>
        <v>770.8</v>
      </c>
      <c r="AG36" s="11">
        <f t="shared" si="32"/>
        <v>200.41601664066562</v>
      </c>
      <c r="AH36" s="44">
        <f>229.6+5.7</f>
        <v>235.29999999999998</v>
      </c>
      <c r="AI36" s="44">
        <f>786.9+3.3</f>
        <v>790.1999999999999</v>
      </c>
      <c r="AJ36" s="89">
        <f t="shared" si="15"/>
        <v>1148.4</v>
      </c>
      <c r="AK36" s="89">
        <f t="shared" si="16"/>
        <v>2447.7</v>
      </c>
      <c r="AL36" s="11">
        <f t="shared" si="33"/>
        <v>213.14002089864155</v>
      </c>
      <c r="AM36" s="44">
        <f>0.2+631.6</f>
        <v>631.8000000000001</v>
      </c>
      <c r="AN36" s="44">
        <f>2+756.8</f>
        <v>758.8</v>
      </c>
      <c r="AO36" s="72">
        <f t="shared" si="17"/>
        <v>8738.5</v>
      </c>
      <c r="AP36" s="72">
        <f t="shared" si="18"/>
        <v>6056.599999999999</v>
      </c>
      <c r="AQ36" s="11">
        <f t="shared" si="7"/>
        <v>69.30937803970933</v>
      </c>
      <c r="AR36" s="89">
        <f t="shared" si="19"/>
        <v>2681.9000000000005</v>
      </c>
      <c r="AS36" s="90">
        <f t="shared" si="20"/>
        <v>-3342.7999999999993</v>
      </c>
      <c r="AT36" s="45"/>
      <c r="AU36" s="45"/>
      <c r="AV36" s="45"/>
      <c r="AW36" s="45"/>
      <c r="AX36" s="46"/>
      <c r="AY36" s="46"/>
      <c r="AZ36" s="45"/>
      <c r="BA36" s="46"/>
      <c r="BB36" s="46"/>
      <c r="BC36" s="46"/>
      <c r="BD36" s="46"/>
    </row>
    <row r="37" spans="1:56" ht="24.75" customHeight="1">
      <c r="A37" s="13" t="s">
        <v>42</v>
      </c>
      <c r="B37" s="15" t="s">
        <v>118</v>
      </c>
      <c r="C37" s="88">
        <v>6921.9</v>
      </c>
      <c r="D37" s="44">
        <v>-304.2</v>
      </c>
      <c r="E37" s="44">
        <v>693.1</v>
      </c>
      <c r="F37" s="11">
        <f t="shared" si="34"/>
        <v>-227.84352399737017</v>
      </c>
      <c r="G37" s="44">
        <v>-262.5</v>
      </c>
      <c r="H37" s="44">
        <v>680.5</v>
      </c>
      <c r="I37" s="11">
        <f t="shared" si="35"/>
        <v>-259.23809523809524</v>
      </c>
      <c r="J37" s="44">
        <v>-558.3</v>
      </c>
      <c r="K37" s="44">
        <v>703.2</v>
      </c>
      <c r="L37" s="11">
        <f t="shared" si="24"/>
        <v>-125.95378828586783</v>
      </c>
      <c r="M37" s="89">
        <f t="shared" si="11"/>
        <v>-1125</v>
      </c>
      <c r="N37" s="89">
        <f t="shared" si="12"/>
        <v>2076.8</v>
      </c>
      <c r="O37" s="11">
        <f t="shared" si="8"/>
        <v>-184.60444444444445</v>
      </c>
      <c r="P37" s="44">
        <v>850.9</v>
      </c>
      <c r="Q37" s="44">
        <v>595.8</v>
      </c>
      <c r="R37" s="11">
        <f t="shared" si="25"/>
        <v>70.01997884592784</v>
      </c>
      <c r="S37" s="44">
        <v>9225.9</v>
      </c>
      <c r="T37" s="44">
        <v>820.7</v>
      </c>
      <c r="U37" s="11">
        <f t="shared" si="26"/>
        <v>8.895609100467164</v>
      </c>
      <c r="V37" s="44">
        <v>1473.7</v>
      </c>
      <c r="W37" s="44">
        <v>1010.2</v>
      </c>
      <c r="X37" s="11">
        <f t="shared" si="27"/>
        <v>68.54855126552215</v>
      </c>
      <c r="Y37" s="89">
        <f t="shared" si="28"/>
        <v>11550.5</v>
      </c>
      <c r="Z37" s="89">
        <f t="shared" si="29"/>
        <v>2426.7</v>
      </c>
      <c r="AA37" s="11">
        <f t="shared" si="30"/>
        <v>21.009480109086184</v>
      </c>
      <c r="AB37" s="44">
        <v>336.7</v>
      </c>
      <c r="AC37" s="44">
        <v>1344.8</v>
      </c>
      <c r="AD37" s="11">
        <f t="shared" si="31"/>
        <v>399.4059994059994</v>
      </c>
      <c r="AE37" s="44">
        <v>8738.7</v>
      </c>
      <c r="AF37" s="44">
        <v>1300.3</v>
      </c>
      <c r="AG37" s="11">
        <f t="shared" si="32"/>
        <v>14.879787611429615</v>
      </c>
      <c r="AH37" s="44">
        <v>3936.1</v>
      </c>
      <c r="AI37" s="44">
        <v>1638.8</v>
      </c>
      <c r="AJ37" s="89">
        <f t="shared" si="15"/>
        <v>13011.500000000002</v>
      </c>
      <c r="AK37" s="89">
        <f t="shared" si="16"/>
        <v>4283.9</v>
      </c>
      <c r="AL37" s="11">
        <f t="shared" si="33"/>
        <v>32.92395188871382</v>
      </c>
      <c r="AM37" s="44">
        <v>575.2</v>
      </c>
      <c r="AN37" s="44">
        <v>1864.5</v>
      </c>
      <c r="AO37" s="72">
        <f t="shared" si="17"/>
        <v>24012.2</v>
      </c>
      <c r="AP37" s="72">
        <f t="shared" si="18"/>
        <v>10651.9</v>
      </c>
      <c r="AQ37" s="11">
        <f t="shared" si="7"/>
        <v>44.36036681353645</v>
      </c>
      <c r="AR37" s="89">
        <f t="shared" si="19"/>
        <v>13360.300000000001</v>
      </c>
      <c r="AS37" s="90">
        <f t="shared" si="20"/>
        <v>20282.199999999997</v>
      </c>
      <c r="AT37" s="45"/>
      <c r="AU37" s="45"/>
      <c r="AV37" s="45"/>
      <c r="AW37" s="45"/>
      <c r="AX37" s="46"/>
      <c r="AY37" s="46"/>
      <c r="AZ37" s="45"/>
      <c r="BA37" s="46"/>
      <c r="BB37" s="46"/>
      <c r="BC37" s="46"/>
      <c r="BD37" s="46"/>
    </row>
    <row r="38" spans="1:56" ht="24.75" customHeight="1">
      <c r="A38" s="13" t="s">
        <v>43</v>
      </c>
      <c r="B38" s="15" t="s">
        <v>126</v>
      </c>
      <c r="C38" s="88">
        <v>675.4</v>
      </c>
      <c r="D38" s="44">
        <v>111.7</v>
      </c>
      <c r="E38" s="44">
        <v>194.2</v>
      </c>
      <c r="F38" s="11">
        <f t="shared" si="34"/>
        <v>173.85854968666067</v>
      </c>
      <c r="G38" s="44">
        <v>128.7</v>
      </c>
      <c r="H38" s="44">
        <v>220.2</v>
      </c>
      <c r="I38" s="11">
        <f t="shared" si="35"/>
        <v>171.0955710955711</v>
      </c>
      <c r="J38" s="44">
        <v>129.1</v>
      </c>
      <c r="K38" s="44">
        <v>236</v>
      </c>
      <c r="L38" s="11">
        <f t="shared" si="24"/>
        <v>182.8040278853602</v>
      </c>
      <c r="M38" s="89">
        <f t="shared" si="11"/>
        <v>369.5</v>
      </c>
      <c r="N38" s="89">
        <f t="shared" si="12"/>
        <v>650.4</v>
      </c>
      <c r="O38" s="11">
        <f t="shared" si="8"/>
        <v>176.02165087956698</v>
      </c>
      <c r="P38" s="44">
        <v>307.3</v>
      </c>
      <c r="Q38" s="44">
        <v>210</v>
      </c>
      <c r="R38" s="11">
        <f t="shared" si="25"/>
        <v>68.3371298405467</v>
      </c>
      <c r="S38" s="44">
        <v>470.1</v>
      </c>
      <c r="T38" s="44">
        <v>-254.3</v>
      </c>
      <c r="U38" s="11">
        <f t="shared" si="26"/>
        <v>-54.09487343118485</v>
      </c>
      <c r="V38" s="44">
        <v>453.9</v>
      </c>
      <c r="W38" s="44">
        <v>301.2</v>
      </c>
      <c r="X38" s="11">
        <f t="shared" si="27"/>
        <v>66.35822868473232</v>
      </c>
      <c r="Y38" s="89">
        <f t="shared" si="28"/>
        <v>1231.3000000000002</v>
      </c>
      <c r="Z38" s="89">
        <f t="shared" si="29"/>
        <v>256.9</v>
      </c>
      <c r="AA38" s="11">
        <f t="shared" si="30"/>
        <v>20.86412734508243</v>
      </c>
      <c r="AB38" s="44">
        <v>967.7</v>
      </c>
      <c r="AC38" s="44">
        <v>992.3</v>
      </c>
      <c r="AD38" s="11">
        <f t="shared" si="31"/>
        <v>102.54211015810684</v>
      </c>
      <c r="AE38" s="44">
        <v>306.1</v>
      </c>
      <c r="AF38" s="44">
        <v>386.1</v>
      </c>
      <c r="AG38" s="11">
        <f t="shared" si="32"/>
        <v>126.13524991832735</v>
      </c>
      <c r="AH38" s="44">
        <v>375.3</v>
      </c>
      <c r="AI38" s="44">
        <v>402.1</v>
      </c>
      <c r="AJ38" s="89">
        <f t="shared" si="15"/>
        <v>1649.1000000000001</v>
      </c>
      <c r="AK38" s="89">
        <f t="shared" si="16"/>
        <v>1780.5</v>
      </c>
      <c r="AL38" s="11">
        <f t="shared" si="33"/>
        <v>107.96798253592867</v>
      </c>
      <c r="AM38" s="44">
        <v>260.6</v>
      </c>
      <c r="AN38" s="44">
        <v>362.3</v>
      </c>
      <c r="AO38" s="72">
        <f t="shared" si="17"/>
        <v>3510.5000000000005</v>
      </c>
      <c r="AP38" s="72">
        <f t="shared" si="18"/>
        <v>3050.1000000000004</v>
      </c>
      <c r="AQ38" s="11">
        <f t="shared" si="7"/>
        <v>86.88505910838911</v>
      </c>
      <c r="AR38" s="89">
        <f t="shared" si="19"/>
        <v>460.4000000000001</v>
      </c>
      <c r="AS38" s="90">
        <f t="shared" si="20"/>
        <v>1135.8000000000002</v>
      </c>
      <c r="AT38" s="45"/>
      <c r="AU38" s="45"/>
      <c r="AV38" s="45"/>
      <c r="AW38" s="45"/>
      <c r="AX38" s="46"/>
      <c r="AY38" s="46"/>
      <c r="AZ38" s="45"/>
      <c r="BA38" s="46"/>
      <c r="BB38" s="46"/>
      <c r="BC38" s="46"/>
      <c r="BD38" s="46"/>
    </row>
    <row r="39" spans="1:56" ht="23.25" customHeight="1">
      <c r="A39" s="13" t="s">
        <v>44</v>
      </c>
      <c r="B39" s="47" t="s">
        <v>127</v>
      </c>
      <c r="C39" s="91">
        <v>-3490.5</v>
      </c>
      <c r="D39" s="44">
        <v>-204</v>
      </c>
      <c r="E39" s="44">
        <v>339.9</v>
      </c>
      <c r="F39" s="11">
        <f t="shared" si="34"/>
        <v>-166.6176470588235</v>
      </c>
      <c r="G39" s="44">
        <v>-216.7</v>
      </c>
      <c r="H39" s="44">
        <v>365.9</v>
      </c>
      <c r="I39" s="11">
        <f t="shared" si="35"/>
        <v>-168.8509460083064</v>
      </c>
      <c r="J39" s="44">
        <v>-262.3</v>
      </c>
      <c r="K39" s="44">
        <v>371.7</v>
      </c>
      <c r="L39" s="11">
        <f t="shared" si="24"/>
        <v>-141.70796797560047</v>
      </c>
      <c r="M39" s="89">
        <f t="shared" si="11"/>
        <v>-683</v>
      </c>
      <c r="N39" s="89">
        <f t="shared" si="12"/>
        <v>1077.5</v>
      </c>
      <c r="O39" s="11">
        <f t="shared" si="8"/>
        <v>-157.75988286969255</v>
      </c>
      <c r="P39" s="44">
        <v>414.1</v>
      </c>
      <c r="Q39" s="44">
        <v>332.2</v>
      </c>
      <c r="R39" s="11">
        <f t="shared" si="25"/>
        <v>80.22216855831924</v>
      </c>
      <c r="S39" s="44">
        <v>4434</v>
      </c>
      <c r="T39" s="44">
        <v>429.8</v>
      </c>
      <c r="U39" s="11">
        <f t="shared" si="26"/>
        <v>9.693279206134415</v>
      </c>
      <c r="V39" s="44">
        <v>1015.7</v>
      </c>
      <c r="W39" s="44">
        <v>407.5</v>
      </c>
      <c r="X39" s="11">
        <f t="shared" si="27"/>
        <v>40.120114206950866</v>
      </c>
      <c r="Y39" s="89">
        <f t="shared" si="28"/>
        <v>5863.8</v>
      </c>
      <c r="Z39" s="89">
        <f t="shared" si="29"/>
        <v>1169.5</v>
      </c>
      <c r="AA39" s="11">
        <f t="shared" si="30"/>
        <v>19.94440465227327</v>
      </c>
      <c r="AB39" s="44">
        <v>478.6</v>
      </c>
      <c r="AC39" s="44">
        <v>528.8</v>
      </c>
      <c r="AD39" s="11">
        <f t="shared" si="31"/>
        <v>110.48892603426658</v>
      </c>
      <c r="AE39" s="44">
        <v>123.8</v>
      </c>
      <c r="AF39" s="44">
        <v>560.3</v>
      </c>
      <c r="AG39" s="11">
        <f t="shared" si="32"/>
        <v>452.5848142164782</v>
      </c>
      <c r="AH39" s="44">
        <v>-314.2</v>
      </c>
      <c r="AI39" s="44">
        <v>575.1</v>
      </c>
      <c r="AJ39" s="89">
        <f t="shared" si="15"/>
        <v>288.2</v>
      </c>
      <c r="AK39" s="89">
        <f t="shared" si="16"/>
        <v>1664.1999999999998</v>
      </c>
      <c r="AL39" s="11">
        <f t="shared" si="33"/>
        <v>577.4462179042331</v>
      </c>
      <c r="AM39" s="44">
        <v>474.5</v>
      </c>
      <c r="AN39" s="44">
        <v>645.3</v>
      </c>
      <c r="AO39" s="72">
        <f t="shared" si="17"/>
        <v>5943.5</v>
      </c>
      <c r="AP39" s="72">
        <f t="shared" si="18"/>
        <v>4556.5</v>
      </c>
      <c r="AQ39" s="11">
        <f t="shared" si="7"/>
        <v>76.66358206444015</v>
      </c>
      <c r="AR39" s="89">
        <f t="shared" si="19"/>
        <v>1387</v>
      </c>
      <c r="AS39" s="90">
        <f t="shared" si="20"/>
        <v>-2103.5</v>
      </c>
      <c r="AT39" s="45"/>
      <c r="AU39" s="45"/>
      <c r="AV39" s="45"/>
      <c r="AW39" s="45"/>
      <c r="AX39" s="46"/>
      <c r="AY39" s="46"/>
      <c r="AZ39" s="45"/>
      <c r="BA39" s="46"/>
      <c r="BB39" s="46"/>
      <c r="BC39" s="46"/>
      <c r="BD39" s="46"/>
    </row>
    <row r="40" spans="1:56" ht="24.75" customHeight="1">
      <c r="A40" s="13" t="s">
        <v>45</v>
      </c>
      <c r="B40" s="15" t="s">
        <v>119</v>
      </c>
      <c r="C40" s="88">
        <v>-394.1</v>
      </c>
      <c r="D40" s="44">
        <v>371.7</v>
      </c>
      <c r="E40" s="44">
        <v>509.8</v>
      </c>
      <c r="F40" s="11">
        <f t="shared" si="34"/>
        <v>137.1536185095507</v>
      </c>
      <c r="G40" s="44">
        <v>355.9</v>
      </c>
      <c r="H40" s="44">
        <v>516.9</v>
      </c>
      <c r="I40" s="11">
        <f t="shared" si="35"/>
        <v>145.23742624332678</v>
      </c>
      <c r="J40" s="44">
        <v>361.4</v>
      </c>
      <c r="K40" s="44">
        <v>597.5</v>
      </c>
      <c r="L40" s="11">
        <f t="shared" si="24"/>
        <v>165.32927504150527</v>
      </c>
      <c r="M40" s="89">
        <f t="shared" si="11"/>
        <v>1089</v>
      </c>
      <c r="N40" s="89">
        <f t="shared" si="12"/>
        <v>1624.2</v>
      </c>
      <c r="O40" s="11">
        <f t="shared" si="8"/>
        <v>149.14600550964187</v>
      </c>
      <c r="P40" s="44">
        <v>697.5</v>
      </c>
      <c r="Q40" s="44">
        <v>482.8</v>
      </c>
      <c r="R40" s="11">
        <f t="shared" si="25"/>
        <v>69.21863799283155</v>
      </c>
      <c r="S40" s="44">
        <v>2309.6</v>
      </c>
      <c r="T40" s="44">
        <v>653.2</v>
      </c>
      <c r="U40" s="11">
        <f t="shared" si="26"/>
        <v>28.281953585036373</v>
      </c>
      <c r="V40" s="44">
        <v>702.5</v>
      </c>
      <c r="W40" s="44">
        <v>665.7</v>
      </c>
      <c r="X40" s="11">
        <f t="shared" si="27"/>
        <v>94.76156583629894</v>
      </c>
      <c r="Y40" s="89">
        <f t="shared" si="28"/>
        <v>3709.6</v>
      </c>
      <c r="Z40" s="89">
        <f t="shared" si="29"/>
        <v>1801.7</v>
      </c>
      <c r="AA40" s="11">
        <f t="shared" si="30"/>
        <v>48.56857882251456</v>
      </c>
      <c r="AB40" s="44">
        <v>645.8</v>
      </c>
      <c r="AC40" s="44">
        <v>857.5</v>
      </c>
      <c r="AD40" s="11">
        <f t="shared" si="31"/>
        <v>132.78104676370396</v>
      </c>
      <c r="AE40" s="44">
        <v>871.6</v>
      </c>
      <c r="AF40" s="44">
        <v>802</v>
      </c>
      <c r="AG40" s="11">
        <f t="shared" si="32"/>
        <v>92.01468563561266</v>
      </c>
      <c r="AH40" s="44">
        <v>836.2</v>
      </c>
      <c r="AI40" s="44">
        <v>840.5</v>
      </c>
      <c r="AJ40" s="89">
        <f t="shared" si="15"/>
        <v>2353.6000000000004</v>
      </c>
      <c r="AK40" s="89">
        <f t="shared" si="16"/>
        <v>2500</v>
      </c>
      <c r="AL40" s="11">
        <f t="shared" si="33"/>
        <v>106.22025832766823</v>
      </c>
      <c r="AM40" s="44">
        <v>674.9</v>
      </c>
      <c r="AN40" s="44">
        <v>807.3</v>
      </c>
      <c r="AO40" s="72">
        <f t="shared" si="17"/>
        <v>7827.1</v>
      </c>
      <c r="AP40" s="72">
        <f t="shared" si="18"/>
        <v>6733.2</v>
      </c>
      <c r="AQ40" s="11">
        <f t="shared" si="7"/>
        <v>86.02419797881718</v>
      </c>
      <c r="AR40" s="89">
        <f t="shared" si="19"/>
        <v>1093.9000000000005</v>
      </c>
      <c r="AS40" s="90">
        <f t="shared" si="20"/>
        <v>699.8000000000002</v>
      </c>
      <c r="AT40" s="45"/>
      <c r="AU40" s="45"/>
      <c r="AV40" s="45"/>
      <c r="AW40" s="45"/>
      <c r="AX40" s="46"/>
      <c r="AY40" s="46"/>
      <c r="AZ40" s="45"/>
      <c r="BA40" s="46"/>
      <c r="BB40" s="46"/>
      <c r="BC40" s="46"/>
      <c r="BD40" s="46"/>
    </row>
    <row r="41" spans="1:56" s="12" customFormat="1" ht="24.75" customHeight="1">
      <c r="A41" s="13" t="s">
        <v>46</v>
      </c>
      <c r="B41" s="16" t="s">
        <v>120</v>
      </c>
      <c r="C41" s="17">
        <f>SUM(C42:C42)</f>
        <v>187569.5</v>
      </c>
      <c r="D41" s="18">
        <f>SUM(D42:D42)</f>
        <v>49573.3</v>
      </c>
      <c r="E41" s="18">
        <f>SUM(E42:E42)</f>
        <v>53172.3</v>
      </c>
      <c r="F41" s="11">
        <f t="shared" si="34"/>
        <v>107.2599564685022</v>
      </c>
      <c r="G41" s="18">
        <f>SUM(G42:G42)</f>
        <v>50376.8</v>
      </c>
      <c r="H41" s="18">
        <f>SUM(H42:H42)</f>
        <v>49979.4</v>
      </c>
      <c r="I41" s="11">
        <f t="shared" si="35"/>
        <v>99.21114481269156</v>
      </c>
      <c r="J41" s="18">
        <f>SUM(J42:J42)</f>
        <v>50679.4</v>
      </c>
      <c r="K41" s="18">
        <f>SUM(K42:K42)</f>
        <v>51612.5</v>
      </c>
      <c r="L41" s="11">
        <f t="shared" si="24"/>
        <v>101.8411820187295</v>
      </c>
      <c r="M41" s="18">
        <f>SUM(M42:M42)</f>
        <v>150629.5</v>
      </c>
      <c r="N41" s="18">
        <f>SUM(N42:N42)</f>
        <v>154764.2</v>
      </c>
      <c r="O41" s="11">
        <f t="shared" si="8"/>
        <v>102.74494703892665</v>
      </c>
      <c r="P41" s="18">
        <f>SUM(P42:P42)</f>
        <v>56450.4</v>
      </c>
      <c r="Q41" s="18">
        <f>SUM(Q42:Q42)</f>
        <v>44934.9</v>
      </c>
      <c r="R41" s="11">
        <f t="shared" si="25"/>
        <v>79.60067599166703</v>
      </c>
      <c r="S41" s="18">
        <f>SUM(S42:S42)</f>
        <v>70111.59999999999</v>
      </c>
      <c r="T41" s="18">
        <f>SUM(T42:T42)</f>
        <v>56058.700000000004</v>
      </c>
      <c r="U41" s="11">
        <f t="shared" si="26"/>
        <v>79.95638382236322</v>
      </c>
      <c r="V41" s="18">
        <f>SUM(V42:V42)</f>
        <v>62515</v>
      </c>
      <c r="W41" s="18">
        <f>SUM(W42:W42)</f>
        <v>45407.1</v>
      </c>
      <c r="X41" s="11">
        <f t="shared" si="27"/>
        <v>72.63392785731423</v>
      </c>
      <c r="Y41" s="18">
        <f>SUM(Y42:Y42)</f>
        <v>189077</v>
      </c>
      <c r="Z41" s="18">
        <f>SUM(Z42:Z42)</f>
        <v>146400.7</v>
      </c>
      <c r="AA41" s="11">
        <f t="shared" si="30"/>
        <v>77.42914262443344</v>
      </c>
      <c r="AB41" s="18">
        <f>SUM(AB42:AB42)</f>
        <v>58220</v>
      </c>
      <c r="AC41" s="18">
        <f>SUM(AC42:AC42)</f>
        <v>60327.5</v>
      </c>
      <c r="AD41" s="11">
        <f t="shared" si="31"/>
        <v>103.61989007214017</v>
      </c>
      <c r="AE41" s="18">
        <f>SUM(AE42:AE42)</f>
        <v>58439.9</v>
      </c>
      <c r="AF41" s="18">
        <f>SUM(AF42:AF42)</f>
        <v>56558</v>
      </c>
      <c r="AG41" s="11">
        <f t="shared" si="32"/>
        <v>96.77976861698941</v>
      </c>
      <c r="AH41" s="18">
        <f>SUM(AH42:AH42)</f>
        <v>58571.8</v>
      </c>
      <c r="AI41" s="18">
        <f>SUM(AI42:AI42)</f>
        <v>57586.5</v>
      </c>
      <c r="AJ41" s="18">
        <f>SUM(AJ42:AJ42)</f>
        <v>175231.7</v>
      </c>
      <c r="AK41" s="18">
        <f>SUM(AK42:AK42)</f>
        <v>174472</v>
      </c>
      <c r="AL41" s="11">
        <f t="shared" si="33"/>
        <v>99.56645972161428</v>
      </c>
      <c r="AM41" s="18">
        <f>SUM(AM42:AM42)</f>
        <v>72473.2</v>
      </c>
      <c r="AN41" s="18">
        <f>SUM(AN42:AN42)</f>
        <v>62680.7</v>
      </c>
      <c r="AO41" s="141">
        <f>AO42</f>
        <v>587411.4</v>
      </c>
      <c r="AP41" s="141">
        <f>AP42</f>
        <v>538317.6</v>
      </c>
      <c r="AQ41" s="11">
        <f t="shared" si="7"/>
        <v>91.64234810560366</v>
      </c>
      <c r="AR41" s="10">
        <f>AR42</f>
        <v>49093.80000000005</v>
      </c>
      <c r="AS41" s="10">
        <f>AS42</f>
        <v>236663.30000000005</v>
      </c>
      <c r="AT41" s="85"/>
      <c r="AU41" s="85"/>
      <c r="AV41" s="85"/>
      <c r="AW41" s="85"/>
      <c r="AX41" s="24"/>
      <c r="AY41" s="24"/>
      <c r="AZ41" s="27"/>
      <c r="BA41" s="24"/>
      <c r="BB41" s="24"/>
      <c r="BC41" s="24"/>
      <c r="BD41" s="24"/>
    </row>
    <row r="42" spans="1:56" s="12" customFormat="1" ht="24.75" customHeight="1">
      <c r="A42" s="103"/>
      <c r="B42" s="47" t="s">
        <v>121</v>
      </c>
      <c r="C42" s="88">
        <f>187318+251.5</f>
        <v>187569.5</v>
      </c>
      <c r="D42" s="44">
        <f>49423.3+150</f>
        <v>49573.3</v>
      </c>
      <c r="E42" s="44">
        <v>53172.3</v>
      </c>
      <c r="F42" s="11">
        <f>E42/D42*100</f>
        <v>107.2599564685022</v>
      </c>
      <c r="G42" s="44">
        <f>50242.3+134.5</f>
        <v>50376.8</v>
      </c>
      <c r="H42" s="44">
        <f>49907.5+71.9</f>
        <v>49979.4</v>
      </c>
      <c r="I42" s="11">
        <f>H42/G42*100</f>
        <v>99.21114481269156</v>
      </c>
      <c r="J42" s="44">
        <f>50522.9+156.5</f>
        <v>50679.4</v>
      </c>
      <c r="K42" s="44">
        <f>51544+68.5</f>
        <v>51612.5</v>
      </c>
      <c r="L42" s="11">
        <f t="shared" si="24"/>
        <v>101.8411820187295</v>
      </c>
      <c r="M42" s="89">
        <f t="shared" si="11"/>
        <v>150629.5</v>
      </c>
      <c r="N42" s="89">
        <f t="shared" si="12"/>
        <v>154764.2</v>
      </c>
      <c r="O42" s="11">
        <f t="shared" si="8"/>
        <v>102.74494703892665</v>
      </c>
      <c r="P42" s="44">
        <f>56290.5+159.9</f>
        <v>56450.4</v>
      </c>
      <c r="Q42" s="44">
        <f>44687.1+247.8</f>
        <v>44934.9</v>
      </c>
      <c r="R42" s="11">
        <f>Q42/P42*100</f>
        <v>79.60067599166703</v>
      </c>
      <c r="S42" s="44">
        <f>69911.9+199.7</f>
        <v>70111.59999999999</v>
      </c>
      <c r="T42" s="44">
        <f>55963.8+94.9</f>
        <v>56058.700000000004</v>
      </c>
      <c r="U42" s="11">
        <f>T42/S42*100</f>
        <v>79.95638382236322</v>
      </c>
      <c r="V42" s="44">
        <f>62309.7+205.3</f>
        <v>62515</v>
      </c>
      <c r="W42" s="44">
        <f>45344+63.1</f>
        <v>45407.1</v>
      </c>
      <c r="X42" s="11">
        <f>W42/V42*100</f>
        <v>72.63392785731423</v>
      </c>
      <c r="Y42" s="89">
        <f>P42+S42+V42</f>
        <v>189077</v>
      </c>
      <c r="Z42" s="89">
        <f>Q42+T42+W42</f>
        <v>146400.7</v>
      </c>
      <c r="AA42" s="11">
        <f t="shared" si="30"/>
        <v>77.42914262443344</v>
      </c>
      <c r="AB42" s="44">
        <f>58030.6+189.4</f>
        <v>58220</v>
      </c>
      <c r="AC42" s="44">
        <f>60155.2+172.3</f>
        <v>60327.5</v>
      </c>
      <c r="AD42" s="11">
        <f>AC42/AB42*100</f>
        <v>103.61989007214017</v>
      </c>
      <c r="AE42" s="44">
        <f>58260+179.9</f>
        <v>58439.9</v>
      </c>
      <c r="AF42" s="44">
        <f>56558</f>
        <v>56558</v>
      </c>
      <c r="AG42" s="11">
        <f>AF42/AE42*100</f>
        <v>96.77976861698941</v>
      </c>
      <c r="AH42" s="44">
        <f>58368.5+203.3</f>
        <v>58571.8</v>
      </c>
      <c r="AI42" s="44">
        <f>57549.8+36.7</f>
        <v>57586.5</v>
      </c>
      <c r="AJ42" s="89">
        <f>AB42+AE42+AH42</f>
        <v>175231.7</v>
      </c>
      <c r="AK42" s="89">
        <f>AC42+AF42+AI42</f>
        <v>174472</v>
      </c>
      <c r="AL42" s="11">
        <f t="shared" si="33"/>
        <v>99.56645972161428</v>
      </c>
      <c r="AM42" s="44">
        <f>72299+174.2</f>
        <v>72473.2</v>
      </c>
      <c r="AN42" s="44">
        <f>62600+80.7</f>
        <v>62680.7</v>
      </c>
      <c r="AO42" s="72">
        <f>M42+Y42+AJ42+AM42</f>
        <v>587411.4</v>
      </c>
      <c r="AP42" s="72">
        <f>N42+Z42+AK42+AN42</f>
        <v>538317.6</v>
      </c>
      <c r="AQ42" s="11">
        <f t="shared" si="7"/>
        <v>91.64234810560366</v>
      </c>
      <c r="AR42" s="89">
        <f t="shared" si="19"/>
        <v>49093.80000000005</v>
      </c>
      <c r="AS42" s="90">
        <f t="shared" si="20"/>
        <v>236663.30000000005</v>
      </c>
      <c r="AT42" s="45"/>
      <c r="AU42" s="45"/>
      <c r="AV42" s="45"/>
      <c r="AW42" s="45"/>
      <c r="AX42" s="24"/>
      <c r="AY42" s="24"/>
      <c r="AZ42" s="45"/>
      <c r="BA42" s="24"/>
      <c r="BB42" s="24"/>
      <c r="BC42" s="24"/>
      <c r="BD42" s="24"/>
    </row>
    <row r="43" spans="1:56" ht="27.75" customHeight="1">
      <c r="A43" s="13"/>
      <c r="B43" s="16" t="s">
        <v>122</v>
      </c>
      <c r="C43" s="17">
        <f>C41+C7</f>
        <v>170300.4</v>
      </c>
      <c r="D43" s="18">
        <f>D41+D7</f>
        <v>51561.5</v>
      </c>
      <c r="E43" s="18">
        <f>E41+E7</f>
        <v>60324.8</v>
      </c>
      <c r="F43" s="11">
        <f>E43/D43*100</f>
        <v>116.99582052500412</v>
      </c>
      <c r="G43" s="18">
        <f>G41+G7</f>
        <v>51992.9</v>
      </c>
      <c r="H43" s="18">
        <f>H41+H7</f>
        <v>56806.8</v>
      </c>
      <c r="I43" s="11">
        <f>H43/G43*100</f>
        <v>109.25876417741654</v>
      </c>
      <c r="J43" s="18">
        <f>J41+J7</f>
        <v>52443.8</v>
      </c>
      <c r="K43" s="18">
        <f>K41+K7</f>
        <v>59282.6</v>
      </c>
      <c r="L43" s="11">
        <f t="shared" si="24"/>
        <v>113.04024498606127</v>
      </c>
      <c r="M43" s="18">
        <f>M41+M7</f>
        <v>155998.2</v>
      </c>
      <c r="N43" s="18">
        <f>N41+N7</f>
        <v>176414.2</v>
      </c>
      <c r="O43" s="11">
        <f t="shared" si="8"/>
        <v>113.08733049483904</v>
      </c>
      <c r="P43" s="18">
        <f>P41+P7</f>
        <v>64833</v>
      </c>
      <c r="Q43" s="18">
        <f>Q41+Q7</f>
        <v>50859.5</v>
      </c>
      <c r="R43" s="11">
        <f>Q43/P43*100</f>
        <v>78.4469328891151</v>
      </c>
      <c r="S43" s="18">
        <f>S41+S7</f>
        <v>111503.9</v>
      </c>
      <c r="T43" s="18">
        <f>T41+T7</f>
        <v>60876.200000000004</v>
      </c>
      <c r="U43" s="11">
        <f>T43/S43*100</f>
        <v>54.59557916808292</v>
      </c>
      <c r="V43" s="18">
        <f>V41+V7</f>
        <v>80166.2</v>
      </c>
      <c r="W43" s="18">
        <f>W41+W7</f>
        <v>55071.1</v>
      </c>
      <c r="X43" s="11">
        <f>W43/V43*100</f>
        <v>68.69615873023793</v>
      </c>
      <c r="Y43" s="18">
        <f>Y41+Y7</f>
        <v>256503.1</v>
      </c>
      <c r="Z43" s="18">
        <f>Z41+Z7</f>
        <v>166806.80000000002</v>
      </c>
      <c r="AA43" s="11">
        <f t="shared" si="30"/>
        <v>65.03110488723138</v>
      </c>
      <c r="AB43" s="18">
        <f>AB41+AB7</f>
        <v>70062.33</v>
      </c>
      <c r="AC43" s="18">
        <f>AC41+AC7</f>
        <v>73533.56</v>
      </c>
      <c r="AD43" s="11">
        <f>AC43/AB43*100</f>
        <v>104.95448838198786</v>
      </c>
      <c r="AE43" s="18">
        <f>AE41+AE7</f>
        <v>73674.2</v>
      </c>
      <c r="AF43" s="18">
        <f>AF41+AF7</f>
        <v>68420.1</v>
      </c>
      <c r="AG43" s="11">
        <f>AF43/AE43*100</f>
        <v>92.86846684456704</v>
      </c>
      <c r="AH43" s="18">
        <f>AH41+AH7</f>
        <v>70101.6</v>
      </c>
      <c r="AI43" s="18">
        <f>AI41+AI7</f>
        <v>69781.5</v>
      </c>
      <c r="AJ43" s="18">
        <f>AJ41+AJ7</f>
        <v>213838.13</v>
      </c>
      <c r="AK43" s="18">
        <f>AK41+AK7</f>
        <v>211735.16</v>
      </c>
      <c r="AL43" s="11">
        <f t="shared" si="33"/>
        <v>99.01655986235944</v>
      </c>
      <c r="AM43" s="18">
        <f>AM41+AM7</f>
        <v>80968.9</v>
      </c>
      <c r="AN43" s="18">
        <f>AN41+AN7</f>
        <v>75299.9</v>
      </c>
      <c r="AO43" s="141">
        <f>AO41+AO7</f>
        <v>707308.3300000001</v>
      </c>
      <c r="AP43" s="141">
        <f>AP41+AP7</f>
        <v>630256.0599999999</v>
      </c>
      <c r="AQ43" s="11">
        <f>AP43/AO43*100</f>
        <v>89.10626854910643</v>
      </c>
      <c r="AR43" s="18">
        <f>AR41+AR7</f>
        <v>77052.27000000005</v>
      </c>
      <c r="AS43" s="18">
        <f>AS41+AS7</f>
        <v>247352.67000000004</v>
      </c>
      <c r="AT43" s="85"/>
      <c r="AU43" s="85"/>
      <c r="AV43" s="85"/>
      <c r="AW43" s="85"/>
      <c r="AX43" s="85"/>
      <c r="AY43" s="85"/>
      <c r="AZ43" s="85"/>
      <c r="BA43" s="46"/>
      <c r="BB43" s="46"/>
      <c r="BC43" s="46"/>
      <c r="BD43" s="46"/>
    </row>
    <row r="44" spans="1:56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5"/>
      <c r="AP44" s="85"/>
      <c r="AQ44" s="86"/>
      <c r="AR44" s="86"/>
      <c r="AS44" s="85"/>
      <c r="AT44" s="85"/>
      <c r="AU44" s="85"/>
      <c r="AV44" s="85"/>
      <c r="AW44" s="85"/>
      <c r="AX44" s="85"/>
      <c r="AY44" s="85"/>
      <c r="AZ44" s="85"/>
      <c r="BA44" s="46"/>
      <c r="BB44" s="46"/>
      <c r="BC44" s="46"/>
      <c r="BD44" s="46"/>
    </row>
    <row r="45" spans="1:56" s="12" customFormat="1" ht="19.5" customHeight="1" hidden="1">
      <c r="A45" s="30"/>
      <c r="B45" s="12" t="s">
        <v>123</v>
      </c>
      <c r="C45" s="25"/>
      <c r="D45" s="27"/>
      <c r="E45" s="27"/>
      <c r="F45" s="28"/>
      <c r="G45" s="27"/>
      <c r="H45" s="27"/>
      <c r="I45" s="28"/>
      <c r="J45" s="27"/>
      <c r="K45" s="27"/>
      <c r="L45" s="28"/>
      <c r="M45" s="28"/>
      <c r="N45" s="28"/>
      <c r="O45" s="28"/>
      <c r="P45" s="27"/>
      <c r="Q45" s="27"/>
      <c r="R45" s="28"/>
      <c r="S45" s="27"/>
      <c r="T45" s="27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7"/>
      <c r="AY45" s="6"/>
      <c r="AZ45" s="6"/>
      <c r="BA45" s="29"/>
      <c r="BB45" s="6"/>
      <c r="BD45" s="6"/>
    </row>
    <row r="46" spans="1:56" s="12" customFormat="1" ht="7.5" customHeight="1" hidden="1">
      <c r="A46" s="24"/>
      <c r="C46" s="25"/>
      <c r="D46" s="27"/>
      <c r="E46" s="27"/>
      <c r="F46" s="28"/>
      <c r="G46" s="27"/>
      <c r="H46" s="27"/>
      <c r="I46" s="28"/>
      <c r="J46" s="27"/>
      <c r="K46" s="27"/>
      <c r="L46" s="28"/>
      <c r="M46" s="28"/>
      <c r="N46" s="28"/>
      <c r="O46" s="28"/>
      <c r="P46" s="27"/>
      <c r="Q46" s="27"/>
      <c r="R46" s="28"/>
      <c r="S46" s="27"/>
      <c r="T46" s="27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7"/>
      <c r="AY46" s="6"/>
      <c r="AZ46" s="6"/>
      <c r="BA46" s="29"/>
      <c r="BB46" s="6"/>
      <c r="BD46" s="6"/>
    </row>
    <row r="47" spans="1:56" s="12" customFormat="1" ht="19.5" customHeight="1" hidden="1">
      <c r="A47" s="30"/>
      <c r="B47" s="12" t="s">
        <v>124</v>
      </c>
      <c r="C47" s="25"/>
      <c r="D47" s="27"/>
      <c r="E47" s="27"/>
      <c r="F47" s="28"/>
      <c r="G47" s="27"/>
      <c r="H47" s="27"/>
      <c r="I47" s="28"/>
      <c r="J47" s="27"/>
      <c r="K47" s="27"/>
      <c r="L47" s="28"/>
      <c r="M47" s="28"/>
      <c r="N47" s="28"/>
      <c r="O47" s="28"/>
      <c r="P47" s="27"/>
      <c r="Q47" s="27"/>
      <c r="R47" s="28"/>
      <c r="S47" s="27"/>
      <c r="T47" s="27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7"/>
      <c r="AY47" s="6"/>
      <c r="AZ47" s="6"/>
      <c r="BA47" s="29"/>
      <c r="BB47" s="6"/>
      <c r="BD47" s="6"/>
    </row>
    <row r="48" spans="1:56" ht="24.75" customHeight="1">
      <c r="A48" s="2"/>
      <c r="C48" s="31"/>
      <c r="D48" s="21"/>
      <c r="E48" s="21"/>
      <c r="F48" s="28"/>
      <c r="G48" s="21"/>
      <c r="H48" s="21"/>
      <c r="I48" s="60"/>
      <c r="J48" s="21"/>
      <c r="K48" s="21"/>
      <c r="L48" s="60"/>
      <c r="M48" s="60"/>
      <c r="N48" s="60"/>
      <c r="O48" s="60"/>
      <c r="P48" s="21"/>
      <c r="Q48" s="21"/>
      <c r="R48" s="60"/>
      <c r="S48" s="21"/>
      <c r="T48" s="21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21"/>
      <c r="AP48" s="21"/>
      <c r="AQ48" s="60"/>
      <c r="AR48" s="21"/>
      <c r="AS48" s="21"/>
      <c r="AT48" s="21"/>
      <c r="AU48" s="21"/>
      <c r="AV48" s="21"/>
      <c r="AW48" s="21"/>
      <c r="AX48" s="21"/>
      <c r="AY48" s="7"/>
      <c r="AZ48" s="7"/>
      <c r="BA48" s="32"/>
      <c r="BB48" s="7"/>
      <c r="BD48" s="7"/>
    </row>
    <row r="49" spans="1:45" s="38" customFormat="1" ht="96.75" customHeight="1">
      <c r="A49" s="33"/>
      <c r="B49" s="150" t="s">
        <v>138</v>
      </c>
      <c r="C49" s="150"/>
      <c r="D49" s="150"/>
      <c r="E49" s="150"/>
      <c r="F49" s="150"/>
      <c r="G49" s="34"/>
      <c r="H49" s="34"/>
      <c r="I49" s="61"/>
      <c r="J49" s="34"/>
      <c r="K49" s="34"/>
      <c r="L49" s="61"/>
      <c r="M49" s="61"/>
      <c r="N49" s="61"/>
      <c r="O49" s="61"/>
      <c r="P49" s="34"/>
      <c r="Q49" s="34"/>
      <c r="R49" s="61"/>
      <c r="S49" s="34"/>
      <c r="T49" s="34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34"/>
      <c r="AP49" s="34"/>
      <c r="AQ49" s="61"/>
      <c r="AR49" s="163" t="s">
        <v>137</v>
      </c>
      <c r="AS49" s="163"/>
    </row>
    <row r="50" spans="1:45" ht="73.5" customHeight="1" hidden="1">
      <c r="A50" s="146" t="s">
        <v>134</v>
      </c>
      <c r="B50" s="146"/>
      <c r="C50" s="39"/>
      <c r="D50" s="39"/>
      <c r="E50" s="39"/>
      <c r="F50" s="39"/>
      <c r="G50" s="40"/>
      <c r="H50" s="40"/>
      <c r="I50" s="41"/>
      <c r="J50" s="40"/>
      <c r="K50" s="40"/>
      <c r="L50" s="41"/>
      <c r="M50" s="41"/>
      <c r="N50" s="41"/>
      <c r="O50" s="41"/>
      <c r="P50" s="40"/>
      <c r="Q50" s="40"/>
      <c r="R50" s="41"/>
      <c r="S50" s="40"/>
      <c r="T50" s="40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0"/>
      <c r="AP50" s="40"/>
      <c r="AQ50" s="41"/>
      <c r="AS50" s="4" t="s">
        <v>135</v>
      </c>
    </row>
    <row r="51" spans="46:56" ht="24.75" customHeight="1"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</row>
    <row r="53" spans="46:56" ht="24.75" customHeight="1"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</row>
    <row r="54" spans="46:56" ht="24.75" customHeight="1"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</row>
    <row r="55" spans="46:56" ht="24.75" customHeight="1"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</row>
    <row r="56" spans="46:56" ht="24.75" customHeight="1"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</row>
    <row r="57" spans="46:56" ht="24.75" customHeight="1"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</row>
    <row r="58" spans="46:56" ht="18.75"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</row>
    <row r="59" spans="46:56" ht="18.75"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</row>
    <row r="60" spans="46:56" ht="18.75"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</row>
    <row r="61" spans="46:56" ht="18.75"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</row>
    <row r="62" spans="46:56" ht="18.75"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</row>
    <row r="63" spans="46:56" ht="18.75"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</row>
    <row r="64" spans="46:56" ht="18.75"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</row>
    <row r="65" spans="46:56" ht="18.75"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</row>
    <row r="66" spans="46:56" ht="18.75"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</row>
    <row r="67" spans="46:56" ht="18.75"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</row>
    <row r="68" spans="46:56" ht="18.75"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</row>
    <row r="69" spans="46:56" ht="18.75"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</row>
    <row r="70" spans="46:56" ht="18.75"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</row>
    <row r="71" spans="46:56" ht="18.75"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</row>
    <row r="72" spans="46:56" ht="18.75"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</row>
    <row r="73" spans="46:56" ht="18.75"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</row>
    <row r="74" spans="46:56" ht="18.75"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</row>
    <row r="75" spans="46:56" ht="18.75"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</row>
    <row r="76" spans="46:56" ht="18.75"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</row>
    <row r="77" spans="46:56" ht="18.75"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</row>
    <row r="78" spans="46:56" ht="18.75"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</row>
    <row r="79" spans="46:56" ht="18.75"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</row>
    <row r="80" spans="46:56" ht="18.75"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</row>
    <row r="81" spans="46:56" ht="18.75"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</row>
    <row r="82" spans="46:56" ht="18.75"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</row>
    <row r="83" spans="46:56" ht="18.75"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</row>
    <row r="84" spans="46:56" ht="18.75"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</row>
    <row r="85" spans="46:56" ht="18.75"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</row>
    <row r="86" spans="46:56" ht="18.75"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</row>
    <row r="87" spans="46:56" ht="18.75"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</row>
    <row r="88" spans="46:56" ht="18.75"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</row>
    <row r="89" spans="46:56" ht="18.75"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</row>
    <row r="90" spans="46:56" ht="18.75"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</row>
    <row r="91" spans="46:56" ht="18.75"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</row>
    <row r="92" spans="46:56" ht="18.75"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</row>
    <row r="93" spans="46:56" ht="18.75"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</row>
  </sheetData>
  <sheetProtection/>
  <mergeCells count="23">
    <mergeCell ref="Y5:AA5"/>
    <mergeCell ref="AS5:AS6"/>
    <mergeCell ref="B49:F49"/>
    <mergeCell ref="I1:AS1"/>
    <mergeCell ref="B4:F4"/>
    <mergeCell ref="B2:AS2"/>
    <mergeCell ref="B3:AS3"/>
    <mergeCell ref="D5:F5"/>
    <mergeCell ref="AH5:AI5"/>
    <mergeCell ref="G5:I5"/>
    <mergeCell ref="AR5:AR6"/>
    <mergeCell ref="V5:X5"/>
    <mergeCell ref="AB5:AD5"/>
    <mergeCell ref="A50:B50"/>
    <mergeCell ref="AR49:AS49"/>
    <mergeCell ref="M5:O5"/>
    <mergeCell ref="S5:U5"/>
    <mergeCell ref="P5:R5"/>
    <mergeCell ref="AM5:AN5"/>
    <mergeCell ref="AO5:AQ5"/>
    <mergeCell ref="J5:L5"/>
    <mergeCell ref="AE5:AG5"/>
    <mergeCell ref="AJ5:AL5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5"/>
  <sheetViews>
    <sheetView view="pageBreakPreview" zoomScale="78" zoomScaleNormal="50" zoomScaleSheetLayoutView="78" zoomScalePageLayoutView="0" workbookViewId="0" topLeftCell="A1">
      <pane xSplit="6" ySplit="8" topLeftCell="Z3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M36" sqref="AM36"/>
    </sheetView>
  </sheetViews>
  <sheetFormatPr defaultColWidth="7.875" defaultRowHeight="12.75"/>
  <cols>
    <col min="1" max="1" width="6.375" style="7" customWidth="1"/>
    <col min="2" max="2" width="51.625" style="2" customWidth="1"/>
    <col min="3" max="3" width="17.375" style="107" customWidth="1"/>
    <col min="4" max="4" width="16.625" style="2" hidden="1" customWidth="1"/>
    <col min="5" max="5" width="16.125" style="2" hidden="1" customWidth="1"/>
    <col min="6" max="6" width="12.1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25390625" style="12" customWidth="1"/>
    <col min="14" max="14" width="12.8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875" style="12" hidden="1" customWidth="1"/>
    <col min="23" max="23" width="13.125" style="12" hidden="1" customWidth="1"/>
    <col min="24" max="24" width="11.125" style="12" hidden="1" customWidth="1"/>
    <col min="25" max="25" width="13.25390625" style="12" customWidth="1"/>
    <col min="26" max="26" width="12.875" style="12" customWidth="1"/>
    <col min="27" max="27" width="11.125" style="12" customWidth="1"/>
    <col min="28" max="28" width="14.875" style="12" hidden="1" customWidth="1"/>
    <col min="29" max="29" width="13.1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875" style="12" hidden="1" customWidth="1"/>
    <col min="36" max="36" width="13.75390625" style="12" customWidth="1"/>
    <col min="37" max="37" width="12.875" style="12" customWidth="1"/>
    <col min="38" max="38" width="11.125" style="12" customWidth="1"/>
    <col min="39" max="39" width="13.125" style="12" customWidth="1"/>
    <col min="40" max="40" width="11.875" style="12" customWidth="1"/>
    <col min="41" max="42" width="14.75390625" style="2" customWidth="1"/>
    <col min="43" max="43" width="11.125" style="12" customWidth="1"/>
    <col min="44" max="44" width="16.75390625" style="2" customWidth="1"/>
    <col min="45" max="45" width="18.25390625" style="2" customWidth="1"/>
    <col min="46" max="46" width="13.00390625" style="2" customWidth="1"/>
    <col min="47" max="47" width="18.875" style="2" customWidth="1"/>
    <col min="48" max="48" width="9.125" style="2" customWidth="1"/>
    <col min="49" max="16384" width="7.875" style="2" customWidth="1"/>
  </cols>
  <sheetData>
    <row r="1" spans="9:45" ht="18.75">
      <c r="I1" s="158" t="s">
        <v>50</v>
      </c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</row>
    <row r="2" spans="1:45" s="63" customFormat="1" ht="42" customHeight="1">
      <c r="A2" s="68"/>
      <c r="B2" s="159" t="s">
        <v>54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</row>
    <row r="3" spans="1:45" s="63" customFormat="1" ht="42" customHeight="1">
      <c r="A3" s="62"/>
      <c r="B3" s="159" t="s">
        <v>159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</row>
    <row r="4" spans="2:45" ht="18.75">
      <c r="B4" s="164"/>
      <c r="C4" s="164"/>
      <c r="D4" s="164"/>
      <c r="E4" s="164"/>
      <c r="F4" s="164"/>
      <c r="AE4" s="6"/>
      <c r="AF4" s="6"/>
      <c r="AG4" s="6"/>
      <c r="AH4" s="6"/>
      <c r="AI4" s="6"/>
      <c r="AM4" s="6"/>
      <c r="AN4" s="6"/>
      <c r="AS4" s="5" t="s">
        <v>7</v>
      </c>
    </row>
    <row r="5" spans="1:45" ht="58.5" customHeight="1">
      <c r="A5" s="50" t="s">
        <v>55</v>
      </c>
      <c r="B5" s="51"/>
      <c r="C5" s="52" t="s">
        <v>1</v>
      </c>
      <c r="D5" s="151" t="s">
        <v>142</v>
      </c>
      <c r="E5" s="152"/>
      <c r="F5" s="153"/>
      <c r="G5" s="154" t="s">
        <v>143</v>
      </c>
      <c r="H5" s="155"/>
      <c r="I5" s="156"/>
      <c r="J5" s="154" t="s">
        <v>147</v>
      </c>
      <c r="K5" s="155"/>
      <c r="L5" s="156"/>
      <c r="M5" s="154" t="s">
        <v>149</v>
      </c>
      <c r="N5" s="155"/>
      <c r="O5" s="156"/>
      <c r="P5" s="154" t="s">
        <v>148</v>
      </c>
      <c r="Q5" s="155"/>
      <c r="R5" s="156"/>
      <c r="S5" s="154" t="s">
        <v>150</v>
      </c>
      <c r="T5" s="155"/>
      <c r="U5" s="156"/>
      <c r="V5" s="154" t="s">
        <v>151</v>
      </c>
      <c r="W5" s="155"/>
      <c r="X5" s="156"/>
      <c r="Y5" s="154" t="s">
        <v>153</v>
      </c>
      <c r="Z5" s="155"/>
      <c r="AA5" s="156"/>
      <c r="AB5" s="154" t="s">
        <v>154</v>
      </c>
      <c r="AC5" s="155"/>
      <c r="AD5" s="156"/>
      <c r="AE5" s="154" t="s">
        <v>155</v>
      </c>
      <c r="AF5" s="155"/>
      <c r="AG5" s="156"/>
      <c r="AH5" s="154" t="s">
        <v>156</v>
      </c>
      <c r="AI5" s="156"/>
      <c r="AJ5" s="154" t="s">
        <v>157</v>
      </c>
      <c r="AK5" s="155"/>
      <c r="AL5" s="156"/>
      <c r="AM5" s="154" t="s">
        <v>158</v>
      </c>
      <c r="AN5" s="156"/>
      <c r="AO5" s="151" t="s">
        <v>144</v>
      </c>
      <c r="AP5" s="152"/>
      <c r="AQ5" s="153"/>
      <c r="AR5" s="161" t="s">
        <v>160</v>
      </c>
      <c r="AS5" s="161" t="s">
        <v>161</v>
      </c>
    </row>
    <row r="6" spans="1:45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8" t="s">
        <v>0</v>
      </c>
      <c r="AR6" s="162"/>
      <c r="AS6" s="162"/>
    </row>
    <row r="7" spans="1:48" s="12" customFormat="1" ht="36" customHeight="1">
      <c r="A7" s="58"/>
      <c r="B7" s="69" t="s">
        <v>9</v>
      </c>
      <c r="C7" s="67">
        <f>SUM(C8:C40)</f>
        <v>1042.7</v>
      </c>
      <c r="D7" s="11">
        <f>SUM(D8:D40)</f>
        <v>511.20000000000005</v>
      </c>
      <c r="E7" s="11">
        <f>SUM(E8:E40)</f>
        <v>671.8</v>
      </c>
      <c r="F7" s="11">
        <f aca="true" t="shared" si="0" ref="F7:F43">E7/D7*100</f>
        <v>131.41627543035992</v>
      </c>
      <c r="G7" s="11">
        <f>SUM(G8:G40)</f>
        <v>535.4000000000001</v>
      </c>
      <c r="H7" s="11">
        <f>SUM(H8:H40)</f>
        <v>184.5</v>
      </c>
      <c r="I7" s="11">
        <f aca="true" t="shared" si="1" ref="I7:I18">H7/G7*100</f>
        <v>34.460216660440786</v>
      </c>
      <c r="J7" s="11">
        <f>SUM(J8:J40)</f>
        <v>575.2</v>
      </c>
      <c r="K7" s="11">
        <f>SUM(K8:K40)</f>
        <v>524.1999999999999</v>
      </c>
      <c r="L7" s="11">
        <f aca="true" t="shared" si="2" ref="L7:L12">K7/J7*100</f>
        <v>91.13351877607786</v>
      </c>
      <c r="M7" s="11">
        <f>SUM(M8:M40)</f>
        <v>1621.7999999999997</v>
      </c>
      <c r="N7" s="11">
        <f>SUM(N8:N40)</f>
        <v>1380.5</v>
      </c>
      <c r="O7" s="11">
        <f>N7/M7*100</f>
        <v>85.12146997163647</v>
      </c>
      <c r="P7" s="11">
        <f>SUM(P8:P40)</f>
        <v>656.4000000000001</v>
      </c>
      <c r="Q7" s="11">
        <f>SUM(Q8:Q40)</f>
        <v>707.1999999999999</v>
      </c>
      <c r="R7" s="11">
        <f aca="true" t="shared" si="3" ref="R7:R28">Q7/P7*100</f>
        <v>107.73918342474099</v>
      </c>
      <c r="S7" s="11">
        <f>SUM(S8:S40)</f>
        <v>671.4999999999999</v>
      </c>
      <c r="T7" s="11">
        <f>SUM(T8:T40)</f>
        <v>339.8</v>
      </c>
      <c r="U7" s="11">
        <f aca="true" t="shared" si="4" ref="U7:U28">T7/S7*100</f>
        <v>50.60312732688013</v>
      </c>
      <c r="V7" s="11">
        <f>SUM(V8:V40)</f>
        <v>701.9999999999999</v>
      </c>
      <c r="W7" s="11">
        <f>SUM(W8:W40)</f>
        <v>533.2</v>
      </c>
      <c r="X7" s="11">
        <f aca="true" t="shared" si="5" ref="X7:X28">W7/V7*100</f>
        <v>75.95441595441598</v>
      </c>
      <c r="Y7" s="11">
        <f>SUM(Y8:Y40)</f>
        <v>2029.9000000000003</v>
      </c>
      <c r="Z7" s="11">
        <f>SUM(Z8:Z40)</f>
        <v>1580.2</v>
      </c>
      <c r="AA7" s="11">
        <f>Z7/Y7*100</f>
        <v>77.84619932016355</v>
      </c>
      <c r="AB7" s="11">
        <f>SUM(AB8:AB40)</f>
        <v>745.3</v>
      </c>
      <c r="AC7" s="11">
        <f>SUM(AC8:AC40)</f>
        <v>13.5</v>
      </c>
      <c r="AD7" s="11">
        <f aca="true" t="shared" si="6" ref="AD7:AD28">AC7/AB7*100</f>
        <v>1.8113511337716357</v>
      </c>
      <c r="AE7" s="11">
        <f>SUM(AE8:AE40)</f>
        <v>772.5000000000001</v>
      </c>
      <c r="AF7" s="11">
        <f>SUM(AF8:AF40)</f>
        <v>668.8</v>
      </c>
      <c r="AG7" s="11">
        <f>AF7/AE7*100</f>
        <v>86.57605177993526</v>
      </c>
      <c r="AH7" s="11">
        <f>SUM(AH8:AH40)</f>
        <v>785.8000000000001</v>
      </c>
      <c r="AI7" s="11">
        <f>SUM(AI8:AI40)</f>
        <v>1481.1</v>
      </c>
      <c r="AJ7" s="11">
        <f>SUM(AJ8:AJ40)</f>
        <v>2303.600000000001</v>
      </c>
      <c r="AK7" s="11">
        <f>SUM(AK8:AK40)</f>
        <v>2163.4</v>
      </c>
      <c r="AL7" s="11">
        <f>AK7/AJ7*100</f>
        <v>93.91387393644727</v>
      </c>
      <c r="AM7" s="11">
        <f>SUM(AM8:AM40)</f>
        <v>749.8000000000001</v>
      </c>
      <c r="AN7" s="11">
        <f>SUM(AN8:AN40)</f>
        <v>1263.2000000000003</v>
      </c>
      <c r="AO7" s="67">
        <f>SUM(AO8:AO40)</f>
        <v>6705.1</v>
      </c>
      <c r="AP7" s="67">
        <f>SUM(AP8:AP40)</f>
        <v>6387.299999999999</v>
      </c>
      <c r="AQ7" s="11">
        <f aca="true" t="shared" si="7" ref="AQ7:AQ42">AP7/AO7*100</f>
        <v>95.26032423080937</v>
      </c>
      <c r="AR7" s="11">
        <f>SUM(AR8:AR40)</f>
        <v>317.7999999999997</v>
      </c>
      <c r="AS7" s="11">
        <f>SUM(AS8:AS40)</f>
        <v>1360.5</v>
      </c>
      <c r="AT7" s="27">
        <f>SUM(AR8:AR40)</f>
        <v>317.7999999999997</v>
      </c>
      <c r="AU7" s="27">
        <f>SUM(AS8:AS40)</f>
        <v>1360.5</v>
      </c>
      <c r="AV7" s="48"/>
    </row>
    <row r="8" spans="1:48" ht="24.75" customHeight="1">
      <c r="A8" s="70">
        <v>1</v>
      </c>
      <c r="B8" s="71" t="s">
        <v>60</v>
      </c>
      <c r="C8" s="108">
        <v>68.8</v>
      </c>
      <c r="D8" s="44">
        <v>46.6</v>
      </c>
      <c r="E8" s="44">
        <v>0</v>
      </c>
      <c r="F8" s="11">
        <f>E8/D8*100</f>
        <v>0</v>
      </c>
      <c r="G8" s="44">
        <v>48.4</v>
      </c>
      <c r="H8" s="44">
        <v>68.8</v>
      </c>
      <c r="I8" s="11">
        <f t="shared" si="1"/>
        <v>142.1487603305785</v>
      </c>
      <c r="J8" s="44">
        <v>47.7</v>
      </c>
      <c r="K8" s="44">
        <v>51</v>
      </c>
      <c r="L8" s="11">
        <f t="shared" si="2"/>
        <v>106.91823899371069</v>
      </c>
      <c r="M8" s="89">
        <f>D8+G8+J8</f>
        <v>142.7</v>
      </c>
      <c r="N8" s="89">
        <f>E8+H8+K8</f>
        <v>119.8</v>
      </c>
      <c r="O8" s="11">
        <f aca="true" t="shared" si="8" ref="O8:O43">N8/M8*100</f>
        <v>83.95234758234058</v>
      </c>
      <c r="P8" s="44">
        <v>48.2</v>
      </c>
      <c r="Q8" s="44">
        <v>139.1</v>
      </c>
      <c r="R8" s="11">
        <f t="shared" si="3"/>
        <v>288.5892116182572</v>
      </c>
      <c r="S8" s="44">
        <v>50.6</v>
      </c>
      <c r="T8" s="44">
        <v>0</v>
      </c>
      <c r="U8" s="11">
        <f t="shared" si="4"/>
        <v>0</v>
      </c>
      <c r="V8" s="44">
        <v>55.3</v>
      </c>
      <c r="W8" s="44">
        <v>51.5</v>
      </c>
      <c r="X8" s="11">
        <f t="shared" si="5"/>
        <v>93.12839059674504</v>
      </c>
      <c r="Y8" s="89">
        <f>P8+S8+V8</f>
        <v>154.10000000000002</v>
      </c>
      <c r="Z8" s="89">
        <f>Q8+T8+W8</f>
        <v>190.6</v>
      </c>
      <c r="AA8" s="11">
        <f aca="true" t="shared" si="9" ref="AA8:AA28">Z8/Y8*100</f>
        <v>123.68591823491238</v>
      </c>
      <c r="AB8" s="44">
        <v>62.1</v>
      </c>
      <c r="AC8" s="44">
        <v>0</v>
      </c>
      <c r="AD8" s="11">
        <f t="shared" si="6"/>
        <v>0</v>
      </c>
      <c r="AE8" s="44">
        <v>57</v>
      </c>
      <c r="AF8" s="44">
        <v>0</v>
      </c>
      <c r="AG8" s="11">
        <f>AF8/AE8*100</f>
        <v>0</v>
      </c>
      <c r="AH8" s="44">
        <v>58.1</v>
      </c>
      <c r="AI8" s="44">
        <v>0</v>
      </c>
      <c r="AJ8" s="89">
        <f>AB8+AE8+AH8</f>
        <v>177.2</v>
      </c>
      <c r="AK8" s="89">
        <f>AC8+AF8+AI8</f>
        <v>0</v>
      </c>
      <c r="AL8" s="11">
        <f aca="true" t="shared" si="10" ref="AL8:AL28">AK8/AJ8*100</f>
        <v>0</v>
      </c>
      <c r="AM8" s="44">
        <v>58.1</v>
      </c>
      <c r="AN8" s="44">
        <v>0</v>
      </c>
      <c r="AO8" s="72">
        <f>M8+Y8+AJ8+AM8</f>
        <v>532.1</v>
      </c>
      <c r="AP8" s="72">
        <f>N8+Z8+AK8+AN8</f>
        <v>310.4</v>
      </c>
      <c r="AQ8" s="11">
        <f t="shared" si="7"/>
        <v>58.33489945498965</v>
      </c>
      <c r="AR8" s="72">
        <f>AO8-AP8</f>
        <v>221.70000000000005</v>
      </c>
      <c r="AS8" s="18">
        <f aca="true" t="shared" si="11" ref="AS8:AS28">C8+AO8-AP8</f>
        <v>290.5</v>
      </c>
      <c r="AT8" s="109"/>
      <c r="AU8" s="19"/>
      <c r="AV8" s="19"/>
    </row>
    <row r="9" spans="1:48" ht="24.75" customHeight="1">
      <c r="A9" s="70">
        <v>2</v>
      </c>
      <c r="B9" s="73" t="s">
        <v>80</v>
      </c>
      <c r="C9" s="108">
        <v>14.8</v>
      </c>
      <c r="D9" s="44">
        <v>7.9</v>
      </c>
      <c r="E9" s="44">
        <v>7.7</v>
      </c>
      <c r="F9" s="11">
        <f>E9/D9*100</f>
        <v>97.46835443037975</v>
      </c>
      <c r="G9" s="44">
        <v>8</v>
      </c>
      <c r="H9" s="44">
        <v>0</v>
      </c>
      <c r="I9" s="11">
        <f t="shared" si="1"/>
        <v>0</v>
      </c>
      <c r="J9" s="44">
        <v>7.6</v>
      </c>
      <c r="K9" s="44">
        <v>7.2</v>
      </c>
      <c r="L9" s="11">
        <f t="shared" si="2"/>
        <v>94.73684210526316</v>
      </c>
      <c r="M9" s="89">
        <f aca="true" t="shared" si="12" ref="M9:M42">D9+G9+J9</f>
        <v>23.5</v>
      </c>
      <c r="N9" s="89">
        <f aca="true" t="shared" si="13" ref="N9:N42">E9+H9+K9</f>
        <v>14.9</v>
      </c>
      <c r="O9" s="11">
        <f t="shared" si="8"/>
        <v>63.40425531914894</v>
      </c>
      <c r="P9" s="44">
        <v>8.9</v>
      </c>
      <c r="Q9" s="44">
        <v>15.9</v>
      </c>
      <c r="R9" s="11">
        <f t="shared" si="3"/>
        <v>178.65168539325842</v>
      </c>
      <c r="S9" s="44">
        <v>8.7</v>
      </c>
      <c r="T9" s="44">
        <v>0</v>
      </c>
      <c r="U9" s="11">
        <f t="shared" si="4"/>
        <v>0</v>
      </c>
      <c r="V9" s="44">
        <v>7.1</v>
      </c>
      <c r="W9" s="44">
        <v>0</v>
      </c>
      <c r="X9" s="11">
        <f t="shared" si="5"/>
        <v>0</v>
      </c>
      <c r="Y9" s="89">
        <f aca="true" t="shared" si="14" ref="Y9:Y28">P9+S9+V9</f>
        <v>24.700000000000003</v>
      </c>
      <c r="Z9" s="89">
        <f aca="true" t="shared" si="15" ref="Z9:Z28">Q9+T9+W9</f>
        <v>15.9</v>
      </c>
      <c r="AA9" s="11">
        <f t="shared" si="9"/>
        <v>64.37246963562752</v>
      </c>
      <c r="AB9" s="44">
        <v>8</v>
      </c>
      <c r="AC9" s="44">
        <v>0</v>
      </c>
      <c r="AD9" s="11">
        <f t="shared" si="6"/>
        <v>0</v>
      </c>
      <c r="AE9" s="44">
        <f>0.2+9</f>
        <v>9.2</v>
      </c>
      <c r="AF9" s="44">
        <v>0</v>
      </c>
      <c r="AG9" s="11">
        <f>AF9/AE9*100</f>
        <v>0</v>
      </c>
      <c r="AH9" s="44">
        <v>7.8</v>
      </c>
      <c r="AI9" s="44">
        <v>0</v>
      </c>
      <c r="AJ9" s="89">
        <f aca="true" t="shared" si="16" ref="AJ9:AJ40">AB9+AE9+AH9</f>
        <v>25</v>
      </c>
      <c r="AK9" s="89">
        <f aca="true" t="shared" si="17" ref="AK9:AK40">AC9+AF9+AI9</f>
        <v>0</v>
      </c>
      <c r="AL9" s="11">
        <f t="shared" si="10"/>
        <v>0</v>
      </c>
      <c r="AM9" s="44">
        <v>7.8</v>
      </c>
      <c r="AN9" s="44">
        <v>0</v>
      </c>
      <c r="AO9" s="72">
        <f aca="true" t="shared" si="18" ref="AO9:AO40">M9+Y9+AJ9+AM9</f>
        <v>81</v>
      </c>
      <c r="AP9" s="72">
        <f aca="true" t="shared" si="19" ref="AP9:AP40">N9+Z9+AK9+AN9</f>
        <v>30.8</v>
      </c>
      <c r="AQ9" s="11">
        <f t="shared" si="7"/>
        <v>38.02469135802469</v>
      </c>
      <c r="AR9" s="72">
        <f aca="true" t="shared" si="20" ref="AR9:AR42">AO9-AP9</f>
        <v>50.2</v>
      </c>
      <c r="AS9" s="18">
        <f t="shared" si="11"/>
        <v>65</v>
      </c>
      <c r="AT9" s="110"/>
      <c r="AU9" s="19"/>
      <c r="AV9" s="19"/>
    </row>
    <row r="10" spans="1:48" ht="24.75" customHeight="1">
      <c r="A10" s="70">
        <v>3</v>
      </c>
      <c r="B10" s="74" t="s">
        <v>133</v>
      </c>
      <c r="C10" s="108">
        <v>2.2</v>
      </c>
      <c r="D10" s="44">
        <v>1.3</v>
      </c>
      <c r="E10" s="44">
        <v>2.2</v>
      </c>
      <c r="F10" s="11">
        <f>E10/D10*100</f>
        <v>169.23076923076923</v>
      </c>
      <c r="G10" s="44">
        <v>2.8</v>
      </c>
      <c r="H10" s="44">
        <v>0</v>
      </c>
      <c r="I10" s="75">
        <f t="shared" si="1"/>
        <v>0</v>
      </c>
      <c r="J10" s="44">
        <v>2.3</v>
      </c>
      <c r="K10" s="44">
        <v>0</v>
      </c>
      <c r="L10" s="75">
        <f t="shared" si="2"/>
        <v>0</v>
      </c>
      <c r="M10" s="89">
        <f t="shared" si="12"/>
        <v>6.3999999999999995</v>
      </c>
      <c r="N10" s="89">
        <f t="shared" si="13"/>
        <v>2.2</v>
      </c>
      <c r="O10" s="11">
        <f t="shared" si="8"/>
        <v>34.37500000000001</v>
      </c>
      <c r="P10" s="44">
        <v>2.7</v>
      </c>
      <c r="Q10" s="44">
        <v>6.5</v>
      </c>
      <c r="R10" s="141">
        <f t="shared" si="3"/>
        <v>240.74074074074073</v>
      </c>
      <c r="S10" s="44">
        <v>2.8</v>
      </c>
      <c r="T10" s="44">
        <v>2.7</v>
      </c>
      <c r="U10" s="141">
        <f t="shared" si="4"/>
        <v>96.42857142857144</v>
      </c>
      <c r="V10" s="44">
        <v>4.3</v>
      </c>
      <c r="W10" s="44">
        <v>2.7</v>
      </c>
      <c r="X10" s="141">
        <f t="shared" si="5"/>
        <v>62.79069767441862</v>
      </c>
      <c r="Y10" s="89">
        <f t="shared" si="14"/>
        <v>9.8</v>
      </c>
      <c r="Z10" s="89">
        <f t="shared" si="15"/>
        <v>11.899999999999999</v>
      </c>
      <c r="AA10" s="11">
        <f t="shared" si="9"/>
        <v>121.4285714285714</v>
      </c>
      <c r="AB10" s="44">
        <v>3.7</v>
      </c>
      <c r="AC10" s="44">
        <v>0</v>
      </c>
      <c r="AD10" s="141">
        <f t="shared" si="6"/>
        <v>0</v>
      </c>
      <c r="AE10" s="44">
        <v>3.1</v>
      </c>
      <c r="AF10" s="44">
        <v>4.3</v>
      </c>
      <c r="AG10" s="11">
        <f>AF10/AE10*100</f>
        <v>138.70967741935482</v>
      </c>
      <c r="AH10" s="44">
        <v>3.2</v>
      </c>
      <c r="AI10" s="44">
        <v>3.8</v>
      </c>
      <c r="AJ10" s="89">
        <f t="shared" si="16"/>
        <v>10</v>
      </c>
      <c r="AK10" s="89">
        <f t="shared" si="17"/>
        <v>8.1</v>
      </c>
      <c r="AL10" s="11">
        <f t="shared" si="10"/>
        <v>81</v>
      </c>
      <c r="AM10" s="44">
        <v>2.9</v>
      </c>
      <c r="AN10" s="44">
        <v>3</v>
      </c>
      <c r="AO10" s="72">
        <f t="shared" si="18"/>
        <v>29.099999999999998</v>
      </c>
      <c r="AP10" s="72">
        <f t="shared" si="19"/>
        <v>25.199999999999996</v>
      </c>
      <c r="AQ10" s="11">
        <f t="shared" si="7"/>
        <v>86.59793814432989</v>
      </c>
      <c r="AR10" s="72">
        <f t="shared" si="20"/>
        <v>3.900000000000002</v>
      </c>
      <c r="AS10" s="18">
        <f t="shared" si="11"/>
        <v>6.100000000000001</v>
      </c>
      <c r="AT10" s="109"/>
      <c r="AU10" s="19"/>
      <c r="AV10" s="19"/>
    </row>
    <row r="11" spans="1:48" ht="24.75" customHeight="1">
      <c r="A11" s="70">
        <v>4</v>
      </c>
      <c r="B11" s="71" t="s">
        <v>62</v>
      </c>
      <c r="C11" s="108">
        <v>69.2</v>
      </c>
      <c r="D11" s="44">
        <v>10.6</v>
      </c>
      <c r="E11" s="44">
        <v>0</v>
      </c>
      <c r="F11" s="11">
        <f>E11/D11*100</f>
        <v>0</v>
      </c>
      <c r="G11" s="44">
        <v>0</v>
      </c>
      <c r="H11" s="44">
        <v>50.9</v>
      </c>
      <c r="I11" s="111" t="e">
        <f>H11/G11*100</f>
        <v>#DIV/0!</v>
      </c>
      <c r="J11" s="44">
        <v>13</v>
      </c>
      <c r="K11" s="44">
        <v>0</v>
      </c>
      <c r="L11" s="75">
        <f t="shared" si="2"/>
        <v>0</v>
      </c>
      <c r="M11" s="89">
        <f t="shared" si="12"/>
        <v>23.6</v>
      </c>
      <c r="N11" s="89">
        <f t="shared" si="13"/>
        <v>50.9</v>
      </c>
      <c r="O11" s="11">
        <f t="shared" si="8"/>
        <v>215.6779661016949</v>
      </c>
      <c r="P11" s="44">
        <v>12.9</v>
      </c>
      <c r="Q11" s="44">
        <v>7.4</v>
      </c>
      <c r="R11" s="141">
        <f t="shared" si="3"/>
        <v>57.36434108527132</v>
      </c>
      <c r="S11" s="44">
        <v>15.3</v>
      </c>
      <c r="T11" s="44">
        <v>0</v>
      </c>
      <c r="U11" s="141">
        <f t="shared" si="4"/>
        <v>0</v>
      </c>
      <c r="V11" s="44">
        <v>21.8</v>
      </c>
      <c r="W11" s="44">
        <v>0</v>
      </c>
      <c r="X11" s="141">
        <f t="shared" si="5"/>
        <v>0</v>
      </c>
      <c r="Y11" s="89">
        <f t="shared" si="14"/>
        <v>50</v>
      </c>
      <c r="Z11" s="89">
        <f t="shared" si="15"/>
        <v>7.4</v>
      </c>
      <c r="AA11" s="11">
        <f t="shared" si="9"/>
        <v>14.800000000000002</v>
      </c>
      <c r="AB11" s="44">
        <v>20.8</v>
      </c>
      <c r="AC11" s="44">
        <v>0</v>
      </c>
      <c r="AD11" s="141">
        <f t="shared" si="6"/>
        <v>0</v>
      </c>
      <c r="AE11" s="44">
        <v>21.2</v>
      </c>
      <c r="AF11" s="44">
        <v>77.5</v>
      </c>
      <c r="AG11" s="11">
        <f>AF11/AE11*100</f>
        <v>365.5660377358491</v>
      </c>
      <c r="AH11" s="44">
        <v>18.7</v>
      </c>
      <c r="AI11" s="44">
        <v>27.8</v>
      </c>
      <c r="AJ11" s="89">
        <f t="shared" si="16"/>
        <v>60.7</v>
      </c>
      <c r="AK11" s="89">
        <f t="shared" si="17"/>
        <v>105.3</v>
      </c>
      <c r="AL11" s="11">
        <f t="shared" si="10"/>
        <v>173.47611202635912</v>
      </c>
      <c r="AM11" s="44">
        <v>18.6</v>
      </c>
      <c r="AN11" s="44">
        <v>21.7</v>
      </c>
      <c r="AO11" s="72">
        <f t="shared" si="18"/>
        <v>152.9</v>
      </c>
      <c r="AP11" s="72">
        <f t="shared" si="19"/>
        <v>185.29999999999998</v>
      </c>
      <c r="AQ11" s="11">
        <f t="shared" si="7"/>
        <v>121.190320470896</v>
      </c>
      <c r="AR11" s="72">
        <f t="shared" si="20"/>
        <v>-32.39999999999998</v>
      </c>
      <c r="AS11" s="18">
        <f t="shared" si="11"/>
        <v>36.80000000000004</v>
      </c>
      <c r="AT11" s="109"/>
      <c r="AU11" s="19"/>
      <c r="AV11" s="19"/>
    </row>
    <row r="12" spans="1:48" ht="24.75" customHeight="1">
      <c r="A12" s="70">
        <v>5</v>
      </c>
      <c r="B12" s="71" t="s">
        <v>63</v>
      </c>
      <c r="C12" s="108">
        <v>8.5</v>
      </c>
      <c r="D12" s="44">
        <v>4.6</v>
      </c>
      <c r="E12" s="44">
        <v>8.2</v>
      </c>
      <c r="F12" s="11">
        <f>E12/D12*100</f>
        <v>178.26086956521738</v>
      </c>
      <c r="G12" s="44">
        <v>4.4</v>
      </c>
      <c r="H12" s="44">
        <v>0</v>
      </c>
      <c r="I12" s="11">
        <f>H12/G12*100</f>
        <v>0</v>
      </c>
      <c r="J12" s="44">
        <v>5</v>
      </c>
      <c r="K12" s="44">
        <v>4.7</v>
      </c>
      <c r="L12" s="11">
        <f t="shared" si="2"/>
        <v>94</v>
      </c>
      <c r="M12" s="89">
        <f t="shared" si="12"/>
        <v>14</v>
      </c>
      <c r="N12" s="89">
        <f t="shared" si="13"/>
        <v>12.899999999999999</v>
      </c>
      <c r="O12" s="11">
        <f t="shared" si="8"/>
        <v>92.14285714285714</v>
      </c>
      <c r="P12" s="44">
        <v>4.6</v>
      </c>
      <c r="Q12" s="44">
        <v>9</v>
      </c>
      <c r="R12" s="11">
        <f t="shared" si="3"/>
        <v>195.6521739130435</v>
      </c>
      <c r="S12" s="44">
        <v>6</v>
      </c>
      <c r="T12" s="44">
        <v>0</v>
      </c>
      <c r="U12" s="11">
        <f t="shared" si="4"/>
        <v>0</v>
      </c>
      <c r="V12" s="44">
        <v>7.9</v>
      </c>
      <c r="W12" s="44">
        <v>0</v>
      </c>
      <c r="X12" s="11">
        <f t="shared" si="5"/>
        <v>0</v>
      </c>
      <c r="Y12" s="89">
        <f t="shared" si="14"/>
        <v>18.5</v>
      </c>
      <c r="Z12" s="89">
        <f t="shared" si="15"/>
        <v>9</v>
      </c>
      <c r="AA12" s="11">
        <f t="shared" si="9"/>
        <v>48.64864864864865</v>
      </c>
      <c r="AB12" s="44">
        <v>8.4</v>
      </c>
      <c r="AC12" s="44">
        <v>0</v>
      </c>
      <c r="AD12" s="11">
        <f t="shared" si="6"/>
        <v>0</v>
      </c>
      <c r="AE12" s="44">
        <v>7.7</v>
      </c>
      <c r="AF12" s="44">
        <v>19.1</v>
      </c>
      <c r="AG12" s="141">
        <f aca="true" t="shared" si="21" ref="AG12:AG24">AF12/AE12*100</f>
        <v>248.05194805194807</v>
      </c>
      <c r="AH12" s="44">
        <v>7.5</v>
      </c>
      <c r="AI12" s="44">
        <v>16.1</v>
      </c>
      <c r="AJ12" s="89">
        <f t="shared" si="16"/>
        <v>23.6</v>
      </c>
      <c r="AK12" s="89">
        <f t="shared" si="17"/>
        <v>35.2</v>
      </c>
      <c r="AL12" s="11">
        <f t="shared" si="10"/>
        <v>149.15254237288136</v>
      </c>
      <c r="AM12" s="44">
        <v>5.6</v>
      </c>
      <c r="AN12" s="44">
        <v>7.5</v>
      </c>
      <c r="AO12" s="72">
        <f t="shared" si="18"/>
        <v>61.7</v>
      </c>
      <c r="AP12" s="72">
        <f t="shared" si="19"/>
        <v>64.6</v>
      </c>
      <c r="AQ12" s="11">
        <f t="shared" si="7"/>
        <v>104.70016207455429</v>
      </c>
      <c r="AR12" s="72">
        <f t="shared" si="20"/>
        <v>-2.8999999999999915</v>
      </c>
      <c r="AS12" s="18">
        <f t="shared" si="11"/>
        <v>5.6000000000000085</v>
      </c>
      <c r="AT12" s="109"/>
      <c r="AU12" s="19"/>
      <c r="AV12" s="19"/>
    </row>
    <row r="13" spans="1:48" ht="24.75" customHeight="1">
      <c r="A13" s="70">
        <v>6</v>
      </c>
      <c r="B13" s="71" t="s">
        <v>64</v>
      </c>
      <c r="C13" s="108">
        <v>28.7</v>
      </c>
      <c r="D13" s="44">
        <v>14.8</v>
      </c>
      <c r="E13" s="44">
        <v>0</v>
      </c>
      <c r="F13" s="11">
        <f t="shared" si="0"/>
        <v>0</v>
      </c>
      <c r="G13" s="44">
        <v>13.1</v>
      </c>
      <c r="H13" s="44">
        <v>0</v>
      </c>
      <c r="I13" s="75">
        <f t="shared" si="1"/>
        <v>0</v>
      </c>
      <c r="J13" s="44">
        <v>13.6</v>
      </c>
      <c r="K13" s="44">
        <v>7.2</v>
      </c>
      <c r="L13" s="75">
        <f aca="true" t="shared" si="22" ref="L13:L28">K13/J13*100</f>
        <v>52.94117647058824</v>
      </c>
      <c r="M13" s="89">
        <f t="shared" si="12"/>
        <v>41.5</v>
      </c>
      <c r="N13" s="89">
        <f t="shared" si="13"/>
        <v>7.2</v>
      </c>
      <c r="O13" s="11">
        <f t="shared" si="8"/>
        <v>17.349397590361445</v>
      </c>
      <c r="P13" s="44">
        <v>13.4</v>
      </c>
      <c r="Q13" s="44">
        <v>0</v>
      </c>
      <c r="R13" s="141">
        <f t="shared" si="3"/>
        <v>0</v>
      </c>
      <c r="S13" s="44">
        <v>13.5</v>
      </c>
      <c r="T13" s="44">
        <v>0</v>
      </c>
      <c r="U13" s="141">
        <f t="shared" si="4"/>
        <v>0</v>
      </c>
      <c r="V13" s="44">
        <v>13.4</v>
      </c>
      <c r="W13" s="44">
        <v>0</v>
      </c>
      <c r="X13" s="141">
        <f t="shared" si="5"/>
        <v>0</v>
      </c>
      <c r="Y13" s="89">
        <f t="shared" si="14"/>
        <v>40.3</v>
      </c>
      <c r="Z13" s="89">
        <f t="shared" si="15"/>
        <v>0</v>
      </c>
      <c r="AA13" s="11">
        <f t="shared" si="9"/>
        <v>0</v>
      </c>
      <c r="AB13" s="44">
        <v>14.1</v>
      </c>
      <c r="AC13" s="44">
        <v>0</v>
      </c>
      <c r="AD13" s="141">
        <f t="shared" si="6"/>
        <v>0</v>
      </c>
      <c r="AE13" s="44">
        <v>22.2</v>
      </c>
      <c r="AF13" s="44">
        <v>0</v>
      </c>
      <c r="AG13" s="11">
        <f t="shared" si="21"/>
        <v>0</v>
      </c>
      <c r="AH13" s="44">
        <v>18</v>
      </c>
      <c r="AI13" s="44">
        <v>110.8</v>
      </c>
      <c r="AJ13" s="89">
        <f t="shared" si="16"/>
        <v>54.3</v>
      </c>
      <c r="AK13" s="89">
        <f t="shared" si="17"/>
        <v>110.8</v>
      </c>
      <c r="AL13" s="11">
        <f t="shared" si="10"/>
        <v>204.05156537753223</v>
      </c>
      <c r="AM13" s="44">
        <v>15</v>
      </c>
      <c r="AN13" s="44">
        <v>18</v>
      </c>
      <c r="AO13" s="72">
        <f t="shared" si="18"/>
        <v>151.1</v>
      </c>
      <c r="AP13" s="72">
        <f t="shared" si="19"/>
        <v>136</v>
      </c>
      <c r="AQ13" s="11">
        <f t="shared" si="7"/>
        <v>90.0066181336863</v>
      </c>
      <c r="AR13" s="72">
        <f t="shared" si="20"/>
        <v>15.099999999999994</v>
      </c>
      <c r="AS13" s="18">
        <f t="shared" si="11"/>
        <v>43.79999999999998</v>
      </c>
      <c r="AT13" s="109"/>
      <c r="AU13" s="19"/>
      <c r="AV13" s="19"/>
    </row>
    <row r="14" spans="1:48" ht="24.75" customHeight="1">
      <c r="A14" s="70">
        <v>7</v>
      </c>
      <c r="B14" s="71" t="s">
        <v>65</v>
      </c>
      <c r="C14" s="108">
        <v>2.1</v>
      </c>
      <c r="D14" s="44">
        <v>2.9</v>
      </c>
      <c r="E14" s="44">
        <v>0</v>
      </c>
      <c r="F14" s="11">
        <f t="shared" si="0"/>
        <v>0</v>
      </c>
      <c r="G14" s="44">
        <v>2.8</v>
      </c>
      <c r="H14" s="44">
        <v>0</v>
      </c>
      <c r="I14" s="11">
        <f t="shared" si="1"/>
        <v>0</v>
      </c>
      <c r="J14" s="44">
        <v>4.4</v>
      </c>
      <c r="K14" s="44">
        <v>5.1</v>
      </c>
      <c r="L14" s="11">
        <f t="shared" si="22"/>
        <v>115.90909090909089</v>
      </c>
      <c r="M14" s="89">
        <f t="shared" si="12"/>
        <v>10.1</v>
      </c>
      <c r="N14" s="89">
        <f t="shared" si="13"/>
        <v>5.1</v>
      </c>
      <c r="O14" s="11">
        <f t="shared" si="8"/>
        <v>50.495049504950494</v>
      </c>
      <c r="P14" s="44">
        <v>3.5</v>
      </c>
      <c r="Q14" s="44">
        <v>10.7</v>
      </c>
      <c r="R14" s="11">
        <f t="shared" si="3"/>
        <v>305.71428571428567</v>
      </c>
      <c r="S14" s="44">
        <v>4.3</v>
      </c>
      <c r="T14" s="44">
        <v>4.2</v>
      </c>
      <c r="U14" s="11">
        <f t="shared" si="4"/>
        <v>97.67441860465117</v>
      </c>
      <c r="V14" s="44">
        <v>4.3</v>
      </c>
      <c r="W14" s="44">
        <v>4.2</v>
      </c>
      <c r="X14" s="11">
        <f t="shared" si="5"/>
        <v>97.67441860465117</v>
      </c>
      <c r="Y14" s="89">
        <f t="shared" si="14"/>
        <v>12.1</v>
      </c>
      <c r="Z14" s="89">
        <f t="shared" si="15"/>
        <v>19.099999999999998</v>
      </c>
      <c r="AA14" s="11">
        <f t="shared" si="9"/>
        <v>157.85123966942146</v>
      </c>
      <c r="AB14" s="44">
        <v>4.5</v>
      </c>
      <c r="AC14" s="44">
        <v>0</v>
      </c>
      <c r="AD14" s="11">
        <f t="shared" si="6"/>
        <v>0</v>
      </c>
      <c r="AE14" s="44">
        <v>4.4</v>
      </c>
      <c r="AF14" s="44">
        <v>4</v>
      </c>
      <c r="AG14" s="11">
        <f t="shared" si="21"/>
        <v>90.9090909090909</v>
      </c>
      <c r="AH14" s="44">
        <v>4.4</v>
      </c>
      <c r="AI14" s="44">
        <v>5</v>
      </c>
      <c r="AJ14" s="89">
        <f t="shared" si="16"/>
        <v>13.3</v>
      </c>
      <c r="AK14" s="89">
        <f t="shared" si="17"/>
        <v>9</v>
      </c>
      <c r="AL14" s="11">
        <f t="shared" si="10"/>
        <v>67.66917293233082</v>
      </c>
      <c r="AM14" s="44">
        <v>5.3</v>
      </c>
      <c r="AN14" s="44">
        <v>4.4</v>
      </c>
      <c r="AO14" s="72">
        <f t="shared" si="18"/>
        <v>40.8</v>
      </c>
      <c r="AP14" s="72">
        <f t="shared" si="19"/>
        <v>37.599999999999994</v>
      </c>
      <c r="AQ14" s="11">
        <f t="shared" si="7"/>
        <v>92.15686274509804</v>
      </c>
      <c r="AR14" s="72">
        <f t="shared" si="20"/>
        <v>3.200000000000003</v>
      </c>
      <c r="AS14" s="18">
        <f t="shared" si="11"/>
        <v>5.300000000000004</v>
      </c>
      <c r="AT14" s="109"/>
      <c r="AU14" s="19"/>
      <c r="AV14" s="19"/>
    </row>
    <row r="15" spans="1:48" ht="24.75" customHeight="1">
      <c r="A15" s="70">
        <v>8</v>
      </c>
      <c r="B15" s="71" t="s">
        <v>66</v>
      </c>
      <c r="C15" s="108">
        <v>56.1</v>
      </c>
      <c r="D15" s="44">
        <v>20.9</v>
      </c>
      <c r="E15" s="44">
        <v>20.4</v>
      </c>
      <c r="F15" s="11">
        <f t="shared" si="0"/>
        <v>97.60765550239235</v>
      </c>
      <c r="G15" s="44">
        <v>34.1</v>
      </c>
      <c r="H15" s="44">
        <v>0</v>
      </c>
      <c r="I15" s="75">
        <f t="shared" si="1"/>
        <v>0</v>
      </c>
      <c r="J15" s="44">
        <v>44.2</v>
      </c>
      <c r="K15" s="44">
        <v>42.8</v>
      </c>
      <c r="L15" s="75">
        <f t="shared" si="22"/>
        <v>96.83257918552034</v>
      </c>
      <c r="M15" s="89">
        <f t="shared" si="12"/>
        <v>99.2</v>
      </c>
      <c r="N15" s="89">
        <f t="shared" si="13"/>
        <v>63.199999999999996</v>
      </c>
      <c r="O15" s="11">
        <f t="shared" si="8"/>
        <v>63.70967741935484</v>
      </c>
      <c r="P15" s="44">
        <v>58.9</v>
      </c>
      <c r="Q15" s="44">
        <v>69.9</v>
      </c>
      <c r="R15" s="141">
        <f t="shared" si="3"/>
        <v>118.67572156196945</v>
      </c>
      <c r="S15" s="44">
        <v>77.2</v>
      </c>
      <c r="T15" s="44">
        <v>9</v>
      </c>
      <c r="U15" s="141">
        <f t="shared" si="4"/>
        <v>11.658031088082902</v>
      </c>
      <c r="V15" s="44">
        <v>87.1</v>
      </c>
      <c r="W15" s="44">
        <v>84.2</v>
      </c>
      <c r="X15" s="141">
        <f t="shared" si="5"/>
        <v>96.67049368541907</v>
      </c>
      <c r="Y15" s="89">
        <f t="shared" si="14"/>
        <v>223.2</v>
      </c>
      <c r="Z15" s="89">
        <f t="shared" si="15"/>
        <v>163.10000000000002</v>
      </c>
      <c r="AA15" s="11">
        <f t="shared" si="9"/>
        <v>73.07347670250898</v>
      </c>
      <c r="AB15" s="44">
        <v>81.5</v>
      </c>
      <c r="AC15" s="44">
        <v>7.3</v>
      </c>
      <c r="AD15" s="141">
        <f t="shared" si="6"/>
        <v>8.957055214723926</v>
      </c>
      <c r="AE15" s="44">
        <v>82.4</v>
      </c>
      <c r="AF15" s="44">
        <v>43.1</v>
      </c>
      <c r="AG15" s="11">
        <f t="shared" si="21"/>
        <v>52.30582524271844</v>
      </c>
      <c r="AH15" s="44">
        <v>86.8</v>
      </c>
      <c r="AI15" s="44">
        <v>118.8</v>
      </c>
      <c r="AJ15" s="89">
        <f t="shared" si="16"/>
        <v>250.7</v>
      </c>
      <c r="AK15" s="89">
        <f t="shared" si="17"/>
        <v>169.2</v>
      </c>
      <c r="AL15" s="11">
        <f t="shared" si="10"/>
        <v>67.49102512963702</v>
      </c>
      <c r="AM15" s="44">
        <v>69.9</v>
      </c>
      <c r="AN15" s="44">
        <v>0</v>
      </c>
      <c r="AO15" s="72">
        <f t="shared" si="18"/>
        <v>642.9999999999999</v>
      </c>
      <c r="AP15" s="72">
        <f t="shared" si="19"/>
        <v>395.5</v>
      </c>
      <c r="AQ15" s="11">
        <f t="shared" si="7"/>
        <v>61.5085536547434</v>
      </c>
      <c r="AR15" s="72">
        <f t="shared" si="20"/>
        <v>247.4999999999999</v>
      </c>
      <c r="AS15" s="18">
        <f t="shared" si="11"/>
        <v>303.5999999999999</v>
      </c>
      <c r="AT15" s="109"/>
      <c r="AU15" s="19"/>
      <c r="AV15" s="19"/>
    </row>
    <row r="16" spans="1:48" ht="24.75" customHeight="1">
      <c r="A16" s="70">
        <v>9</v>
      </c>
      <c r="B16" s="71" t="s">
        <v>67</v>
      </c>
      <c r="C16" s="108">
        <v>1</v>
      </c>
      <c r="D16" s="44">
        <v>0.2</v>
      </c>
      <c r="E16" s="44">
        <v>1.1</v>
      </c>
      <c r="F16" s="11">
        <f t="shared" si="0"/>
        <v>550</v>
      </c>
      <c r="G16" s="44">
        <v>0.6</v>
      </c>
      <c r="H16" s="44">
        <v>0</v>
      </c>
      <c r="I16" s="11">
        <f t="shared" si="1"/>
        <v>0</v>
      </c>
      <c r="J16" s="44">
        <v>0.6</v>
      </c>
      <c r="K16" s="44">
        <v>-0.1</v>
      </c>
      <c r="L16" s="11">
        <f t="shared" si="22"/>
        <v>-16.666666666666668</v>
      </c>
      <c r="M16" s="89">
        <f t="shared" si="12"/>
        <v>1.4</v>
      </c>
      <c r="N16" s="89">
        <f t="shared" si="13"/>
        <v>1</v>
      </c>
      <c r="O16" s="11">
        <f t="shared" si="8"/>
        <v>71.42857142857143</v>
      </c>
      <c r="P16" s="44">
        <v>0.8</v>
      </c>
      <c r="Q16" s="44">
        <v>0</v>
      </c>
      <c r="R16" s="11">
        <f t="shared" si="3"/>
        <v>0</v>
      </c>
      <c r="S16" s="44">
        <v>1.3</v>
      </c>
      <c r="T16" s="44">
        <v>0</v>
      </c>
      <c r="U16" s="11">
        <f t="shared" si="4"/>
        <v>0</v>
      </c>
      <c r="V16" s="44">
        <v>1.2</v>
      </c>
      <c r="W16" s="44">
        <v>0</v>
      </c>
      <c r="X16" s="11">
        <f t="shared" si="5"/>
        <v>0</v>
      </c>
      <c r="Y16" s="89">
        <f t="shared" si="14"/>
        <v>3.3</v>
      </c>
      <c r="Z16" s="89">
        <f t="shared" si="15"/>
        <v>0</v>
      </c>
      <c r="AA16" s="11">
        <f t="shared" si="9"/>
        <v>0</v>
      </c>
      <c r="AB16" s="44">
        <v>1.1</v>
      </c>
      <c r="AC16" s="44">
        <v>0</v>
      </c>
      <c r="AD16" s="11">
        <f t="shared" si="6"/>
        <v>0</v>
      </c>
      <c r="AE16" s="44">
        <v>0.9</v>
      </c>
      <c r="AF16" s="44">
        <v>4.4</v>
      </c>
      <c r="AG16" s="11">
        <f t="shared" si="21"/>
        <v>488.8888888888889</v>
      </c>
      <c r="AH16" s="44">
        <v>0.4</v>
      </c>
      <c r="AI16" s="44">
        <v>0</v>
      </c>
      <c r="AJ16" s="89">
        <f t="shared" si="16"/>
        <v>2.4</v>
      </c>
      <c r="AK16" s="89">
        <f t="shared" si="17"/>
        <v>4.4</v>
      </c>
      <c r="AL16" s="11">
        <f t="shared" si="10"/>
        <v>183.33333333333334</v>
      </c>
      <c r="AM16" s="44">
        <v>0.7</v>
      </c>
      <c r="AN16" s="44">
        <v>0</v>
      </c>
      <c r="AO16" s="72">
        <f t="shared" si="18"/>
        <v>7.8</v>
      </c>
      <c r="AP16" s="72">
        <f t="shared" si="19"/>
        <v>5.4</v>
      </c>
      <c r="AQ16" s="11">
        <f t="shared" si="7"/>
        <v>69.23076923076924</v>
      </c>
      <c r="AR16" s="72">
        <f t="shared" si="20"/>
        <v>2.3999999999999995</v>
      </c>
      <c r="AS16" s="18">
        <f t="shared" si="11"/>
        <v>3.4000000000000004</v>
      </c>
      <c r="AT16" s="109"/>
      <c r="AU16" s="19"/>
      <c r="AV16" s="19"/>
    </row>
    <row r="17" spans="1:48" ht="24.75" customHeight="1">
      <c r="A17" s="70">
        <v>10</v>
      </c>
      <c r="B17" s="76" t="s">
        <v>2</v>
      </c>
      <c r="C17" s="108">
        <f>43.9+18.2</f>
        <v>62.099999999999994</v>
      </c>
      <c r="D17" s="44">
        <f>15.3+5.9</f>
        <v>21.200000000000003</v>
      </c>
      <c r="E17" s="44">
        <f>21.9+12.2</f>
        <v>34.099999999999994</v>
      </c>
      <c r="F17" s="11">
        <f t="shared" si="0"/>
        <v>160.84905660377353</v>
      </c>
      <c r="G17" s="44">
        <f>20.6+5.9</f>
        <v>26.5</v>
      </c>
      <c r="H17" s="44">
        <v>27.8</v>
      </c>
      <c r="I17" s="11">
        <f t="shared" si="1"/>
        <v>104.90566037735849</v>
      </c>
      <c r="J17" s="44">
        <f>5.8+35</f>
        <v>40.8</v>
      </c>
      <c r="K17" s="44">
        <f>5.8+24.8</f>
        <v>30.6</v>
      </c>
      <c r="L17" s="11">
        <f t="shared" si="22"/>
        <v>75.00000000000001</v>
      </c>
      <c r="M17" s="89">
        <f t="shared" si="12"/>
        <v>88.5</v>
      </c>
      <c r="N17" s="89">
        <f t="shared" si="13"/>
        <v>92.5</v>
      </c>
      <c r="O17" s="11">
        <f t="shared" si="8"/>
        <v>104.51977401129943</v>
      </c>
      <c r="P17" s="44">
        <f>54.7+6.1</f>
        <v>60.800000000000004</v>
      </c>
      <c r="Q17" s="44">
        <v>59.4</v>
      </c>
      <c r="R17" s="11">
        <f t="shared" si="3"/>
        <v>97.69736842105262</v>
      </c>
      <c r="S17" s="44">
        <f>5.8+41.8</f>
        <v>47.599999999999994</v>
      </c>
      <c r="T17" s="44">
        <f>35.7</f>
        <v>35.7</v>
      </c>
      <c r="U17" s="11">
        <f t="shared" si="4"/>
        <v>75.00000000000001</v>
      </c>
      <c r="V17" s="44">
        <f>6.3+17.9</f>
        <v>24.2</v>
      </c>
      <c r="W17" s="44">
        <f>29.6+33.5</f>
        <v>63.1</v>
      </c>
      <c r="X17" s="11">
        <f t="shared" si="5"/>
        <v>260.7438016528926</v>
      </c>
      <c r="Y17" s="89">
        <f t="shared" si="14"/>
        <v>132.6</v>
      </c>
      <c r="Z17" s="89">
        <f t="shared" si="15"/>
        <v>158.2</v>
      </c>
      <c r="AA17" s="11">
        <f t="shared" si="9"/>
        <v>119.30618401206637</v>
      </c>
      <c r="AB17" s="44">
        <f>1.6+21.9+4.6</f>
        <v>28.1</v>
      </c>
      <c r="AC17" s="44">
        <v>0</v>
      </c>
      <c r="AD17" s="11">
        <f t="shared" si="6"/>
        <v>0</v>
      </c>
      <c r="AE17" s="44">
        <f>14.6+6.6</f>
        <v>21.2</v>
      </c>
      <c r="AF17" s="44">
        <v>7.3</v>
      </c>
      <c r="AG17" s="11">
        <f t="shared" si="21"/>
        <v>34.43396226415094</v>
      </c>
      <c r="AH17" s="44">
        <f>0.1+19.3+8.4</f>
        <v>27.800000000000004</v>
      </c>
      <c r="AI17" s="44">
        <v>50</v>
      </c>
      <c r="AJ17" s="89">
        <f t="shared" si="16"/>
        <v>77.1</v>
      </c>
      <c r="AK17" s="89">
        <f t="shared" si="17"/>
        <v>57.3</v>
      </c>
      <c r="AL17" s="11">
        <f t="shared" si="10"/>
        <v>74.31906614785993</v>
      </c>
      <c r="AM17" s="44">
        <f>24+8.2</f>
        <v>32.2</v>
      </c>
      <c r="AN17" s="44">
        <f>6.3+0</f>
        <v>6.3</v>
      </c>
      <c r="AO17" s="72">
        <f t="shared" si="18"/>
        <v>330.4</v>
      </c>
      <c r="AP17" s="72">
        <f t="shared" si="19"/>
        <v>314.3</v>
      </c>
      <c r="AQ17" s="11">
        <f t="shared" si="7"/>
        <v>95.1271186440678</v>
      </c>
      <c r="AR17" s="72">
        <f t="shared" si="20"/>
        <v>16.099999999999966</v>
      </c>
      <c r="AS17" s="18">
        <f t="shared" si="11"/>
        <v>78.19999999999999</v>
      </c>
      <c r="AT17" s="109"/>
      <c r="AU17" s="19"/>
      <c r="AV17" s="19"/>
    </row>
    <row r="18" spans="1:48" ht="24.75" customHeight="1">
      <c r="A18" s="70">
        <v>11</v>
      </c>
      <c r="B18" s="76" t="s">
        <v>68</v>
      </c>
      <c r="C18" s="108">
        <v>6.5</v>
      </c>
      <c r="D18" s="44">
        <v>6.3</v>
      </c>
      <c r="E18" s="44">
        <v>6.5</v>
      </c>
      <c r="F18" s="11">
        <f t="shared" si="0"/>
        <v>103.17460317460319</v>
      </c>
      <c r="G18" s="44">
        <v>6</v>
      </c>
      <c r="H18" s="44">
        <v>0</v>
      </c>
      <c r="I18" s="11">
        <f t="shared" si="1"/>
        <v>0</v>
      </c>
      <c r="J18" s="44">
        <v>6.2</v>
      </c>
      <c r="K18" s="44">
        <v>6.3</v>
      </c>
      <c r="L18" s="11">
        <f t="shared" si="22"/>
        <v>101.61290322580645</v>
      </c>
      <c r="M18" s="89">
        <f t="shared" si="12"/>
        <v>18.5</v>
      </c>
      <c r="N18" s="89">
        <f t="shared" si="13"/>
        <v>12.8</v>
      </c>
      <c r="O18" s="11">
        <f t="shared" si="8"/>
        <v>69.1891891891892</v>
      </c>
      <c r="P18" s="44">
        <v>5.8</v>
      </c>
      <c r="Q18" s="44">
        <v>18</v>
      </c>
      <c r="R18" s="11">
        <f t="shared" si="3"/>
        <v>310.3448275862069</v>
      </c>
      <c r="S18" s="44">
        <v>6.5</v>
      </c>
      <c r="T18" s="44">
        <v>6.5</v>
      </c>
      <c r="U18" s="11">
        <f t="shared" si="4"/>
        <v>100</v>
      </c>
      <c r="V18" s="44">
        <v>6.3</v>
      </c>
      <c r="W18" s="44">
        <v>6.3</v>
      </c>
      <c r="X18" s="11">
        <f t="shared" si="5"/>
        <v>100</v>
      </c>
      <c r="Y18" s="89">
        <f t="shared" si="14"/>
        <v>18.6</v>
      </c>
      <c r="Z18" s="89">
        <f t="shared" si="15"/>
        <v>30.8</v>
      </c>
      <c r="AA18" s="11">
        <f t="shared" si="9"/>
        <v>165.59139784946234</v>
      </c>
      <c r="AB18" s="44">
        <v>6.4</v>
      </c>
      <c r="AC18" s="44">
        <v>0</v>
      </c>
      <c r="AD18" s="11">
        <f t="shared" si="6"/>
        <v>0</v>
      </c>
      <c r="AE18" s="44">
        <v>6.8</v>
      </c>
      <c r="AF18" s="44">
        <v>0</v>
      </c>
      <c r="AG18" s="11">
        <f t="shared" si="21"/>
        <v>0</v>
      </c>
      <c r="AH18" s="44">
        <v>7</v>
      </c>
      <c r="AI18" s="44">
        <v>13.2</v>
      </c>
      <c r="AJ18" s="89">
        <f t="shared" si="16"/>
        <v>20.2</v>
      </c>
      <c r="AK18" s="89">
        <f t="shared" si="17"/>
        <v>13.2</v>
      </c>
      <c r="AL18" s="11">
        <f t="shared" si="10"/>
        <v>65.34653465346535</v>
      </c>
      <c r="AM18" s="44">
        <v>6.4</v>
      </c>
      <c r="AN18" s="44">
        <v>7</v>
      </c>
      <c r="AO18" s="72">
        <f t="shared" si="18"/>
        <v>63.699999999999996</v>
      </c>
      <c r="AP18" s="72">
        <f t="shared" si="19"/>
        <v>63.8</v>
      </c>
      <c r="AQ18" s="11">
        <f t="shared" si="7"/>
        <v>100.1569858712716</v>
      </c>
      <c r="AR18" s="72">
        <f t="shared" si="20"/>
        <v>-0.10000000000000142</v>
      </c>
      <c r="AS18" s="18">
        <f t="shared" si="11"/>
        <v>6.3999999999999915</v>
      </c>
      <c r="AT18" s="109"/>
      <c r="AU18" s="19"/>
      <c r="AV18" s="19"/>
    </row>
    <row r="19" spans="1:48" ht="24.75" customHeight="1">
      <c r="A19" s="70">
        <v>12</v>
      </c>
      <c r="B19" s="71" t="s">
        <v>69</v>
      </c>
      <c r="C19" s="108">
        <v>49.5</v>
      </c>
      <c r="D19" s="44">
        <v>13.8</v>
      </c>
      <c r="E19" s="44">
        <v>49.5</v>
      </c>
      <c r="F19" s="11">
        <f t="shared" si="0"/>
        <v>358.69565217391306</v>
      </c>
      <c r="G19" s="44">
        <v>15</v>
      </c>
      <c r="H19" s="44">
        <v>0</v>
      </c>
      <c r="I19" s="75">
        <f aca="true" t="shared" si="23" ref="I19:I24">H19/G19*100</f>
        <v>0</v>
      </c>
      <c r="J19" s="44">
        <v>15</v>
      </c>
      <c r="K19" s="44">
        <v>0</v>
      </c>
      <c r="L19" s="75">
        <f t="shared" si="22"/>
        <v>0</v>
      </c>
      <c r="M19" s="89">
        <f t="shared" si="12"/>
        <v>43.8</v>
      </c>
      <c r="N19" s="89">
        <f t="shared" si="13"/>
        <v>49.5</v>
      </c>
      <c r="O19" s="11">
        <f t="shared" si="8"/>
        <v>113.013698630137</v>
      </c>
      <c r="P19" s="44">
        <v>16.8</v>
      </c>
      <c r="Q19" s="44">
        <v>13.7</v>
      </c>
      <c r="R19" s="141">
        <f t="shared" si="3"/>
        <v>81.54761904761904</v>
      </c>
      <c r="S19" s="44">
        <v>22.4</v>
      </c>
      <c r="T19" s="44">
        <v>0</v>
      </c>
      <c r="U19" s="141">
        <f t="shared" si="4"/>
        <v>0</v>
      </c>
      <c r="V19" s="44">
        <v>25.6</v>
      </c>
      <c r="W19" s="44">
        <v>69.3</v>
      </c>
      <c r="X19" s="141">
        <f t="shared" si="5"/>
        <v>270.70312499999994</v>
      </c>
      <c r="Y19" s="89">
        <f t="shared" si="14"/>
        <v>64.80000000000001</v>
      </c>
      <c r="Z19" s="89">
        <f t="shared" si="15"/>
        <v>83</v>
      </c>
      <c r="AA19" s="11">
        <f t="shared" si="9"/>
        <v>128.08641975308637</v>
      </c>
      <c r="AB19" s="44">
        <v>26.7</v>
      </c>
      <c r="AC19" s="44">
        <v>0</v>
      </c>
      <c r="AD19" s="141">
        <f t="shared" si="6"/>
        <v>0</v>
      </c>
      <c r="AE19" s="44">
        <v>22.5</v>
      </c>
      <c r="AF19" s="44">
        <v>0</v>
      </c>
      <c r="AG19" s="141">
        <f t="shared" si="21"/>
        <v>0</v>
      </c>
      <c r="AH19" s="44">
        <v>26</v>
      </c>
      <c r="AI19" s="44">
        <v>0</v>
      </c>
      <c r="AJ19" s="89">
        <f t="shared" si="16"/>
        <v>75.2</v>
      </c>
      <c r="AK19" s="89">
        <f t="shared" si="17"/>
        <v>0</v>
      </c>
      <c r="AL19" s="11">
        <f t="shared" si="10"/>
        <v>0</v>
      </c>
      <c r="AM19" s="44">
        <v>24.3</v>
      </c>
      <c r="AN19" s="44">
        <v>0</v>
      </c>
      <c r="AO19" s="72">
        <f t="shared" si="18"/>
        <v>208.10000000000002</v>
      </c>
      <c r="AP19" s="72">
        <f t="shared" si="19"/>
        <v>132.5</v>
      </c>
      <c r="AQ19" s="11">
        <f t="shared" si="7"/>
        <v>63.6713118692936</v>
      </c>
      <c r="AR19" s="72">
        <f t="shared" si="20"/>
        <v>75.60000000000002</v>
      </c>
      <c r="AS19" s="18">
        <f t="shared" si="11"/>
        <v>125.10000000000002</v>
      </c>
      <c r="AT19" s="109"/>
      <c r="AU19" s="19"/>
      <c r="AV19" s="19"/>
    </row>
    <row r="20" spans="1:48" ht="24.75" customHeight="1">
      <c r="A20" s="70">
        <v>13</v>
      </c>
      <c r="B20" s="76" t="s">
        <v>70</v>
      </c>
      <c r="C20" s="108">
        <v>19.7</v>
      </c>
      <c r="D20" s="44">
        <v>0</v>
      </c>
      <c r="E20" s="44">
        <v>19.7</v>
      </c>
      <c r="F20" s="11">
        <v>0</v>
      </c>
      <c r="G20" s="44">
        <v>6.2</v>
      </c>
      <c r="H20" s="44">
        <v>2.1</v>
      </c>
      <c r="I20" s="75">
        <f t="shared" si="23"/>
        <v>33.87096774193549</v>
      </c>
      <c r="J20" s="44">
        <v>5.9</v>
      </c>
      <c r="K20" s="44">
        <v>5</v>
      </c>
      <c r="L20" s="75">
        <f t="shared" si="22"/>
        <v>84.7457627118644</v>
      </c>
      <c r="M20" s="89">
        <f t="shared" si="12"/>
        <v>12.100000000000001</v>
      </c>
      <c r="N20" s="89">
        <f t="shared" si="13"/>
        <v>26.8</v>
      </c>
      <c r="O20" s="11">
        <f t="shared" si="8"/>
        <v>221.4876033057851</v>
      </c>
      <c r="P20" s="44">
        <v>17.3</v>
      </c>
      <c r="Q20" s="44">
        <v>7.3</v>
      </c>
      <c r="R20" s="141">
        <f t="shared" si="3"/>
        <v>42.19653179190751</v>
      </c>
      <c r="S20" s="44">
        <v>7.3</v>
      </c>
      <c r="T20" s="44">
        <v>2.1</v>
      </c>
      <c r="U20" s="141">
        <f t="shared" si="4"/>
        <v>28.767123287671236</v>
      </c>
      <c r="V20" s="44">
        <v>9.4</v>
      </c>
      <c r="W20" s="44">
        <v>0</v>
      </c>
      <c r="X20" s="141">
        <f t="shared" si="5"/>
        <v>0</v>
      </c>
      <c r="Y20" s="89">
        <f t="shared" si="14"/>
        <v>34</v>
      </c>
      <c r="Z20" s="89">
        <f t="shared" si="15"/>
        <v>9.4</v>
      </c>
      <c r="AA20" s="11">
        <f t="shared" si="9"/>
        <v>27.647058823529413</v>
      </c>
      <c r="AB20" s="44">
        <v>8.4</v>
      </c>
      <c r="AC20" s="44">
        <v>-9.2</v>
      </c>
      <c r="AD20" s="141">
        <f t="shared" si="6"/>
        <v>-109.52380952380952</v>
      </c>
      <c r="AE20" s="44">
        <v>11</v>
      </c>
      <c r="AF20" s="44">
        <v>0</v>
      </c>
      <c r="AG20" s="141">
        <f t="shared" si="21"/>
        <v>0</v>
      </c>
      <c r="AH20" s="44">
        <v>10.3</v>
      </c>
      <c r="AI20" s="44">
        <v>0</v>
      </c>
      <c r="AJ20" s="89">
        <f t="shared" si="16"/>
        <v>29.7</v>
      </c>
      <c r="AK20" s="89">
        <f t="shared" si="17"/>
        <v>-9.2</v>
      </c>
      <c r="AL20" s="11">
        <f t="shared" si="10"/>
        <v>-30.976430976430976</v>
      </c>
      <c r="AM20" s="44">
        <v>10.1</v>
      </c>
      <c r="AN20" s="44">
        <v>0</v>
      </c>
      <c r="AO20" s="72">
        <f t="shared" si="18"/>
        <v>85.89999999999999</v>
      </c>
      <c r="AP20" s="72">
        <f t="shared" si="19"/>
        <v>27.000000000000004</v>
      </c>
      <c r="AQ20" s="11">
        <f t="shared" si="7"/>
        <v>31.43189755529686</v>
      </c>
      <c r="AR20" s="72">
        <f t="shared" si="20"/>
        <v>58.89999999999999</v>
      </c>
      <c r="AS20" s="18">
        <f t="shared" si="11"/>
        <v>78.6</v>
      </c>
      <c r="AT20" s="109"/>
      <c r="AU20" s="19"/>
      <c r="AV20" s="19"/>
    </row>
    <row r="21" spans="1:48" ht="24.75" customHeight="1">
      <c r="A21" s="70">
        <v>14</v>
      </c>
      <c r="B21" s="76" t="s">
        <v>71</v>
      </c>
      <c r="C21" s="108">
        <v>1.9</v>
      </c>
      <c r="D21" s="44">
        <v>1</v>
      </c>
      <c r="E21" s="44">
        <v>1.6</v>
      </c>
      <c r="F21" s="67">
        <f t="shared" si="0"/>
        <v>160</v>
      </c>
      <c r="G21" s="44">
        <v>0.9</v>
      </c>
      <c r="H21" s="44">
        <v>0</v>
      </c>
      <c r="I21" s="75">
        <f t="shared" si="23"/>
        <v>0</v>
      </c>
      <c r="J21" s="44">
        <v>0.7</v>
      </c>
      <c r="K21" s="44">
        <v>0.7</v>
      </c>
      <c r="L21" s="75">
        <f t="shared" si="22"/>
        <v>100</v>
      </c>
      <c r="M21" s="89">
        <f t="shared" si="12"/>
        <v>2.5999999999999996</v>
      </c>
      <c r="N21" s="89">
        <f t="shared" si="13"/>
        <v>2.3</v>
      </c>
      <c r="O21" s="11">
        <f t="shared" si="8"/>
        <v>88.46153846153847</v>
      </c>
      <c r="P21" s="44">
        <v>1.5</v>
      </c>
      <c r="Q21" s="44">
        <v>0.9</v>
      </c>
      <c r="R21" s="141">
        <f t="shared" si="3"/>
        <v>60</v>
      </c>
      <c r="S21" s="44">
        <v>1.2</v>
      </c>
      <c r="T21" s="44">
        <v>0</v>
      </c>
      <c r="U21" s="141">
        <f t="shared" si="4"/>
        <v>0</v>
      </c>
      <c r="V21" s="44">
        <v>1.5</v>
      </c>
      <c r="W21" s="44">
        <v>3.8</v>
      </c>
      <c r="X21" s="141">
        <f t="shared" si="5"/>
        <v>253.33333333333331</v>
      </c>
      <c r="Y21" s="89">
        <f t="shared" si="14"/>
        <v>4.2</v>
      </c>
      <c r="Z21" s="89">
        <f t="shared" si="15"/>
        <v>4.7</v>
      </c>
      <c r="AA21" s="11">
        <f t="shared" si="9"/>
        <v>111.90476190476191</v>
      </c>
      <c r="AB21" s="44">
        <v>1.5</v>
      </c>
      <c r="AC21" s="44">
        <v>0</v>
      </c>
      <c r="AD21" s="141">
        <f t="shared" si="6"/>
        <v>0</v>
      </c>
      <c r="AE21" s="44">
        <v>1.6</v>
      </c>
      <c r="AF21" s="44">
        <v>0</v>
      </c>
      <c r="AG21" s="11">
        <f t="shared" si="21"/>
        <v>0</v>
      </c>
      <c r="AH21" s="44">
        <v>1.5</v>
      </c>
      <c r="AI21" s="44">
        <v>0</v>
      </c>
      <c r="AJ21" s="89">
        <f t="shared" si="16"/>
        <v>4.6</v>
      </c>
      <c r="AK21" s="89">
        <f t="shared" si="17"/>
        <v>0</v>
      </c>
      <c r="AL21" s="11">
        <f t="shared" si="10"/>
        <v>0</v>
      </c>
      <c r="AM21" s="44">
        <v>1.3</v>
      </c>
      <c r="AN21" s="44">
        <v>6</v>
      </c>
      <c r="AO21" s="72">
        <f t="shared" si="18"/>
        <v>12.7</v>
      </c>
      <c r="AP21" s="72">
        <f t="shared" si="19"/>
        <v>13</v>
      </c>
      <c r="AQ21" s="11">
        <f t="shared" si="7"/>
        <v>102.36220472440945</v>
      </c>
      <c r="AR21" s="72">
        <f t="shared" si="20"/>
        <v>-0.3000000000000007</v>
      </c>
      <c r="AS21" s="18">
        <f t="shared" si="11"/>
        <v>1.5999999999999996</v>
      </c>
      <c r="AT21" s="109"/>
      <c r="AU21" s="19"/>
      <c r="AV21" s="19"/>
    </row>
    <row r="22" spans="1:48" ht="24.75" customHeight="1">
      <c r="A22" s="70">
        <v>15</v>
      </c>
      <c r="B22" s="76" t="s">
        <v>49</v>
      </c>
      <c r="C22" s="108">
        <v>11.7</v>
      </c>
      <c r="D22" s="44">
        <v>1.8</v>
      </c>
      <c r="E22" s="44">
        <v>10</v>
      </c>
      <c r="F22" s="11">
        <f t="shared" si="0"/>
        <v>555.5555555555555</v>
      </c>
      <c r="G22" s="44">
        <v>11.2</v>
      </c>
      <c r="H22" s="44">
        <v>0.4</v>
      </c>
      <c r="I22" s="75">
        <f t="shared" si="23"/>
        <v>3.571428571428572</v>
      </c>
      <c r="J22" s="44">
        <v>18.3</v>
      </c>
      <c r="K22" s="44">
        <v>1.3</v>
      </c>
      <c r="L22" s="75">
        <f t="shared" si="22"/>
        <v>7.103825136612022</v>
      </c>
      <c r="M22" s="89">
        <f t="shared" si="12"/>
        <v>31.3</v>
      </c>
      <c r="N22" s="89">
        <f t="shared" si="13"/>
        <v>11.700000000000001</v>
      </c>
      <c r="O22" s="11">
        <f t="shared" si="8"/>
        <v>37.38019169329074</v>
      </c>
      <c r="P22" s="44">
        <v>7.1</v>
      </c>
      <c r="Q22" s="44">
        <v>20.9</v>
      </c>
      <c r="R22" s="141">
        <f t="shared" si="3"/>
        <v>294.3661971830986</v>
      </c>
      <c r="S22" s="44">
        <v>1.8</v>
      </c>
      <c r="T22" s="44">
        <v>0.2</v>
      </c>
      <c r="U22" s="141">
        <f t="shared" si="4"/>
        <v>11.111111111111112</v>
      </c>
      <c r="V22" s="44">
        <v>8.4</v>
      </c>
      <c r="W22" s="44">
        <v>5.1</v>
      </c>
      <c r="X22" s="141">
        <f t="shared" si="5"/>
        <v>60.71428571428571</v>
      </c>
      <c r="Y22" s="89">
        <f t="shared" si="14"/>
        <v>17.3</v>
      </c>
      <c r="Z22" s="89">
        <f t="shared" si="15"/>
        <v>26.199999999999996</v>
      </c>
      <c r="AA22" s="11">
        <f t="shared" si="9"/>
        <v>151.4450867052023</v>
      </c>
      <c r="AB22" s="44">
        <v>1.9</v>
      </c>
      <c r="AC22" s="44">
        <v>0.2</v>
      </c>
      <c r="AD22" s="141">
        <f t="shared" si="6"/>
        <v>10.526315789473685</v>
      </c>
      <c r="AE22" s="44">
        <v>16.4</v>
      </c>
      <c r="AF22" s="44">
        <v>2.5</v>
      </c>
      <c r="AG22" s="142">
        <f t="shared" si="21"/>
        <v>15.243902439024392</v>
      </c>
      <c r="AH22" s="44">
        <v>13.1</v>
      </c>
      <c r="AI22" s="44">
        <v>37.5</v>
      </c>
      <c r="AJ22" s="89">
        <f t="shared" si="16"/>
        <v>31.4</v>
      </c>
      <c r="AK22" s="89">
        <f t="shared" si="17"/>
        <v>40.2</v>
      </c>
      <c r="AL22" s="11">
        <f t="shared" si="10"/>
        <v>128.0254777070064</v>
      </c>
      <c r="AM22" s="44">
        <v>12.6</v>
      </c>
      <c r="AN22" s="44">
        <v>19.2</v>
      </c>
      <c r="AO22" s="72">
        <f t="shared" si="18"/>
        <v>92.6</v>
      </c>
      <c r="AP22" s="72">
        <f t="shared" si="19"/>
        <v>97.3</v>
      </c>
      <c r="AQ22" s="11">
        <f t="shared" si="7"/>
        <v>105.0755939524838</v>
      </c>
      <c r="AR22" s="72">
        <f t="shared" si="20"/>
        <v>-4.700000000000003</v>
      </c>
      <c r="AS22" s="18">
        <f t="shared" si="11"/>
        <v>7</v>
      </c>
      <c r="AT22" s="109"/>
      <c r="AU22" s="19"/>
      <c r="AV22" s="19"/>
    </row>
    <row r="23" spans="1:48" ht="24.75" customHeight="1">
      <c r="A23" s="70">
        <v>16</v>
      </c>
      <c r="B23" s="76" t="s">
        <v>12</v>
      </c>
      <c r="C23" s="108">
        <v>2.1</v>
      </c>
      <c r="D23" s="44">
        <v>1</v>
      </c>
      <c r="E23" s="44">
        <v>2.1</v>
      </c>
      <c r="F23" s="11">
        <v>584.2</v>
      </c>
      <c r="G23" s="44">
        <v>1.1</v>
      </c>
      <c r="H23" s="44">
        <v>0</v>
      </c>
      <c r="I23" s="11">
        <f t="shared" si="23"/>
        <v>0</v>
      </c>
      <c r="J23" s="44">
        <v>1</v>
      </c>
      <c r="K23" s="44">
        <v>2.1</v>
      </c>
      <c r="L23" s="11">
        <f t="shared" si="22"/>
        <v>210</v>
      </c>
      <c r="M23" s="89">
        <f t="shared" si="12"/>
        <v>3.1</v>
      </c>
      <c r="N23" s="89">
        <f t="shared" si="13"/>
        <v>4.2</v>
      </c>
      <c r="O23" s="11">
        <f t="shared" si="8"/>
        <v>135.48387096774195</v>
      </c>
      <c r="P23" s="44">
        <v>1.3</v>
      </c>
      <c r="Q23" s="44">
        <v>2</v>
      </c>
      <c r="R23" s="11">
        <f t="shared" si="3"/>
        <v>153.84615384615384</v>
      </c>
      <c r="S23" s="44">
        <v>1.3</v>
      </c>
      <c r="T23" s="44">
        <v>1.6</v>
      </c>
      <c r="U23" s="11">
        <f t="shared" si="4"/>
        <v>123.07692307692308</v>
      </c>
      <c r="V23" s="44">
        <v>1.9</v>
      </c>
      <c r="W23" s="44">
        <v>0</v>
      </c>
      <c r="X23" s="11">
        <f t="shared" si="5"/>
        <v>0</v>
      </c>
      <c r="Y23" s="89">
        <f t="shared" si="14"/>
        <v>4.5</v>
      </c>
      <c r="Z23" s="89">
        <f t="shared" si="15"/>
        <v>3.6</v>
      </c>
      <c r="AA23" s="11">
        <f t="shared" si="9"/>
        <v>80</v>
      </c>
      <c r="AB23" s="44">
        <v>2.5</v>
      </c>
      <c r="AC23" s="44">
        <v>0</v>
      </c>
      <c r="AD23" s="11">
        <f t="shared" si="6"/>
        <v>0</v>
      </c>
      <c r="AE23" s="44">
        <v>1.7</v>
      </c>
      <c r="AF23" s="44">
        <v>0</v>
      </c>
      <c r="AG23" s="142">
        <f t="shared" si="21"/>
        <v>0</v>
      </c>
      <c r="AH23" s="44">
        <v>1.9</v>
      </c>
      <c r="AI23" s="44">
        <v>6.1</v>
      </c>
      <c r="AJ23" s="89">
        <f t="shared" si="16"/>
        <v>6.1</v>
      </c>
      <c r="AK23" s="89">
        <f t="shared" si="17"/>
        <v>6.1</v>
      </c>
      <c r="AL23" s="11">
        <f t="shared" si="10"/>
        <v>100</v>
      </c>
      <c r="AM23" s="44">
        <v>1.2</v>
      </c>
      <c r="AN23" s="44">
        <v>1.9</v>
      </c>
      <c r="AO23" s="72">
        <f t="shared" si="18"/>
        <v>14.899999999999999</v>
      </c>
      <c r="AP23" s="72">
        <f t="shared" si="19"/>
        <v>15.8</v>
      </c>
      <c r="AQ23" s="11">
        <f t="shared" si="7"/>
        <v>106.04026845637587</v>
      </c>
      <c r="AR23" s="72">
        <f t="shared" si="20"/>
        <v>-0.9000000000000021</v>
      </c>
      <c r="AS23" s="18">
        <f t="shared" si="11"/>
        <v>1.1999999999999993</v>
      </c>
      <c r="AT23" s="109"/>
      <c r="AU23" s="19"/>
      <c r="AV23" s="19"/>
    </row>
    <row r="24" spans="1:48" ht="24.75" customHeight="1">
      <c r="A24" s="70">
        <v>17</v>
      </c>
      <c r="B24" s="76" t="s">
        <v>48</v>
      </c>
      <c r="C24" s="108">
        <v>93.8</v>
      </c>
      <c r="D24" s="44">
        <v>34.8</v>
      </c>
      <c r="E24" s="44">
        <v>93.8</v>
      </c>
      <c r="F24" s="11">
        <f t="shared" si="0"/>
        <v>269.5402298850575</v>
      </c>
      <c r="G24" s="44">
        <v>31.4</v>
      </c>
      <c r="H24" s="44">
        <v>0</v>
      </c>
      <c r="I24" s="11">
        <f t="shared" si="23"/>
        <v>0</v>
      </c>
      <c r="J24" s="44">
        <v>32.8</v>
      </c>
      <c r="K24" s="44">
        <v>0</v>
      </c>
      <c r="L24" s="11">
        <f t="shared" si="22"/>
        <v>0</v>
      </c>
      <c r="M24" s="89">
        <f t="shared" si="12"/>
        <v>98.99999999999999</v>
      </c>
      <c r="N24" s="89">
        <f t="shared" si="13"/>
        <v>93.8</v>
      </c>
      <c r="O24" s="11">
        <f t="shared" si="8"/>
        <v>94.74747474747475</v>
      </c>
      <c r="P24" s="44">
        <v>35.6</v>
      </c>
      <c r="Q24" s="44">
        <v>21.7</v>
      </c>
      <c r="R24" s="11">
        <f t="shared" si="3"/>
        <v>60.95505617977528</v>
      </c>
      <c r="S24" s="44">
        <v>35.9</v>
      </c>
      <c r="T24" s="44">
        <v>0</v>
      </c>
      <c r="U24" s="11">
        <f t="shared" si="4"/>
        <v>0</v>
      </c>
      <c r="V24" s="44">
        <v>39</v>
      </c>
      <c r="W24" s="44">
        <v>30.2</v>
      </c>
      <c r="X24" s="11">
        <f t="shared" si="5"/>
        <v>77.43589743589745</v>
      </c>
      <c r="Y24" s="89">
        <f t="shared" si="14"/>
        <v>110.5</v>
      </c>
      <c r="Z24" s="89">
        <f t="shared" si="15"/>
        <v>51.9</v>
      </c>
      <c r="AA24" s="11">
        <f t="shared" si="9"/>
        <v>46.9683257918552</v>
      </c>
      <c r="AB24" s="44">
        <v>43.8</v>
      </c>
      <c r="AC24" s="44">
        <v>0</v>
      </c>
      <c r="AD24" s="11">
        <f t="shared" si="6"/>
        <v>0</v>
      </c>
      <c r="AE24" s="44">
        <v>41.7</v>
      </c>
      <c r="AF24" s="44">
        <v>118.6</v>
      </c>
      <c r="AG24" s="142">
        <f t="shared" si="21"/>
        <v>284.4124700239808</v>
      </c>
      <c r="AH24" s="44">
        <v>41.5</v>
      </c>
      <c r="AI24" s="44">
        <v>82.8</v>
      </c>
      <c r="AJ24" s="89">
        <f t="shared" si="16"/>
        <v>127</v>
      </c>
      <c r="AK24" s="89">
        <f t="shared" si="17"/>
        <v>201.39999999999998</v>
      </c>
      <c r="AL24" s="11">
        <f t="shared" si="10"/>
        <v>158.5826771653543</v>
      </c>
      <c r="AM24" s="44">
        <v>38.9</v>
      </c>
      <c r="AN24" s="44">
        <v>41.7</v>
      </c>
      <c r="AO24" s="72">
        <f t="shared" si="18"/>
        <v>375.4</v>
      </c>
      <c r="AP24" s="72">
        <f t="shared" si="19"/>
        <v>388.79999999999995</v>
      </c>
      <c r="AQ24" s="11">
        <f t="shared" si="7"/>
        <v>103.56952583910495</v>
      </c>
      <c r="AR24" s="72">
        <f t="shared" si="20"/>
        <v>-13.399999999999977</v>
      </c>
      <c r="AS24" s="18">
        <f t="shared" si="11"/>
        <v>80.40000000000003</v>
      </c>
      <c r="AT24" s="109"/>
      <c r="AU24" s="19"/>
      <c r="AV24" s="19"/>
    </row>
    <row r="25" spans="1:48" ht="24.75" customHeight="1">
      <c r="A25" s="70">
        <v>18</v>
      </c>
      <c r="B25" s="71" t="s">
        <v>51</v>
      </c>
      <c r="C25" s="108">
        <v>22.9</v>
      </c>
      <c r="D25" s="44">
        <v>7.5</v>
      </c>
      <c r="E25" s="44">
        <v>15.8</v>
      </c>
      <c r="F25" s="11">
        <f t="shared" si="0"/>
        <v>210.66666666666669</v>
      </c>
      <c r="G25" s="44">
        <v>8.9</v>
      </c>
      <c r="H25" s="44">
        <v>0</v>
      </c>
      <c r="I25" s="11">
        <f aca="true" t="shared" si="24" ref="I25:I34">H25/G25*100</f>
        <v>0</v>
      </c>
      <c r="J25" s="44">
        <v>9.5</v>
      </c>
      <c r="K25" s="44">
        <v>14.6</v>
      </c>
      <c r="L25" s="11">
        <f t="shared" si="22"/>
        <v>153.68421052631578</v>
      </c>
      <c r="M25" s="89">
        <f t="shared" si="12"/>
        <v>25.9</v>
      </c>
      <c r="N25" s="89">
        <f t="shared" si="13"/>
        <v>30.4</v>
      </c>
      <c r="O25" s="11">
        <f t="shared" si="8"/>
        <v>117.37451737451738</v>
      </c>
      <c r="P25" s="44">
        <v>9.5</v>
      </c>
      <c r="Q25" s="44">
        <v>8.9</v>
      </c>
      <c r="R25" s="11">
        <f t="shared" si="3"/>
        <v>93.6842105263158</v>
      </c>
      <c r="S25" s="44">
        <v>9.2</v>
      </c>
      <c r="T25" s="44">
        <v>0</v>
      </c>
      <c r="U25" s="11">
        <f t="shared" si="4"/>
        <v>0</v>
      </c>
      <c r="V25" s="44">
        <v>8.6</v>
      </c>
      <c r="W25" s="44">
        <v>19</v>
      </c>
      <c r="X25" s="11">
        <f t="shared" si="5"/>
        <v>220.93023255813952</v>
      </c>
      <c r="Y25" s="89">
        <f t="shared" si="14"/>
        <v>27.299999999999997</v>
      </c>
      <c r="Z25" s="89">
        <f t="shared" si="15"/>
        <v>27.9</v>
      </c>
      <c r="AA25" s="11">
        <f t="shared" si="9"/>
        <v>102.19780219780222</v>
      </c>
      <c r="AB25" s="44">
        <v>11.3</v>
      </c>
      <c r="AC25" s="44">
        <v>0</v>
      </c>
      <c r="AD25" s="11">
        <f t="shared" si="6"/>
        <v>0</v>
      </c>
      <c r="AE25" s="44">
        <v>11.2</v>
      </c>
      <c r="AF25" s="44">
        <v>18.4</v>
      </c>
      <c r="AG25" s="11">
        <f>AF25/AE25*100</f>
        <v>164.28571428571428</v>
      </c>
      <c r="AH25" s="44">
        <v>8.5</v>
      </c>
      <c r="AI25" s="44">
        <v>10.9</v>
      </c>
      <c r="AJ25" s="89">
        <f t="shared" si="16"/>
        <v>31</v>
      </c>
      <c r="AK25" s="89">
        <f t="shared" si="17"/>
        <v>29.299999999999997</v>
      </c>
      <c r="AL25" s="11">
        <f t="shared" si="10"/>
        <v>94.51612903225805</v>
      </c>
      <c r="AM25" s="44">
        <v>11.2</v>
      </c>
      <c r="AN25" s="44">
        <v>11</v>
      </c>
      <c r="AO25" s="72">
        <f t="shared" si="18"/>
        <v>95.39999999999999</v>
      </c>
      <c r="AP25" s="72">
        <f t="shared" si="19"/>
        <v>98.6</v>
      </c>
      <c r="AQ25" s="11">
        <f t="shared" si="7"/>
        <v>103.35429769392034</v>
      </c>
      <c r="AR25" s="72">
        <f t="shared" si="20"/>
        <v>-3.200000000000003</v>
      </c>
      <c r="AS25" s="18">
        <f t="shared" si="11"/>
        <v>19.69999999999999</v>
      </c>
      <c r="AT25" s="109"/>
      <c r="AU25" s="19"/>
      <c r="AV25" s="19"/>
    </row>
    <row r="26" spans="1:48" ht="24.75" customHeight="1">
      <c r="A26" s="70">
        <v>19</v>
      </c>
      <c r="B26" s="76" t="s">
        <v>72</v>
      </c>
      <c r="C26" s="108">
        <v>3.2</v>
      </c>
      <c r="D26" s="44">
        <v>1.8</v>
      </c>
      <c r="E26" s="44">
        <v>0</v>
      </c>
      <c r="F26" s="11">
        <f t="shared" si="0"/>
        <v>0</v>
      </c>
      <c r="G26" s="44">
        <v>1.7</v>
      </c>
      <c r="H26" s="44">
        <v>0</v>
      </c>
      <c r="I26" s="11">
        <f t="shared" si="24"/>
        <v>0</v>
      </c>
      <c r="J26" s="44">
        <v>1.8</v>
      </c>
      <c r="K26" s="44">
        <v>5</v>
      </c>
      <c r="L26" s="11">
        <f t="shared" si="22"/>
        <v>277.77777777777777</v>
      </c>
      <c r="M26" s="89">
        <f t="shared" si="12"/>
        <v>5.3</v>
      </c>
      <c r="N26" s="89">
        <f t="shared" si="13"/>
        <v>5</v>
      </c>
      <c r="O26" s="11">
        <f t="shared" si="8"/>
        <v>94.33962264150944</v>
      </c>
      <c r="P26" s="44">
        <v>1.7</v>
      </c>
      <c r="Q26" s="44">
        <v>3.6</v>
      </c>
      <c r="R26" s="11">
        <f t="shared" si="3"/>
        <v>211.76470588235296</v>
      </c>
      <c r="S26" s="44">
        <v>2.5</v>
      </c>
      <c r="T26" s="44">
        <v>1.7</v>
      </c>
      <c r="U26" s="11">
        <f t="shared" si="4"/>
        <v>68</v>
      </c>
      <c r="V26" s="44">
        <v>2.4</v>
      </c>
      <c r="W26" s="44">
        <v>2.5</v>
      </c>
      <c r="X26" s="11">
        <f t="shared" si="5"/>
        <v>104.16666666666667</v>
      </c>
      <c r="Y26" s="89">
        <f t="shared" si="14"/>
        <v>6.6</v>
      </c>
      <c r="Z26" s="89">
        <f t="shared" si="15"/>
        <v>7.8</v>
      </c>
      <c r="AA26" s="11">
        <f t="shared" si="9"/>
        <v>118.18181818181819</v>
      </c>
      <c r="AB26" s="44">
        <v>2.8</v>
      </c>
      <c r="AC26" s="44">
        <v>0</v>
      </c>
      <c r="AD26" s="11">
        <f t="shared" si="6"/>
        <v>0</v>
      </c>
      <c r="AE26" s="44">
        <v>2.7</v>
      </c>
      <c r="AF26" s="44">
        <v>0</v>
      </c>
      <c r="AG26" s="11">
        <f>AF26/AE26*100</f>
        <v>0</v>
      </c>
      <c r="AH26" s="44">
        <v>2.6</v>
      </c>
      <c r="AI26" s="44">
        <v>7.9</v>
      </c>
      <c r="AJ26" s="89">
        <f t="shared" si="16"/>
        <v>8.1</v>
      </c>
      <c r="AK26" s="89">
        <f t="shared" si="17"/>
        <v>7.9</v>
      </c>
      <c r="AL26" s="11">
        <f t="shared" si="10"/>
        <v>97.53086419753087</v>
      </c>
      <c r="AM26" s="44">
        <v>2.5</v>
      </c>
      <c r="AN26" s="44">
        <v>2.5</v>
      </c>
      <c r="AO26" s="72">
        <f t="shared" si="18"/>
        <v>22.5</v>
      </c>
      <c r="AP26" s="72">
        <f t="shared" si="19"/>
        <v>23.200000000000003</v>
      </c>
      <c r="AQ26" s="11">
        <f t="shared" si="7"/>
        <v>103.11111111111113</v>
      </c>
      <c r="AR26" s="72">
        <f t="shared" si="20"/>
        <v>-0.7000000000000028</v>
      </c>
      <c r="AS26" s="18">
        <f t="shared" si="11"/>
        <v>2.4999999999999964</v>
      </c>
      <c r="AT26" s="109"/>
      <c r="AU26" s="19"/>
      <c r="AV26" s="19"/>
    </row>
    <row r="27" spans="1:48" ht="24.75" customHeight="1">
      <c r="A27" s="70">
        <v>20</v>
      </c>
      <c r="B27" s="76" t="s">
        <v>73</v>
      </c>
      <c r="C27" s="108">
        <v>24.2</v>
      </c>
      <c r="D27" s="44">
        <v>11.5</v>
      </c>
      <c r="E27" s="44">
        <v>23.2</v>
      </c>
      <c r="F27" s="11">
        <f t="shared" si="0"/>
        <v>201.7391304347826</v>
      </c>
      <c r="G27" s="44">
        <v>14</v>
      </c>
      <c r="H27" s="44">
        <v>0</v>
      </c>
      <c r="I27" s="11">
        <f t="shared" si="24"/>
        <v>0</v>
      </c>
      <c r="J27" s="44">
        <v>14.2</v>
      </c>
      <c r="K27" s="44">
        <v>25.5</v>
      </c>
      <c r="L27" s="11">
        <f t="shared" si="22"/>
        <v>179.5774647887324</v>
      </c>
      <c r="M27" s="89">
        <f t="shared" si="12"/>
        <v>39.7</v>
      </c>
      <c r="N27" s="89">
        <f t="shared" si="13"/>
        <v>48.7</v>
      </c>
      <c r="O27" s="11">
        <f t="shared" si="8"/>
        <v>122.67002518891688</v>
      </c>
      <c r="P27" s="44">
        <v>15.9</v>
      </c>
      <c r="Q27" s="44">
        <v>17.3</v>
      </c>
      <c r="R27" s="11">
        <f t="shared" si="3"/>
        <v>108.80503144654088</v>
      </c>
      <c r="S27" s="44">
        <v>14.5</v>
      </c>
      <c r="T27" s="44">
        <v>0</v>
      </c>
      <c r="U27" s="11">
        <f t="shared" si="4"/>
        <v>0</v>
      </c>
      <c r="V27" s="44">
        <v>15.4</v>
      </c>
      <c r="W27" s="44">
        <v>1</v>
      </c>
      <c r="X27" s="11">
        <f t="shared" si="5"/>
        <v>6.493506493506493</v>
      </c>
      <c r="Y27" s="89">
        <f t="shared" si="14"/>
        <v>45.8</v>
      </c>
      <c r="Z27" s="89">
        <f t="shared" si="15"/>
        <v>18.3</v>
      </c>
      <c r="AA27" s="11">
        <f t="shared" si="9"/>
        <v>39.95633187772926</v>
      </c>
      <c r="AB27" s="44">
        <v>17.4</v>
      </c>
      <c r="AC27" s="44">
        <v>0</v>
      </c>
      <c r="AD27" s="11">
        <f t="shared" si="6"/>
        <v>0</v>
      </c>
      <c r="AE27" s="44">
        <v>15.6</v>
      </c>
      <c r="AF27" s="44">
        <v>60.3</v>
      </c>
      <c r="AG27" s="11">
        <f>AF27/AE27*100</f>
        <v>386.53846153846155</v>
      </c>
      <c r="AH27" s="44">
        <v>15</v>
      </c>
      <c r="AI27" s="44">
        <v>0</v>
      </c>
      <c r="AJ27" s="89">
        <f t="shared" si="16"/>
        <v>48</v>
      </c>
      <c r="AK27" s="89">
        <f t="shared" si="17"/>
        <v>60.3</v>
      </c>
      <c r="AL27" s="11">
        <f t="shared" si="10"/>
        <v>125.62499999999999</v>
      </c>
      <c r="AM27" s="44">
        <v>13.8</v>
      </c>
      <c r="AN27" s="44">
        <v>30.6</v>
      </c>
      <c r="AO27" s="72">
        <f t="shared" si="18"/>
        <v>147.3</v>
      </c>
      <c r="AP27" s="72">
        <f t="shared" si="19"/>
        <v>157.9</v>
      </c>
      <c r="AQ27" s="11">
        <f t="shared" si="7"/>
        <v>107.19619823489477</v>
      </c>
      <c r="AR27" s="72">
        <f t="shared" si="20"/>
        <v>-10.599999999999994</v>
      </c>
      <c r="AS27" s="18">
        <f t="shared" si="11"/>
        <v>13.599999999999994</v>
      </c>
      <c r="AT27" s="109"/>
      <c r="AU27" s="19"/>
      <c r="AV27" s="19"/>
    </row>
    <row r="28" spans="1:48" ht="24.75" customHeight="1">
      <c r="A28" s="70">
        <v>21</v>
      </c>
      <c r="B28" s="71" t="s">
        <v>74</v>
      </c>
      <c r="C28" s="108">
        <v>10.1</v>
      </c>
      <c r="D28" s="44">
        <v>4.7</v>
      </c>
      <c r="E28" s="44">
        <v>10.1</v>
      </c>
      <c r="F28" s="11">
        <f t="shared" si="0"/>
        <v>214.89361702127655</v>
      </c>
      <c r="G28" s="44">
        <v>4.4</v>
      </c>
      <c r="H28" s="44">
        <v>0</v>
      </c>
      <c r="I28" s="11">
        <f t="shared" si="24"/>
        <v>0</v>
      </c>
      <c r="J28" s="44">
        <v>2</v>
      </c>
      <c r="K28" s="44">
        <v>0</v>
      </c>
      <c r="L28" s="11">
        <f t="shared" si="22"/>
        <v>0</v>
      </c>
      <c r="M28" s="89">
        <f t="shared" si="12"/>
        <v>11.100000000000001</v>
      </c>
      <c r="N28" s="89">
        <f t="shared" si="13"/>
        <v>10.1</v>
      </c>
      <c r="O28" s="11">
        <f t="shared" si="8"/>
        <v>90.99099099099097</v>
      </c>
      <c r="P28" s="44">
        <v>6.5</v>
      </c>
      <c r="Q28" s="44">
        <v>4.4</v>
      </c>
      <c r="R28" s="11">
        <f t="shared" si="3"/>
        <v>67.6923076923077</v>
      </c>
      <c r="S28" s="44">
        <v>6.7</v>
      </c>
      <c r="T28" s="44">
        <v>0</v>
      </c>
      <c r="U28" s="11">
        <f t="shared" si="4"/>
        <v>0</v>
      </c>
      <c r="V28" s="44">
        <v>6.9</v>
      </c>
      <c r="W28" s="44">
        <v>0</v>
      </c>
      <c r="X28" s="11">
        <f t="shared" si="5"/>
        <v>0</v>
      </c>
      <c r="Y28" s="89">
        <f t="shared" si="14"/>
        <v>20.1</v>
      </c>
      <c r="Z28" s="89">
        <f t="shared" si="15"/>
        <v>4.4</v>
      </c>
      <c r="AA28" s="11">
        <f t="shared" si="9"/>
        <v>21.890547263681594</v>
      </c>
      <c r="AB28" s="44">
        <v>6.9</v>
      </c>
      <c r="AC28" s="44">
        <v>0</v>
      </c>
      <c r="AD28" s="11">
        <f t="shared" si="6"/>
        <v>0</v>
      </c>
      <c r="AE28" s="44">
        <v>7.4</v>
      </c>
      <c r="AF28" s="99">
        <v>33.7</v>
      </c>
      <c r="AG28" s="94">
        <f>AF28/AE28*100</f>
        <v>455.4054054054054</v>
      </c>
      <c r="AH28" s="44"/>
      <c r="AI28" s="99"/>
      <c r="AJ28" s="89">
        <f t="shared" si="16"/>
        <v>14.3</v>
      </c>
      <c r="AK28" s="89">
        <f t="shared" si="17"/>
        <v>33.7</v>
      </c>
      <c r="AL28" s="11">
        <f t="shared" si="10"/>
        <v>235.66433566433568</v>
      </c>
      <c r="AM28" s="44">
        <v>7.5</v>
      </c>
      <c r="AN28" s="99">
        <v>13.9</v>
      </c>
      <c r="AO28" s="72">
        <f t="shared" si="18"/>
        <v>53</v>
      </c>
      <c r="AP28" s="72">
        <f t="shared" si="19"/>
        <v>62.1</v>
      </c>
      <c r="AQ28" s="11">
        <f t="shared" si="7"/>
        <v>117.16981132075472</v>
      </c>
      <c r="AR28" s="72">
        <f t="shared" si="20"/>
        <v>-9.100000000000001</v>
      </c>
      <c r="AS28" s="18">
        <f t="shared" si="11"/>
        <v>1</v>
      </c>
      <c r="AT28" s="109"/>
      <c r="AU28" s="19"/>
      <c r="AV28" s="19"/>
    </row>
    <row r="29" spans="1:48" ht="24.75" customHeight="1">
      <c r="A29" s="70">
        <v>22</v>
      </c>
      <c r="B29" s="71" t="s">
        <v>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89"/>
      <c r="N29" s="89"/>
      <c r="O29" s="11"/>
      <c r="P29" s="66"/>
      <c r="Q29" s="66"/>
      <c r="R29" s="66"/>
      <c r="S29" s="66"/>
      <c r="T29" s="66"/>
      <c r="U29" s="66"/>
      <c r="V29" s="66"/>
      <c r="W29" s="66"/>
      <c r="X29" s="66"/>
      <c r="Y29" s="89"/>
      <c r="Z29" s="89"/>
      <c r="AA29" s="11"/>
      <c r="AB29" s="66"/>
      <c r="AC29" s="66"/>
      <c r="AD29" s="66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72">
        <f t="shared" si="18"/>
        <v>0</v>
      </c>
      <c r="AP29" s="72">
        <f t="shared" si="19"/>
        <v>0</v>
      </c>
      <c r="AQ29" s="66"/>
      <c r="AR29" s="72"/>
      <c r="AS29" s="112"/>
      <c r="AT29" s="109"/>
      <c r="AU29" s="19"/>
      <c r="AV29" s="19"/>
    </row>
    <row r="30" spans="1:48" ht="24.75" customHeight="1">
      <c r="A30" s="70">
        <v>23</v>
      </c>
      <c r="B30" s="76" t="s">
        <v>47</v>
      </c>
      <c r="C30" s="108">
        <v>7.5</v>
      </c>
      <c r="D30" s="44">
        <v>4.1</v>
      </c>
      <c r="E30" s="44">
        <v>7.5</v>
      </c>
      <c r="F30" s="11">
        <f t="shared" si="0"/>
        <v>182.9268292682927</v>
      </c>
      <c r="G30" s="44">
        <v>3.7</v>
      </c>
      <c r="H30" s="44">
        <v>0</v>
      </c>
      <c r="I30" s="75">
        <f t="shared" si="24"/>
        <v>0</v>
      </c>
      <c r="J30" s="44">
        <v>4.5</v>
      </c>
      <c r="K30" s="44">
        <v>4.1</v>
      </c>
      <c r="L30" s="75">
        <f aca="true" t="shared" si="25" ref="L30:L43">K30/J30*100</f>
        <v>91.1111111111111</v>
      </c>
      <c r="M30" s="89">
        <f t="shared" si="12"/>
        <v>12.3</v>
      </c>
      <c r="N30" s="89">
        <f t="shared" si="13"/>
        <v>11.6</v>
      </c>
      <c r="O30" s="11">
        <f t="shared" si="8"/>
        <v>94.30894308943088</v>
      </c>
      <c r="P30" s="44">
        <v>4.2</v>
      </c>
      <c r="Q30" s="44">
        <v>3.7</v>
      </c>
      <c r="R30" s="141">
        <f aca="true" t="shared" si="26" ref="R30:R43">Q30/P30*100</f>
        <v>88.09523809523809</v>
      </c>
      <c r="S30" s="44">
        <v>4.7</v>
      </c>
      <c r="T30" s="44">
        <v>0</v>
      </c>
      <c r="U30" s="141">
        <f aca="true" t="shared" si="27" ref="U30:U43">T30/S30*100</f>
        <v>0</v>
      </c>
      <c r="V30" s="44">
        <v>4.3</v>
      </c>
      <c r="W30" s="44">
        <v>16.8</v>
      </c>
      <c r="X30" s="141">
        <f aca="true" t="shared" si="28" ref="X30:X43">W30/V30*100</f>
        <v>390.69767441860466</v>
      </c>
      <c r="Y30" s="89">
        <f aca="true" t="shared" si="29" ref="Y30:Y40">P30+S30+V30</f>
        <v>13.2</v>
      </c>
      <c r="Z30" s="89">
        <f aca="true" t="shared" si="30" ref="Z30:Z40">Q30+T30+W30</f>
        <v>20.5</v>
      </c>
      <c r="AA30" s="11">
        <f aca="true" t="shared" si="31" ref="AA30:AA43">Z30/Y30*100</f>
        <v>155.3030303030303</v>
      </c>
      <c r="AB30" s="44">
        <v>2.8</v>
      </c>
      <c r="AC30" s="44">
        <v>0</v>
      </c>
      <c r="AD30" s="141">
        <f aca="true" t="shared" si="32" ref="AD30:AD43">AC30/AB30*100</f>
        <v>0</v>
      </c>
      <c r="AE30" s="44">
        <v>4.8</v>
      </c>
      <c r="AF30" s="44">
        <v>0</v>
      </c>
      <c r="AG30" s="141">
        <f aca="true" t="shared" si="33" ref="AG30:AG41">AF30/AE30*100</f>
        <v>0</v>
      </c>
      <c r="AH30" s="44">
        <v>5.3</v>
      </c>
      <c r="AI30" s="44">
        <v>3.8</v>
      </c>
      <c r="AJ30" s="89">
        <f t="shared" si="16"/>
        <v>12.899999999999999</v>
      </c>
      <c r="AK30" s="89">
        <f t="shared" si="17"/>
        <v>3.8</v>
      </c>
      <c r="AL30" s="11">
        <f aca="true" t="shared" si="34" ref="AL30:AL43">AK30/AJ30*100</f>
        <v>29.457364341085274</v>
      </c>
      <c r="AM30" s="44">
        <v>3.6</v>
      </c>
      <c r="AN30" s="44">
        <v>4.8</v>
      </c>
      <c r="AO30" s="72">
        <f t="shared" si="18"/>
        <v>42</v>
      </c>
      <c r="AP30" s="72">
        <f t="shared" si="19"/>
        <v>40.699999999999996</v>
      </c>
      <c r="AQ30" s="11">
        <f t="shared" si="7"/>
        <v>96.9047619047619</v>
      </c>
      <c r="AR30" s="72">
        <f t="shared" si="20"/>
        <v>1.3000000000000043</v>
      </c>
      <c r="AS30" s="18">
        <f aca="true" t="shared" si="35" ref="AS30:AS40">C30+AO30-AP30</f>
        <v>8.800000000000004</v>
      </c>
      <c r="AT30" s="109"/>
      <c r="AU30" s="19"/>
      <c r="AV30" s="19"/>
    </row>
    <row r="31" spans="1:48" ht="24.75" customHeight="1">
      <c r="A31" s="70">
        <v>24</v>
      </c>
      <c r="B31" s="76" t="s">
        <v>4</v>
      </c>
      <c r="C31" s="108">
        <v>9.9</v>
      </c>
      <c r="D31" s="44">
        <v>4.5</v>
      </c>
      <c r="E31" s="44">
        <v>9.9</v>
      </c>
      <c r="F31" s="11">
        <f t="shared" si="0"/>
        <v>220.00000000000003</v>
      </c>
      <c r="G31" s="44">
        <v>4.3</v>
      </c>
      <c r="H31" s="44">
        <v>0</v>
      </c>
      <c r="I31" s="11">
        <f t="shared" si="24"/>
        <v>0</v>
      </c>
      <c r="J31" s="44">
        <v>4.5</v>
      </c>
      <c r="K31" s="44">
        <v>8.8</v>
      </c>
      <c r="L31" s="11">
        <f t="shared" si="25"/>
        <v>195.55555555555557</v>
      </c>
      <c r="M31" s="89">
        <f t="shared" si="12"/>
        <v>13.3</v>
      </c>
      <c r="N31" s="89">
        <f t="shared" si="13"/>
        <v>18.700000000000003</v>
      </c>
      <c r="O31" s="11">
        <f t="shared" si="8"/>
        <v>140.6015037593985</v>
      </c>
      <c r="P31" s="44">
        <v>4.2</v>
      </c>
      <c r="Q31" s="44">
        <v>0</v>
      </c>
      <c r="R31" s="11">
        <f t="shared" si="26"/>
        <v>0</v>
      </c>
      <c r="S31" s="44">
        <v>4.9</v>
      </c>
      <c r="T31" s="44">
        <v>3.9</v>
      </c>
      <c r="U31" s="11">
        <f t="shared" si="27"/>
        <v>79.59183673469387</v>
      </c>
      <c r="V31" s="44">
        <v>4.8</v>
      </c>
      <c r="W31" s="44">
        <v>9.7</v>
      </c>
      <c r="X31" s="11">
        <f t="shared" si="28"/>
        <v>202.08333333333334</v>
      </c>
      <c r="Y31" s="89">
        <f t="shared" si="29"/>
        <v>13.900000000000002</v>
      </c>
      <c r="Z31" s="89">
        <f t="shared" si="30"/>
        <v>13.6</v>
      </c>
      <c r="AA31" s="11">
        <f t="shared" si="31"/>
        <v>97.84172661870501</v>
      </c>
      <c r="AB31" s="44">
        <v>5.4</v>
      </c>
      <c r="AC31" s="44">
        <v>0</v>
      </c>
      <c r="AD31" s="11">
        <f t="shared" si="32"/>
        <v>0</v>
      </c>
      <c r="AE31" s="44">
        <v>5.8</v>
      </c>
      <c r="AF31" s="44">
        <v>0</v>
      </c>
      <c r="AG31" s="141">
        <f t="shared" si="33"/>
        <v>0</v>
      </c>
      <c r="AH31" s="44">
        <v>8.2</v>
      </c>
      <c r="AI31" s="44">
        <v>12</v>
      </c>
      <c r="AJ31" s="89">
        <f t="shared" si="16"/>
        <v>19.4</v>
      </c>
      <c r="AK31" s="89">
        <f t="shared" si="17"/>
        <v>12</v>
      </c>
      <c r="AL31" s="11">
        <f t="shared" si="34"/>
        <v>61.855670103092784</v>
      </c>
      <c r="AM31" s="44">
        <v>8.1</v>
      </c>
      <c r="AN31" s="44">
        <v>5.4</v>
      </c>
      <c r="AO31" s="72">
        <f t="shared" si="18"/>
        <v>54.7</v>
      </c>
      <c r="AP31" s="72">
        <f t="shared" si="19"/>
        <v>49.7</v>
      </c>
      <c r="AQ31" s="11">
        <f t="shared" si="7"/>
        <v>90.85923217550274</v>
      </c>
      <c r="AR31" s="72">
        <f t="shared" si="20"/>
        <v>5</v>
      </c>
      <c r="AS31" s="18">
        <f t="shared" si="35"/>
        <v>14.900000000000006</v>
      </c>
      <c r="AT31" s="109"/>
      <c r="AU31" s="19"/>
      <c r="AV31" s="19"/>
    </row>
    <row r="32" spans="1:48" ht="24.75" customHeight="1">
      <c r="A32" s="70">
        <v>25</v>
      </c>
      <c r="B32" s="76" t="s">
        <v>5</v>
      </c>
      <c r="C32" s="108">
        <v>72.1</v>
      </c>
      <c r="D32" s="44">
        <v>37.3</v>
      </c>
      <c r="E32" s="44">
        <v>34.3</v>
      </c>
      <c r="F32" s="11">
        <f t="shared" si="0"/>
        <v>91.95710455764075</v>
      </c>
      <c r="G32" s="44">
        <v>36.9</v>
      </c>
      <c r="H32" s="44">
        <v>0</v>
      </c>
      <c r="I32" s="11">
        <f t="shared" si="24"/>
        <v>0</v>
      </c>
      <c r="J32" s="44">
        <v>33.8</v>
      </c>
      <c r="K32" s="44">
        <v>78.6</v>
      </c>
      <c r="L32" s="11">
        <f t="shared" si="25"/>
        <v>232.54437869822488</v>
      </c>
      <c r="M32" s="89">
        <f t="shared" si="12"/>
        <v>107.99999999999999</v>
      </c>
      <c r="N32" s="89">
        <f t="shared" si="13"/>
        <v>112.89999999999999</v>
      </c>
      <c r="O32" s="11">
        <f t="shared" si="8"/>
        <v>104.53703703703705</v>
      </c>
      <c r="P32" s="44">
        <v>39.1</v>
      </c>
      <c r="Q32" s="44">
        <v>0.1</v>
      </c>
      <c r="R32" s="11">
        <f t="shared" si="26"/>
        <v>0.2557544757033248</v>
      </c>
      <c r="S32" s="44">
        <v>38.5</v>
      </c>
      <c r="T32" s="44">
        <v>33.3</v>
      </c>
      <c r="U32" s="11">
        <f t="shared" si="27"/>
        <v>86.49350649350649</v>
      </c>
      <c r="V32" s="44">
        <v>40.8</v>
      </c>
      <c r="W32" s="44">
        <v>46.4</v>
      </c>
      <c r="X32" s="11">
        <f t="shared" si="28"/>
        <v>113.72549019607843</v>
      </c>
      <c r="Y32" s="89">
        <f t="shared" si="29"/>
        <v>118.39999999999999</v>
      </c>
      <c r="Z32" s="89">
        <f t="shared" si="30"/>
        <v>79.8</v>
      </c>
      <c r="AA32" s="11">
        <f t="shared" si="31"/>
        <v>67.39864864864865</v>
      </c>
      <c r="AB32" s="44">
        <v>43.3</v>
      </c>
      <c r="AC32" s="44">
        <v>0</v>
      </c>
      <c r="AD32" s="11">
        <f t="shared" si="32"/>
        <v>0</v>
      </c>
      <c r="AE32" s="44">
        <v>39.8</v>
      </c>
      <c r="AF32" s="44">
        <v>0</v>
      </c>
      <c r="AG32" s="11">
        <f t="shared" si="33"/>
        <v>0</v>
      </c>
      <c r="AH32" s="44">
        <v>46.3</v>
      </c>
      <c r="AI32" s="44">
        <v>0</v>
      </c>
      <c r="AJ32" s="89">
        <f t="shared" si="16"/>
        <v>129.39999999999998</v>
      </c>
      <c r="AK32" s="89">
        <f t="shared" si="17"/>
        <v>0</v>
      </c>
      <c r="AL32" s="11">
        <f t="shared" si="34"/>
        <v>0</v>
      </c>
      <c r="AM32" s="44">
        <v>41.5</v>
      </c>
      <c r="AN32" s="44">
        <v>188.8</v>
      </c>
      <c r="AO32" s="72">
        <f t="shared" si="18"/>
        <v>397.29999999999995</v>
      </c>
      <c r="AP32" s="72">
        <f t="shared" si="19"/>
        <v>381.5</v>
      </c>
      <c r="AQ32" s="11">
        <f t="shared" si="7"/>
        <v>96.02315630505916</v>
      </c>
      <c r="AR32" s="72">
        <f t="shared" si="20"/>
        <v>15.799999999999955</v>
      </c>
      <c r="AS32" s="18">
        <f t="shared" si="35"/>
        <v>87.89999999999998</v>
      </c>
      <c r="AT32" s="109"/>
      <c r="AU32" s="19"/>
      <c r="AV32" s="19"/>
    </row>
    <row r="33" spans="1:48" ht="24.75" customHeight="1">
      <c r="A33" s="70">
        <v>26</v>
      </c>
      <c r="B33" s="76" t="s">
        <v>75</v>
      </c>
      <c r="C33" s="114">
        <v>30.9</v>
      </c>
      <c r="D33" s="43">
        <v>17.7</v>
      </c>
      <c r="E33" s="43">
        <v>30.7</v>
      </c>
      <c r="F33" s="11">
        <f>E33/D33*100</f>
        <v>173.44632768361583</v>
      </c>
      <c r="G33" s="44">
        <v>20</v>
      </c>
      <c r="H33" s="44">
        <v>7.8</v>
      </c>
      <c r="I33" s="11">
        <f t="shared" si="24"/>
        <v>39</v>
      </c>
      <c r="J33" s="44">
        <v>18.1</v>
      </c>
      <c r="K33" s="44">
        <v>14.8</v>
      </c>
      <c r="L33" s="11">
        <f t="shared" si="25"/>
        <v>81.76795580110497</v>
      </c>
      <c r="M33" s="89">
        <f t="shared" si="12"/>
        <v>55.800000000000004</v>
      </c>
      <c r="N33" s="89">
        <f t="shared" si="13"/>
        <v>53.3</v>
      </c>
      <c r="O33" s="11">
        <f t="shared" si="8"/>
        <v>95.51971326164873</v>
      </c>
      <c r="P33" s="44">
        <v>20.9</v>
      </c>
      <c r="Q33" s="44">
        <v>22.7</v>
      </c>
      <c r="R33" s="11">
        <f t="shared" si="26"/>
        <v>108.61244019138756</v>
      </c>
      <c r="S33" s="44">
        <v>20.7</v>
      </c>
      <c r="T33" s="44">
        <v>0</v>
      </c>
      <c r="U33" s="11">
        <f t="shared" si="27"/>
        <v>0</v>
      </c>
      <c r="V33" s="44">
        <v>21.3</v>
      </c>
      <c r="W33" s="44">
        <v>0</v>
      </c>
      <c r="X33" s="11">
        <f t="shared" si="28"/>
        <v>0</v>
      </c>
      <c r="Y33" s="89">
        <f t="shared" si="29"/>
        <v>62.89999999999999</v>
      </c>
      <c r="Z33" s="89">
        <f t="shared" si="30"/>
        <v>22.7</v>
      </c>
      <c r="AA33" s="11">
        <f t="shared" si="31"/>
        <v>36.08903020667727</v>
      </c>
      <c r="AB33" s="44">
        <v>24.3</v>
      </c>
      <c r="AC33" s="44">
        <v>0</v>
      </c>
      <c r="AD33" s="11">
        <f t="shared" si="32"/>
        <v>0</v>
      </c>
      <c r="AE33" s="44">
        <v>24.5</v>
      </c>
      <c r="AF33" s="44">
        <v>70.5</v>
      </c>
      <c r="AG33" s="11">
        <f t="shared" si="33"/>
        <v>287.7551020408163</v>
      </c>
      <c r="AH33" s="44">
        <v>25.2</v>
      </c>
      <c r="AI33" s="44">
        <v>51.9</v>
      </c>
      <c r="AJ33" s="89">
        <f t="shared" si="16"/>
        <v>74</v>
      </c>
      <c r="AK33" s="89">
        <f t="shared" si="17"/>
        <v>122.4</v>
      </c>
      <c r="AL33" s="11">
        <f t="shared" si="34"/>
        <v>165.40540540540542</v>
      </c>
      <c r="AM33" s="44">
        <v>24.7</v>
      </c>
      <c r="AN33" s="44">
        <v>667.6</v>
      </c>
      <c r="AO33" s="72">
        <f t="shared" si="18"/>
        <v>217.39999999999998</v>
      </c>
      <c r="AP33" s="72">
        <f t="shared" si="19"/>
        <v>866</v>
      </c>
      <c r="AQ33" s="11">
        <f t="shared" si="7"/>
        <v>398.34406623735055</v>
      </c>
      <c r="AR33" s="72">
        <f t="shared" si="20"/>
        <v>-648.6</v>
      </c>
      <c r="AS33" s="18">
        <f t="shared" si="35"/>
        <v>-617.7</v>
      </c>
      <c r="AT33" s="109"/>
      <c r="AU33" s="19"/>
      <c r="AV33" s="19"/>
    </row>
    <row r="34" spans="1:48" ht="24.75" customHeight="1">
      <c r="A34" s="70">
        <v>27</v>
      </c>
      <c r="B34" s="71" t="s">
        <v>76</v>
      </c>
      <c r="C34" s="108">
        <v>6.1</v>
      </c>
      <c r="D34" s="79">
        <v>4.6</v>
      </c>
      <c r="E34" s="79">
        <v>2.4</v>
      </c>
      <c r="F34" s="11">
        <f t="shared" si="0"/>
        <v>52.17391304347826</v>
      </c>
      <c r="G34" s="44">
        <v>4.3</v>
      </c>
      <c r="H34" s="44">
        <v>0</v>
      </c>
      <c r="I34" s="75">
        <f t="shared" si="24"/>
        <v>0</v>
      </c>
      <c r="J34" s="44">
        <v>4.6</v>
      </c>
      <c r="K34" s="44">
        <v>3.7</v>
      </c>
      <c r="L34" s="75">
        <f t="shared" si="25"/>
        <v>80.43478260869567</v>
      </c>
      <c r="M34" s="89">
        <f t="shared" si="12"/>
        <v>13.499999999999998</v>
      </c>
      <c r="N34" s="89">
        <f t="shared" si="13"/>
        <v>6.1</v>
      </c>
      <c r="O34" s="11">
        <f t="shared" si="8"/>
        <v>45.18518518518519</v>
      </c>
      <c r="P34" s="44">
        <v>5.1</v>
      </c>
      <c r="Q34" s="44">
        <v>8.9</v>
      </c>
      <c r="R34" s="141">
        <f t="shared" si="26"/>
        <v>174.50980392156865</v>
      </c>
      <c r="S34" s="44">
        <v>4.9</v>
      </c>
      <c r="T34" s="44">
        <v>0.1</v>
      </c>
      <c r="U34" s="141">
        <f t="shared" si="27"/>
        <v>2.0408163265306123</v>
      </c>
      <c r="V34" s="44">
        <v>5.7</v>
      </c>
      <c r="W34" s="44">
        <v>9.8</v>
      </c>
      <c r="X34" s="141">
        <f t="shared" si="28"/>
        <v>171.9298245614035</v>
      </c>
      <c r="Y34" s="89">
        <f t="shared" si="29"/>
        <v>15.7</v>
      </c>
      <c r="Z34" s="89">
        <f t="shared" si="30"/>
        <v>18.8</v>
      </c>
      <c r="AA34" s="11">
        <f t="shared" si="31"/>
        <v>119.74522292993632</v>
      </c>
      <c r="AB34" s="44">
        <v>5.1</v>
      </c>
      <c r="AC34" s="44">
        <v>0</v>
      </c>
      <c r="AD34" s="141">
        <f t="shared" si="32"/>
        <v>0</v>
      </c>
      <c r="AE34" s="44">
        <v>0</v>
      </c>
      <c r="AF34" s="44">
        <v>0</v>
      </c>
      <c r="AG34" s="11" t="e">
        <f t="shared" si="33"/>
        <v>#DIV/0!</v>
      </c>
      <c r="AH34" s="44">
        <v>-0.6</v>
      </c>
      <c r="AI34" s="44">
        <v>0</v>
      </c>
      <c r="AJ34" s="89">
        <f t="shared" si="16"/>
        <v>4.5</v>
      </c>
      <c r="AK34" s="89">
        <f t="shared" si="17"/>
        <v>0</v>
      </c>
      <c r="AL34" s="11">
        <f t="shared" si="34"/>
        <v>0</v>
      </c>
      <c r="AM34" s="44">
        <v>0</v>
      </c>
      <c r="AN34" s="44">
        <v>0</v>
      </c>
      <c r="AO34" s="72">
        <f t="shared" si="18"/>
        <v>33.699999999999996</v>
      </c>
      <c r="AP34" s="72">
        <f t="shared" si="19"/>
        <v>24.9</v>
      </c>
      <c r="AQ34" s="11">
        <f t="shared" si="7"/>
        <v>73.8872403560831</v>
      </c>
      <c r="AR34" s="72">
        <f t="shared" si="20"/>
        <v>8.799999999999997</v>
      </c>
      <c r="AS34" s="18">
        <f t="shared" si="35"/>
        <v>14.899999999999999</v>
      </c>
      <c r="AT34" s="109"/>
      <c r="AU34" s="19"/>
      <c r="AV34" s="19"/>
    </row>
    <row r="35" spans="1:48" ht="24.75" customHeight="1">
      <c r="A35" s="70">
        <v>28</v>
      </c>
      <c r="B35" s="76" t="s">
        <v>77</v>
      </c>
      <c r="C35" s="108">
        <v>42</v>
      </c>
      <c r="D35" s="44">
        <v>41.2</v>
      </c>
      <c r="E35" s="44">
        <v>42</v>
      </c>
      <c r="F35" s="11">
        <f t="shared" si="0"/>
        <v>101.94174757281553</v>
      </c>
      <c r="G35" s="44">
        <v>37.8</v>
      </c>
      <c r="H35" s="44">
        <v>0</v>
      </c>
      <c r="I35" s="11">
        <f aca="true" t="shared" si="36" ref="I35:I43">H35/G35*100</f>
        <v>0</v>
      </c>
      <c r="J35" s="44">
        <v>39.3</v>
      </c>
      <c r="K35" s="44">
        <v>41.3</v>
      </c>
      <c r="L35" s="11">
        <f t="shared" si="25"/>
        <v>105.08905852417303</v>
      </c>
      <c r="M35" s="89">
        <f t="shared" si="12"/>
        <v>118.3</v>
      </c>
      <c r="N35" s="89">
        <f t="shared" si="13"/>
        <v>83.3</v>
      </c>
      <c r="O35" s="11">
        <f t="shared" si="8"/>
        <v>70.41420118343196</v>
      </c>
      <c r="P35" s="44">
        <v>47.5</v>
      </c>
      <c r="Q35" s="44">
        <v>37.8</v>
      </c>
      <c r="R35" s="11">
        <f t="shared" si="26"/>
        <v>79.57894736842105</v>
      </c>
      <c r="S35" s="44">
        <v>50.6</v>
      </c>
      <c r="T35" s="44">
        <v>84.1</v>
      </c>
      <c r="U35" s="11">
        <f t="shared" si="27"/>
        <v>166.2055335968379</v>
      </c>
      <c r="V35" s="44">
        <v>57.1</v>
      </c>
      <c r="W35" s="44">
        <v>53.2</v>
      </c>
      <c r="X35" s="11">
        <f t="shared" si="28"/>
        <v>93.16987740805604</v>
      </c>
      <c r="Y35" s="89">
        <f t="shared" si="29"/>
        <v>155.2</v>
      </c>
      <c r="Z35" s="89">
        <f t="shared" si="30"/>
        <v>175.1</v>
      </c>
      <c r="AA35" s="11">
        <f t="shared" si="31"/>
        <v>112.8221649484536</v>
      </c>
      <c r="AB35" s="44">
        <v>61.9</v>
      </c>
      <c r="AC35" s="44">
        <v>0</v>
      </c>
      <c r="AD35" s="11">
        <f t="shared" si="32"/>
        <v>0</v>
      </c>
      <c r="AE35" s="44">
        <v>61.9</v>
      </c>
      <c r="AF35" s="44">
        <v>0</v>
      </c>
      <c r="AG35" s="11">
        <f t="shared" si="33"/>
        <v>0</v>
      </c>
      <c r="AH35" s="44">
        <v>64.5</v>
      </c>
      <c r="AI35" s="44">
        <v>176.5</v>
      </c>
      <c r="AJ35" s="89">
        <f t="shared" si="16"/>
        <v>188.3</v>
      </c>
      <c r="AK35" s="89">
        <f t="shared" si="17"/>
        <v>176.5</v>
      </c>
      <c r="AL35" s="11">
        <f t="shared" si="34"/>
        <v>93.73340414232607</v>
      </c>
      <c r="AM35" s="44">
        <v>52.1</v>
      </c>
      <c r="AN35" s="44">
        <v>69.1</v>
      </c>
      <c r="AO35" s="72">
        <f t="shared" si="18"/>
        <v>513.9</v>
      </c>
      <c r="AP35" s="72">
        <f t="shared" si="19"/>
        <v>504</v>
      </c>
      <c r="AQ35" s="11">
        <f t="shared" si="7"/>
        <v>98.07355516637479</v>
      </c>
      <c r="AR35" s="72">
        <f t="shared" si="20"/>
        <v>9.899999999999977</v>
      </c>
      <c r="AS35" s="18">
        <f t="shared" si="35"/>
        <v>51.89999999999998</v>
      </c>
      <c r="AT35" s="109"/>
      <c r="AU35" s="19"/>
      <c r="AV35" s="19"/>
    </row>
    <row r="36" spans="1:48" ht="24.75" customHeight="1">
      <c r="A36" s="70">
        <v>29</v>
      </c>
      <c r="B36" s="76" t="s">
        <v>6</v>
      </c>
      <c r="C36" s="108">
        <f>14.3+1.1</f>
        <v>15.4</v>
      </c>
      <c r="D36" s="44">
        <f>34.9+1.4</f>
        <v>36.3</v>
      </c>
      <c r="E36" s="44">
        <f>36.3+1.3</f>
        <v>37.599999999999994</v>
      </c>
      <c r="F36" s="11">
        <f t="shared" si="0"/>
        <v>103.58126721763085</v>
      </c>
      <c r="G36" s="44">
        <f>35.4+1.1</f>
        <v>36.5</v>
      </c>
      <c r="H36" s="44">
        <f>0+0</f>
        <v>0</v>
      </c>
      <c r="I36" s="11">
        <f t="shared" si="36"/>
        <v>0</v>
      </c>
      <c r="J36" s="44">
        <f>34.8+1.3</f>
        <v>36.099999999999994</v>
      </c>
      <c r="K36" s="44">
        <f>34.9+1.4</f>
        <v>36.3</v>
      </c>
      <c r="L36" s="11">
        <f t="shared" si="25"/>
        <v>100.55401662049863</v>
      </c>
      <c r="M36" s="89">
        <f t="shared" si="12"/>
        <v>108.89999999999999</v>
      </c>
      <c r="N36" s="89">
        <f t="shared" si="13"/>
        <v>73.89999999999999</v>
      </c>
      <c r="O36" s="11">
        <f t="shared" si="8"/>
        <v>67.86042240587695</v>
      </c>
      <c r="P36" s="44">
        <f>1.3+37.9</f>
        <v>39.199999999999996</v>
      </c>
      <c r="Q36" s="44">
        <f>2.4+35.4</f>
        <v>37.8</v>
      </c>
      <c r="R36" s="11">
        <f t="shared" si="26"/>
        <v>96.42857142857143</v>
      </c>
      <c r="S36" s="44">
        <f>1.4+37.1</f>
        <v>38.5</v>
      </c>
      <c r="T36" s="44">
        <f>1.3+71.7</f>
        <v>73</v>
      </c>
      <c r="U36" s="11">
        <f t="shared" si="27"/>
        <v>189.6103896103896</v>
      </c>
      <c r="V36" s="44">
        <f>39.7+1.4</f>
        <v>41.1</v>
      </c>
      <c r="W36" s="44">
        <f>36.3+1.4</f>
        <v>37.699999999999996</v>
      </c>
      <c r="X36" s="11">
        <f t="shared" si="28"/>
        <v>91.72749391727493</v>
      </c>
      <c r="Y36" s="89">
        <f t="shared" si="29"/>
        <v>118.79999999999998</v>
      </c>
      <c r="Z36" s="89">
        <f t="shared" si="30"/>
        <v>148.5</v>
      </c>
      <c r="AA36" s="11">
        <f t="shared" si="31"/>
        <v>125.00000000000003</v>
      </c>
      <c r="AB36" s="44">
        <f>1.7+41.6</f>
        <v>43.300000000000004</v>
      </c>
      <c r="AC36" s="44">
        <v>0</v>
      </c>
      <c r="AD36" s="11">
        <f t="shared" si="32"/>
        <v>0</v>
      </c>
      <c r="AE36" s="44">
        <f>0+46.5</f>
        <v>46.5</v>
      </c>
      <c r="AF36" s="44">
        <v>0</v>
      </c>
      <c r="AG36" s="11">
        <f t="shared" si="33"/>
        <v>0</v>
      </c>
      <c r="AH36" s="44">
        <v>48.8</v>
      </c>
      <c r="AI36" s="44">
        <v>129.4</v>
      </c>
      <c r="AJ36" s="89">
        <f t="shared" si="16"/>
        <v>138.60000000000002</v>
      </c>
      <c r="AK36" s="89">
        <f t="shared" si="17"/>
        <v>129.4</v>
      </c>
      <c r="AL36" s="11">
        <f t="shared" si="34"/>
        <v>93.36219336219335</v>
      </c>
      <c r="AM36" s="44">
        <v>45.8</v>
      </c>
      <c r="AN36" s="44">
        <v>49.9</v>
      </c>
      <c r="AO36" s="72">
        <f t="shared" si="18"/>
        <v>412.1</v>
      </c>
      <c r="AP36" s="72">
        <f t="shared" si="19"/>
        <v>401.69999999999993</v>
      </c>
      <c r="AQ36" s="11">
        <f t="shared" si="7"/>
        <v>97.4763406940063</v>
      </c>
      <c r="AR36" s="72">
        <f t="shared" si="20"/>
        <v>10.400000000000091</v>
      </c>
      <c r="AS36" s="18">
        <f t="shared" si="35"/>
        <v>25.800000000000068</v>
      </c>
      <c r="AT36" s="109"/>
      <c r="AU36" s="19"/>
      <c r="AV36" s="19"/>
    </row>
    <row r="37" spans="1:48" ht="24.75" customHeight="1">
      <c r="A37" s="70">
        <v>30</v>
      </c>
      <c r="B37" s="76" t="s">
        <v>11</v>
      </c>
      <c r="C37" s="108">
        <v>43.6</v>
      </c>
      <c r="D37" s="44">
        <v>43.3</v>
      </c>
      <c r="E37" s="44">
        <v>43.6</v>
      </c>
      <c r="F37" s="11">
        <f t="shared" si="0"/>
        <v>100.69284064665128</v>
      </c>
      <c r="G37" s="44">
        <v>45.1</v>
      </c>
      <c r="H37" s="44">
        <v>0</v>
      </c>
      <c r="I37" s="11">
        <f t="shared" si="36"/>
        <v>0</v>
      </c>
      <c r="J37" s="44">
        <v>40.1</v>
      </c>
      <c r="K37" s="44">
        <v>88.4</v>
      </c>
      <c r="L37" s="11">
        <f t="shared" si="25"/>
        <v>220.4488778054863</v>
      </c>
      <c r="M37" s="89">
        <f t="shared" si="12"/>
        <v>128.5</v>
      </c>
      <c r="N37" s="89">
        <f t="shared" si="13"/>
        <v>132</v>
      </c>
      <c r="O37" s="11">
        <f t="shared" si="8"/>
        <v>102.7237354085603</v>
      </c>
      <c r="P37" s="44">
        <v>49.2</v>
      </c>
      <c r="Q37" s="44">
        <v>0</v>
      </c>
      <c r="R37" s="11">
        <f t="shared" si="26"/>
        <v>0</v>
      </c>
      <c r="S37" s="44">
        <v>51</v>
      </c>
      <c r="T37" s="44">
        <v>0</v>
      </c>
      <c r="U37" s="11">
        <f t="shared" si="27"/>
        <v>0</v>
      </c>
      <c r="V37" s="44">
        <v>48.8</v>
      </c>
      <c r="W37" s="44">
        <v>0</v>
      </c>
      <c r="X37" s="11">
        <f t="shared" si="28"/>
        <v>0</v>
      </c>
      <c r="Y37" s="89">
        <f t="shared" si="29"/>
        <v>149</v>
      </c>
      <c r="Z37" s="89">
        <f t="shared" si="30"/>
        <v>0</v>
      </c>
      <c r="AA37" s="11">
        <f t="shared" si="31"/>
        <v>0</v>
      </c>
      <c r="AB37" s="44">
        <v>71.1</v>
      </c>
      <c r="AC37" s="44">
        <v>0</v>
      </c>
      <c r="AD37" s="11">
        <f t="shared" si="32"/>
        <v>0</v>
      </c>
      <c r="AE37" s="44">
        <v>90.1</v>
      </c>
      <c r="AF37" s="44">
        <v>189.1</v>
      </c>
      <c r="AG37" s="11">
        <f t="shared" si="33"/>
        <v>209.87791342952278</v>
      </c>
      <c r="AH37" s="44">
        <v>82.5</v>
      </c>
      <c r="AI37" s="44">
        <v>71.1</v>
      </c>
      <c r="AJ37" s="89">
        <f t="shared" si="16"/>
        <v>243.7</v>
      </c>
      <c r="AK37" s="89">
        <f t="shared" si="17"/>
        <v>260.2</v>
      </c>
      <c r="AL37" s="11">
        <f t="shared" si="34"/>
        <v>106.77061961427985</v>
      </c>
      <c r="AM37" s="44">
        <v>79.4</v>
      </c>
      <c r="AN37" s="44">
        <v>4.5</v>
      </c>
      <c r="AO37" s="72">
        <f t="shared" si="18"/>
        <v>600.6</v>
      </c>
      <c r="AP37" s="72">
        <f t="shared" si="19"/>
        <v>396.7</v>
      </c>
      <c r="AQ37" s="11">
        <f t="shared" si="7"/>
        <v>66.05061605061606</v>
      </c>
      <c r="AR37" s="72">
        <f t="shared" si="20"/>
        <v>203.90000000000003</v>
      </c>
      <c r="AS37" s="18">
        <f t="shared" si="35"/>
        <v>247.50000000000006</v>
      </c>
      <c r="AT37" s="109"/>
      <c r="AU37" s="19"/>
      <c r="AV37" s="19"/>
    </row>
    <row r="38" spans="1:48" ht="24.75" customHeight="1">
      <c r="A38" s="70">
        <v>31</v>
      </c>
      <c r="B38" s="76" t="s">
        <v>81</v>
      </c>
      <c r="C38" s="108">
        <v>40.8</v>
      </c>
      <c r="D38" s="44">
        <v>10.2</v>
      </c>
      <c r="E38" s="44">
        <v>10.3</v>
      </c>
      <c r="F38" s="11">
        <f t="shared" si="0"/>
        <v>100.98039215686276</v>
      </c>
      <c r="G38" s="44">
        <v>11.5</v>
      </c>
      <c r="H38" s="44">
        <v>0</v>
      </c>
      <c r="I38" s="11">
        <f t="shared" si="36"/>
        <v>0</v>
      </c>
      <c r="J38" s="44">
        <v>13.1</v>
      </c>
      <c r="K38" s="44">
        <v>10.9</v>
      </c>
      <c r="L38" s="11">
        <f t="shared" si="25"/>
        <v>83.20610687022901</v>
      </c>
      <c r="M38" s="89">
        <f t="shared" si="12"/>
        <v>34.8</v>
      </c>
      <c r="N38" s="89">
        <f t="shared" si="13"/>
        <v>21.200000000000003</v>
      </c>
      <c r="O38" s="11">
        <f t="shared" si="8"/>
        <v>60.91954022988507</v>
      </c>
      <c r="P38" s="44">
        <v>13.6</v>
      </c>
      <c r="Q38" s="44">
        <v>21.7</v>
      </c>
      <c r="R38" s="11">
        <f t="shared" si="26"/>
        <v>159.55882352941174</v>
      </c>
      <c r="S38" s="44">
        <v>16.7</v>
      </c>
      <c r="T38" s="44">
        <v>26.8</v>
      </c>
      <c r="U38" s="11">
        <f t="shared" si="27"/>
        <v>160.4790419161677</v>
      </c>
      <c r="V38" s="44">
        <v>15.3</v>
      </c>
      <c r="W38" s="44">
        <v>16.7</v>
      </c>
      <c r="X38" s="11">
        <f t="shared" si="28"/>
        <v>109.15032679738562</v>
      </c>
      <c r="Y38" s="89">
        <f t="shared" si="29"/>
        <v>45.599999999999994</v>
      </c>
      <c r="Z38" s="89">
        <f t="shared" si="30"/>
        <v>65.2</v>
      </c>
      <c r="AA38" s="11">
        <f t="shared" si="31"/>
        <v>142.9824561403509</v>
      </c>
      <c r="AB38" s="44">
        <v>16.1</v>
      </c>
      <c r="AC38" s="44">
        <v>15.2</v>
      </c>
      <c r="AD38" s="11">
        <f t="shared" si="32"/>
        <v>94.40993788819874</v>
      </c>
      <c r="AE38" s="44">
        <v>16.2</v>
      </c>
      <c r="AF38" s="44">
        <v>16</v>
      </c>
      <c r="AG38" s="11">
        <f t="shared" si="33"/>
        <v>98.76543209876544</v>
      </c>
      <c r="AH38" s="44">
        <v>20.7</v>
      </c>
      <c r="AI38" s="44">
        <v>16.2</v>
      </c>
      <c r="AJ38" s="89">
        <f t="shared" si="16"/>
        <v>53</v>
      </c>
      <c r="AK38" s="89">
        <f t="shared" si="17"/>
        <v>47.4</v>
      </c>
      <c r="AL38" s="11">
        <f t="shared" si="34"/>
        <v>89.43396226415095</v>
      </c>
      <c r="AM38" s="44">
        <v>14</v>
      </c>
      <c r="AN38" s="44">
        <v>20.7</v>
      </c>
      <c r="AO38" s="72">
        <f t="shared" si="18"/>
        <v>147.39999999999998</v>
      </c>
      <c r="AP38" s="72">
        <f t="shared" si="19"/>
        <v>154.5</v>
      </c>
      <c r="AQ38" s="11">
        <f t="shared" si="7"/>
        <v>104.81682496607871</v>
      </c>
      <c r="AR38" s="72">
        <f t="shared" si="20"/>
        <v>-7.100000000000023</v>
      </c>
      <c r="AS38" s="18">
        <f t="shared" si="35"/>
        <v>33.69999999999999</v>
      </c>
      <c r="AT38" s="109"/>
      <c r="AU38" s="19"/>
      <c r="AV38" s="19"/>
    </row>
    <row r="39" spans="1:48" ht="24.75" customHeight="1">
      <c r="A39" s="70">
        <v>32</v>
      </c>
      <c r="B39" s="71" t="s">
        <v>82</v>
      </c>
      <c r="C39" s="108">
        <v>28.5</v>
      </c>
      <c r="D39" s="44">
        <v>26.7</v>
      </c>
      <c r="E39" s="44">
        <v>28.5</v>
      </c>
      <c r="F39" s="11">
        <f t="shared" si="0"/>
        <v>106.74157303370787</v>
      </c>
      <c r="G39" s="44">
        <v>28.3</v>
      </c>
      <c r="H39" s="44">
        <v>26.7</v>
      </c>
      <c r="I39" s="75">
        <f t="shared" si="36"/>
        <v>94.34628975265016</v>
      </c>
      <c r="J39" s="44">
        <v>27.2</v>
      </c>
      <c r="K39" s="44">
        <v>28.3</v>
      </c>
      <c r="L39" s="139">
        <f t="shared" si="25"/>
        <v>104.04411764705883</v>
      </c>
      <c r="M39" s="89">
        <f t="shared" si="12"/>
        <v>82.2</v>
      </c>
      <c r="N39" s="89">
        <f t="shared" si="13"/>
        <v>83.5</v>
      </c>
      <c r="O39" s="11">
        <f t="shared" si="8"/>
        <v>101.58150851581509</v>
      </c>
      <c r="P39" s="44">
        <v>27.7</v>
      </c>
      <c r="Q39" s="44">
        <v>0</v>
      </c>
      <c r="R39" s="141">
        <f t="shared" si="26"/>
        <v>0</v>
      </c>
      <c r="S39" s="44">
        <v>32</v>
      </c>
      <c r="T39" s="44">
        <v>54.9</v>
      </c>
      <c r="U39" s="141">
        <f t="shared" si="27"/>
        <v>171.5625</v>
      </c>
      <c r="V39" s="44">
        <v>29.7</v>
      </c>
      <c r="W39" s="44">
        <v>0</v>
      </c>
      <c r="X39" s="141">
        <f t="shared" si="28"/>
        <v>0</v>
      </c>
      <c r="Y39" s="89">
        <f t="shared" si="29"/>
        <v>89.4</v>
      </c>
      <c r="Z39" s="89">
        <f t="shared" si="30"/>
        <v>54.9</v>
      </c>
      <c r="AA39" s="11">
        <f t="shared" si="31"/>
        <v>61.40939597315436</v>
      </c>
      <c r="AB39" s="44">
        <v>31.9</v>
      </c>
      <c r="AC39" s="44">
        <v>0</v>
      </c>
      <c r="AD39" s="141">
        <f t="shared" si="32"/>
        <v>0</v>
      </c>
      <c r="AE39" s="44">
        <v>35.7</v>
      </c>
      <c r="AF39" s="44">
        <v>0</v>
      </c>
      <c r="AG39" s="11">
        <f t="shared" si="33"/>
        <v>0</v>
      </c>
      <c r="AH39" s="44">
        <v>41.9</v>
      </c>
      <c r="AI39" s="44">
        <v>171.2</v>
      </c>
      <c r="AJ39" s="89">
        <f t="shared" si="16"/>
        <v>109.5</v>
      </c>
      <c r="AK39" s="89">
        <f t="shared" si="17"/>
        <v>171.2</v>
      </c>
      <c r="AL39" s="11">
        <f t="shared" si="34"/>
        <v>156.3470319634703</v>
      </c>
      <c r="AM39" s="44">
        <v>57.7</v>
      </c>
      <c r="AN39" s="44">
        <v>57.7</v>
      </c>
      <c r="AO39" s="72">
        <f t="shared" si="18"/>
        <v>338.8</v>
      </c>
      <c r="AP39" s="72">
        <f t="shared" si="19"/>
        <v>367.3</v>
      </c>
      <c r="AQ39" s="11">
        <f t="shared" si="7"/>
        <v>108.4120425029516</v>
      </c>
      <c r="AR39" s="72">
        <f t="shared" si="20"/>
        <v>-28.5</v>
      </c>
      <c r="AS39" s="18">
        <f t="shared" si="35"/>
        <v>0</v>
      </c>
      <c r="AT39" s="109"/>
      <c r="AU39" s="19"/>
      <c r="AV39" s="19"/>
    </row>
    <row r="40" spans="1:48" ht="24.75" customHeight="1">
      <c r="A40" s="70">
        <v>33</v>
      </c>
      <c r="B40" s="76" t="s">
        <v>59</v>
      </c>
      <c r="C40" s="108">
        <v>186.8</v>
      </c>
      <c r="D40" s="44">
        <v>70.1</v>
      </c>
      <c r="E40" s="44">
        <v>119</v>
      </c>
      <c r="F40" s="11">
        <f>E40/D40*100</f>
        <v>169.7574893009986</v>
      </c>
      <c r="G40" s="44">
        <v>65.5</v>
      </c>
      <c r="H40" s="44">
        <v>0</v>
      </c>
      <c r="I40" s="75">
        <f t="shared" si="36"/>
        <v>0</v>
      </c>
      <c r="J40" s="44">
        <v>67.3</v>
      </c>
      <c r="K40" s="44">
        <v>0</v>
      </c>
      <c r="L40" s="139">
        <f t="shared" si="25"/>
        <v>0</v>
      </c>
      <c r="M40" s="89">
        <f t="shared" si="12"/>
        <v>202.89999999999998</v>
      </c>
      <c r="N40" s="89">
        <f t="shared" si="13"/>
        <v>119</v>
      </c>
      <c r="O40" s="11">
        <f t="shared" si="8"/>
        <v>58.64958107442091</v>
      </c>
      <c r="P40" s="44">
        <v>72</v>
      </c>
      <c r="Q40" s="44">
        <v>137.9</v>
      </c>
      <c r="R40" s="141">
        <f t="shared" si="26"/>
        <v>191.52777777777777</v>
      </c>
      <c r="S40" s="44">
        <v>72.4</v>
      </c>
      <c r="T40" s="44">
        <v>0</v>
      </c>
      <c r="U40" s="141">
        <f t="shared" si="27"/>
        <v>0</v>
      </c>
      <c r="V40" s="44">
        <v>81.1</v>
      </c>
      <c r="W40" s="44">
        <v>0</v>
      </c>
      <c r="X40" s="141">
        <f t="shared" si="28"/>
        <v>0</v>
      </c>
      <c r="Y40" s="89">
        <f t="shared" si="29"/>
        <v>225.5</v>
      </c>
      <c r="Z40" s="89">
        <f t="shared" si="30"/>
        <v>137.9</v>
      </c>
      <c r="AA40" s="11">
        <f t="shared" si="31"/>
        <v>61.1529933481153</v>
      </c>
      <c r="AB40" s="44">
        <v>78.2</v>
      </c>
      <c r="AC40" s="44">
        <v>0</v>
      </c>
      <c r="AD40" s="141">
        <f t="shared" si="32"/>
        <v>0</v>
      </c>
      <c r="AE40" s="44">
        <v>79.3</v>
      </c>
      <c r="AF40" s="44">
        <v>0</v>
      </c>
      <c r="AG40" s="11">
        <f t="shared" si="33"/>
        <v>0</v>
      </c>
      <c r="AH40" s="44">
        <v>82.9</v>
      </c>
      <c r="AI40" s="44">
        <v>358.3</v>
      </c>
      <c r="AJ40" s="89">
        <f t="shared" si="16"/>
        <v>240.4</v>
      </c>
      <c r="AK40" s="89">
        <f t="shared" si="17"/>
        <v>358.3</v>
      </c>
      <c r="AL40" s="11">
        <f t="shared" si="34"/>
        <v>149.0432612312812</v>
      </c>
      <c r="AM40" s="44">
        <v>77</v>
      </c>
      <c r="AN40" s="44">
        <v>0</v>
      </c>
      <c r="AO40" s="72">
        <f t="shared" si="18"/>
        <v>745.8</v>
      </c>
      <c r="AP40" s="72">
        <f t="shared" si="19"/>
        <v>615.2</v>
      </c>
      <c r="AQ40" s="11">
        <f t="shared" si="7"/>
        <v>82.48860284258515</v>
      </c>
      <c r="AR40" s="72">
        <f t="shared" si="20"/>
        <v>130.5999999999999</v>
      </c>
      <c r="AS40" s="18">
        <f t="shared" si="35"/>
        <v>317.39999999999986</v>
      </c>
      <c r="AT40" s="109"/>
      <c r="AU40" s="19"/>
      <c r="AV40" s="19"/>
    </row>
    <row r="41" spans="1:48" s="12" customFormat="1" ht="27" customHeight="1">
      <c r="A41" s="70">
        <v>34</v>
      </c>
      <c r="B41" s="30" t="s">
        <v>83</v>
      </c>
      <c r="C41" s="83">
        <f>SUM(C42:C42)</f>
        <v>3020.7</v>
      </c>
      <c r="D41" s="18">
        <f>SUM(D42:D42)</f>
        <v>1189</v>
      </c>
      <c r="E41" s="18">
        <f>SUM(E42:E42)</f>
        <v>2485.8</v>
      </c>
      <c r="F41" s="11">
        <f t="shared" si="0"/>
        <v>209.06644238856185</v>
      </c>
      <c r="G41" s="18">
        <f>SUM(G42:G42)</f>
        <v>1211.4</v>
      </c>
      <c r="H41" s="18">
        <f>SUM(H42:H42)</f>
        <v>0</v>
      </c>
      <c r="I41" s="11">
        <f t="shared" si="36"/>
        <v>0</v>
      </c>
      <c r="J41" s="18">
        <f>SUM(J42:J42)</f>
        <v>1138.7</v>
      </c>
      <c r="K41" s="18">
        <f>SUM(K42:K42)</f>
        <v>77.3</v>
      </c>
      <c r="L41" s="139">
        <f t="shared" si="25"/>
        <v>6.788442961271625</v>
      </c>
      <c r="M41" s="18">
        <f>SUM(M42:M42)</f>
        <v>3539.1000000000004</v>
      </c>
      <c r="N41" s="18">
        <f>SUM(N42:N42)</f>
        <v>2563.1000000000004</v>
      </c>
      <c r="O41" s="11">
        <f t="shared" si="8"/>
        <v>72.42236726851459</v>
      </c>
      <c r="P41" s="18">
        <f>SUM(P42:P42)</f>
        <v>1230.5</v>
      </c>
      <c r="Q41" s="18">
        <f>SUM(Q42:Q42)</f>
        <v>1162.8</v>
      </c>
      <c r="R41" s="11">
        <f t="shared" si="26"/>
        <v>94.49817147501015</v>
      </c>
      <c r="S41" s="18">
        <f>SUM(S42:S42)</f>
        <v>1285.1</v>
      </c>
      <c r="T41" s="18">
        <f>SUM(T42:T42)</f>
        <v>0</v>
      </c>
      <c r="U41" s="11">
        <f t="shared" si="27"/>
        <v>0</v>
      </c>
      <c r="V41" s="18">
        <f>SUM(V42:V42)</f>
        <v>1308.6</v>
      </c>
      <c r="W41" s="18">
        <f>SUM(W42:W42)</f>
        <v>20.1</v>
      </c>
      <c r="X41" s="11">
        <f t="shared" si="28"/>
        <v>1.5359926639156352</v>
      </c>
      <c r="Y41" s="18">
        <f>SUM(Y42:Y42)</f>
        <v>3824.2</v>
      </c>
      <c r="Z41" s="18">
        <f>SUM(Z42:Z42)</f>
        <v>1182.8999999999999</v>
      </c>
      <c r="AA41" s="11">
        <f t="shared" si="31"/>
        <v>30.931959625542593</v>
      </c>
      <c r="AB41" s="18">
        <f>SUM(AB42:AB42)</f>
        <v>1447.3</v>
      </c>
      <c r="AC41" s="18">
        <f>SUM(AC42:AC42)</f>
        <v>0</v>
      </c>
      <c r="AD41" s="11">
        <f t="shared" si="32"/>
        <v>0</v>
      </c>
      <c r="AE41" s="18">
        <f>SUM(AE42:AE42)</f>
        <v>1548.1</v>
      </c>
      <c r="AF41" s="18">
        <f>SUM(AF42:AF42)</f>
        <v>4772.4</v>
      </c>
      <c r="AG41" s="11">
        <f t="shared" si="33"/>
        <v>308.2746592597377</v>
      </c>
      <c r="AH41" s="18">
        <f>SUM(AH42:AH42)</f>
        <v>1493.7</v>
      </c>
      <c r="AI41" s="18">
        <f>SUM(AI42:AI42)</f>
        <v>2790.2</v>
      </c>
      <c r="AJ41" s="18">
        <f>SUM(AJ42:AJ42)</f>
        <v>4489.099999999999</v>
      </c>
      <c r="AK41" s="18">
        <f>SUM(AK42:AK42)</f>
        <v>7562.599999999999</v>
      </c>
      <c r="AL41" s="11">
        <f t="shared" si="34"/>
        <v>168.46583947784634</v>
      </c>
      <c r="AM41" s="18">
        <f>SUM(AM42:AM42)</f>
        <v>1478.7</v>
      </c>
      <c r="AN41" s="18">
        <f>SUM(AN42:AN42)</f>
        <v>0.1</v>
      </c>
      <c r="AO41" s="18">
        <f>SUM(AO42:AO42)</f>
        <v>13331.1</v>
      </c>
      <c r="AP41" s="18">
        <f>SUM(AP42:AP42)</f>
        <v>11308.699999999999</v>
      </c>
      <c r="AQ41" s="11">
        <f t="shared" si="7"/>
        <v>84.82945893437149</v>
      </c>
      <c r="AR41" s="18">
        <f>SUM(AR42:AR42)</f>
        <v>2022.4000000000015</v>
      </c>
      <c r="AS41" s="18">
        <f>SUM(AS42:AS42)</f>
        <v>5043.1</v>
      </c>
      <c r="AT41" s="109"/>
      <c r="AU41" s="48"/>
      <c r="AV41" s="48"/>
    </row>
    <row r="42" spans="1:48" s="12" customFormat="1" ht="24.75" customHeight="1">
      <c r="A42" s="80"/>
      <c r="B42" s="81" t="s">
        <v>84</v>
      </c>
      <c r="C42" s="108">
        <v>3020.7</v>
      </c>
      <c r="D42" s="82">
        <v>1189</v>
      </c>
      <c r="E42" s="82">
        <v>2485.8</v>
      </c>
      <c r="F42" s="11">
        <f t="shared" si="0"/>
        <v>209.06644238856185</v>
      </c>
      <c r="G42" s="44">
        <v>1211.4</v>
      </c>
      <c r="H42" s="44">
        <v>0</v>
      </c>
      <c r="I42" s="11">
        <f t="shared" si="36"/>
        <v>0</v>
      </c>
      <c r="J42" s="44">
        <v>1138.7</v>
      </c>
      <c r="K42" s="44">
        <v>77.3</v>
      </c>
      <c r="L42" s="139">
        <f t="shared" si="25"/>
        <v>6.788442961271625</v>
      </c>
      <c r="M42" s="89">
        <f t="shared" si="12"/>
        <v>3539.1000000000004</v>
      </c>
      <c r="N42" s="89">
        <f t="shared" si="13"/>
        <v>2563.1000000000004</v>
      </c>
      <c r="O42" s="11">
        <f t="shared" si="8"/>
        <v>72.42236726851459</v>
      </c>
      <c r="P42" s="44">
        <v>1230.5</v>
      </c>
      <c r="Q42" s="44">
        <v>1162.8</v>
      </c>
      <c r="R42" s="11">
        <f t="shared" si="26"/>
        <v>94.49817147501015</v>
      </c>
      <c r="S42" s="44">
        <v>1285.1</v>
      </c>
      <c r="T42" s="44">
        <v>0</v>
      </c>
      <c r="U42" s="11">
        <f t="shared" si="27"/>
        <v>0</v>
      </c>
      <c r="V42" s="44">
        <v>1308.6</v>
      </c>
      <c r="W42" s="44">
        <v>20.1</v>
      </c>
      <c r="X42" s="11">
        <f t="shared" si="28"/>
        <v>1.5359926639156352</v>
      </c>
      <c r="Y42" s="89">
        <f>P42+S42+V42</f>
        <v>3824.2</v>
      </c>
      <c r="Z42" s="89">
        <f>Q42+T42+W42</f>
        <v>1182.8999999999999</v>
      </c>
      <c r="AA42" s="11">
        <f t="shared" si="31"/>
        <v>30.931959625542593</v>
      </c>
      <c r="AB42" s="44">
        <v>1447.3</v>
      </c>
      <c r="AC42" s="44">
        <v>0</v>
      </c>
      <c r="AD42" s="11">
        <f t="shared" si="32"/>
        <v>0</v>
      </c>
      <c r="AE42" s="44">
        <v>1548.1</v>
      </c>
      <c r="AF42" s="44">
        <v>4772.4</v>
      </c>
      <c r="AG42" s="11">
        <f>AF42/AE42*100</f>
        <v>308.2746592597377</v>
      </c>
      <c r="AH42" s="44">
        <v>1493.7</v>
      </c>
      <c r="AI42" s="44">
        <v>2790.2</v>
      </c>
      <c r="AJ42" s="89">
        <f>AB42+AE42+AH42</f>
        <v>4489.099999999999</v>
      </c>
      <c r="AK42" s="89">
        <f>AC42+AF42+AI42</f>
        <v>7562.599999999999</v>
      </c>
      <c r="AL42" s="11">
        <f t="shared" si="34"/>
        <v>168.46583947784634</v>
      </c>
      <c r="AM42" s="44">
        <v>1478.7</v>
      </c>
      <c r="AN42" s="44">
        <v>0.1</v>
      </c>
      <c r="AO42" s="72">
        <f>M42+Y42+AJ42+AM42</f>
        <v>13331.1</v>
      </c>
      <c r="AP42" s="72">
        <f>N42+Z42+AK42+AN42</f>
        <v>11308.699999999999</v>
      </c>
      <c r="AQ42" s="11">
        <f t="shared" si="7"/>
        <v>84.82945893437149</v>
      </c>
      <c r="AR42" s="72">
        <f t="shared" si="20"/>
        <v>2022.4000000000015</v>
      </c>
      <c r="AS42" s="18">
        <f>C42+AO42-AP42</f>
        <v>5043.1</v>
      </c>
      <c r="AT42" s="109"/>
      <c r="AU42" s="48"/>
      <c r="AV42" s="48"/>
    </row>
    <row r="43" spans="1:48" s="12" customFormat="1" ht="31.5" customHeight="1">
      <c r="A43" s="80"/>
      <c r="B43" s="16" t="s">
        <v>10</v>
      </c>
      <c r="C43" s="83">
        <f>C7+C41</f>
        <v>4063.3999999999996</v>
      </c>
      <c r="D43" s="18">
        <f>D7+D41</f>
        <v>1700.2</v>
      </c>
      <c r="E43" s="18">
        <f>E7+E41</f>
        <v>3157.6000000000004</v>
      </c>
      <c r="F43" s="11">
        <f t="shared" si="0"/>
        <v>185.71932713798378</v>
      </c>
      <c r="G43" s="18">
        <f>G7+G41</f>
        <v>1746.8000000000002</v>
      </c>
      <c r="H43" s="18">
        <f>H7+H41</f>
        <v>184.5</v>
      </c>
      <c r="I43" s="11">
        <f t="shared" si="36"/>
        <v>10.562170826654453</v>
      </c>
      <c r="J43" s="18">
        <f>J7+J41</f>
        <v>1713.9</v>
      </c>
      <c r="K43" s="18">
        <f>K7+K41</f>
        <v>601.4999999999999</v>
      </c>
      <c r="L43" s="139">
        <f t="shared" si="25"/>
        <v>35.095396464204434</v>
      </c>
      <c r="M43" s="18">
        <f>M7+M41</f>
        <v>5160.9</v>
      </c>
      <c r="N43" s="18">
        <f>N7+N41</f>
        <v>3943.6000000000004</v>
      </c>
      <c r="O43" s="11">
        <f t="shared" si="8"/>
        <v>76.41302873529811</v>
      </c>
      <c r="P43" s="18">
        <f>P7+P41</f>
        <v>1886.9</v>
      </c>
      <c r="Q43" s="18">
        <f>Q7+Q41</f>
        <v>1870</v>
      </c>
      <c r="R43" s="11">
        <f t="shared" si="26"/>
        <v>99.10435105199004</v>
      </c>
      <c r="S43" s="18">
        <f>S7+S41</f>
        <v>1956.6</v>
      </c>
      <c r="T43" s="18">
        <f>T7+T41</f>
        <v>339.8</v>
      </c>
      <c r="U43" s="11">
        <f t="shared" si="27"/>
        <v>17.366860881120314</v>
      </c>
      <c r="V43" s="18">
        <f>V7+V41</f>
        <v>2010.6</v>
      </c>
      <c r="W43" s="18">
        <f>W7+W41</f>
        <v>553.3000000000001</v>
      </c>
      <c r="X43" s="11">
        <f t="shared" si="28"/>
        <v>27.51914851288173</v>
      </c>
      <c r="Y43" s="18">
        <f>Y7+Y41</f>
        <v>5854.1</v>
      </c>
      <c r="Z43" s="18">
        <f>Z7+Z41</f>
        <v>2763.1</v>
      </c>
      <c r="AA43" s="11">
        <f t="shared" si="31"/>
        <v>47.199398712013796</v>
      </c>
      <c r="AB43" s="18">
        <f>AB7+AB41</f>
        <v>2192.6</v>
      </c>
      <c r="AC43" s="18">
        <f>AC7+AC41</f>
        <v>13.5</v>
      </c>
      <c r="AD43" s="11">
        <f t="shared" si="32"/>
        <v>0.6157073793669616</v>
      </c>
      <c r="AE43" s="18">
        <f>AE41+AE7</f>
        <v>2320.6</v>
      </c>
      <c r="AF43" s="18">
        <f>AF41+AF7</f>
        <v>5441.2</v>
      </c>
      <c r="AG43" s="11">
        <f>AF43/AE43*100</f>
        <v>234.47384297164527</v>
      </c>
      <c r="AH43" s="18">
        <f>AH41+AH7</f>
        <v>2279.5</v>
      </c>
      <c r="AI43" s="18">
        <f>AI41+AI7</f>
        <v>4271.299999999999</v>
      </c>
      <c r="AJ43" s="18">
        <f>AJ7+AJ41</f>
        <v>6792.700000000001</v>
      </c>
      <c r="AK43" s="18">
        <f>AK7+AK41</f>
        <v>9726</v>
      </c>
      <c r="AL43" s="11">
        <f t="shared" si="34"/>
        <v>143.18312305857756</v>
      </c>
      <c r="AM43" s="18">
        <f>AM41+AM7</f>
        <v>2228.5</v>
      </c>
      <c r="AN43" s="18">
        <f>AN41+AN7</f>
        <v>1263.3000000000002</v>
      </c>
      <c r="AO43" s="83">
        <f>AO7+AO41</f>
        <v>20036.2</v>
      </c>
      <c r="AP43" s="83">
        <f>AP7+AP41</f>
        <v>17696</v>
      </c>
      <c r="AQ43" s="11">
        <f>AP43/AO43*100</f>
        <v>88.32014054561243</v>
      </c>
      <c r="AR43" s="18">
        <f>AR7+AR41</f>
        <v>2340.200000000001</v>
      </c>
      <c r="AS43" s="18">
        <f>AS7+AS41</f>
        <v>6403.6</v>
      </c>
      <c r="AT43" s="109"/>
      <c r="AU43" s="48"/>
      <c r="AV43" s="48"/>
    </row>
    <row r="44" spans="1:48" s="12" customFormat="1" ht="31.5" customHeight="1">
      <c r="A44" s="115"/>
      <c r="B44" s="105"/>
      <c r="C44" s="25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25"/>
      <c r="AP44" s="25"/>
      <c r="AQ44" s="86"/>
      <c r="AR44" s="86"/>
      <c r="AS44" s="85"/>
      <c r="AT44" s="109"/>
      <c r="AU44" s="48"/>
      <c r="AV44" s="48"/>
    </row>
    <row r="45" spans="1:46" s="38" customFormat="1" ht="96.75" customHeight="1">
      <c r="A45" s="33"/>
      <c r="B45" s="150" t="s">
        <v>136</v>
      </c>
      <c r="C45" s="150"/>
      <c r="D45" s="150"/>
      <c r="E45" s="150"/>
      <c r="F45" s="150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34"/>
      <c r="AP45" s="34"/>
      <c r="AQ45" s="61"/>
      <c r="AR45" s="166" t="s">
        <v>137</v>
      </c>
      <c r="AS45" s="167"/>
      <c r="AT45" s="116"/>
    </row>
    <row r="46" spans="1:45" ht="73.5" customHeight="1" hidden="1">
      <c r="A46" s="146" t="s">
        <v>134</v>
      </c>
      <c r="B46" s="146"/>
      <c r="C46" s="39"/>
      <c r="D46" s="39"/>
      <c r="E46" s="39"/>
      <c r="F46" s="39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40"/>
      <c r="AP46" s="40"/>
      <c r="AQ46" s="41"/>
      <c r="AS46" s="4" t="s">
        <v>135</v>
      </c>
    </row>
    <row r="47" spans="2:44" ht="32.25" customHeight="1" hidden="1">
      <c r="B47" s="165" t="s">
        <v>52</v>
      </c>
      <c r="C47" s="165"/>
      <c r="D47" s="165"/>
      <c r="E47" s="165"/>
      <c r="F47" s="165"/>
      <c r="H47" s="12"/>
      <c r="I47" s="12" t="s">
        <v>53</v>
      </c>
      <c r="K47" s="12"/>
      <c r="L47" s="12" t="s">
        <v>53</v>
      </c>
      <c r="Q47" s="12"/>
      <c r="R47" s="12" t="s">
        <v>53</v>
      </c>
      <c r="T47" s="12"/>
      <c r="U47" s="12" t="s">
        <v>53</v>
      </c>
      <c r="AE47" s="28"/>
      <c r="AF47" s="28"/>
      <c r="AG47" s="28"/>
      <c r="AH47" s="28"/>
      <c r="AI47" s="28"/>
      <c r="AM47" s="28"/>
      <c r="AN47" s="28"/>
      <c r="AO47" s="12"/>
      <c r="AP47" s="12"/>
      <c r="AR47" s="12"/>
    </row>
    <row r="48" spans="31:40" ht="18.75">
      <c r="AE48" s="60"/>
      <c r="AF48" s="60"/>
      <c r="AG48" s="60"/>
      <c r="AH48" s="60"/>
      <c r="AI48" s="60"/>
      <c r="AM48" s="60"/>
      <c r="AN48" s="60"/>
    </row>
    <row r="49" spans="31:40" ht="18.75">
      <c r="AE49" s="61"/>
      <c r="AF49" s="61"/>
      <c r="AG49" s="61"/>
      <c r="AH49" s="61"/>
      <c r="AI49" s="61"/>
      <c r="AM49" s="61"/>
      <c r="AN49" s="61"/>
    </row>
    <row r="50" spans="3:45" ht="18.75">
      <c r="C50" s="31"/>
      <c r="D50" s="21"/>
      <c r="E50" s="21"/>
      <c r="F50" s="60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21"/>
      <c r="AP50" s="21"/>
      <c r="AQ50" s="60"/>
      <c r="AR50" s="21"/>
      <c r="AS50" s="21"/>
    </row>
    <row r="51" spans="3:45" ht="18.75">
      <c r="C51" s="31"/>
      <c r="D51" s="21"/>
      <c r="E51" s="21"/>
      <c r="F51" s="60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O51" s="21"/>
      <c r="AP51" s="21"/>
      <c r="AQ51" s="60"/>
      <c r="AR51" s="21"/>
      <c r="AS51" s="21"/>
    </row>
    <row r="52" spans="3:45" ht="18.75">
      <c r="C52" s="31"/>
      <c r="D52" s="21"/>
      <c r="E52" s="21"/>
      <c r="F52" s="60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O52" s="21"/>
      <c r="AP52" s="21"/>
      <c r="AQ52" s="60"/>
      <c r="AR52" s="21"/>
      <c r="AS52" s="21"/>
    </row>
    <row r="53" spans="3:45" ht="18.75">
      <c r="C53" s="31"/>
      <c r="D53" s="21"/>
      <c r="E53" s="21"/>
      <c r="F53" s="60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O53" s="21"/>
      <c r="AP53" s="21"/>
      <c r="AQ53" s="60"/>
      <c r="AR53" s="21"/>
      <c r="AS53" s="21"/>
    </row>
    <row r="54" spans="3:45" ht="18.75">
      <c r="C54" s="31"/>
      <c r="D54" s="21"/>
      <c r="E54" s="21"/>
      <c r="F54" s="60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O54" s="21"/>
      <c r="AP54" s="21"/>
      <c r="AQ54" s="60"/>
      <c r="AR54" s="21"/>
      <c r="AS54" s="21"/>
    </row>
    <row r="55" spans="3:45" ht="18.75">
      <c r="C55" s="31"/>
      <c r="D55" s="21"/>
      <c r="E55" s="21"/>
      <c r="F55" s="60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O55" s="21"/>
      <c r="AP55" s="21"/>
      <c r="AQ55" s="60"/>
      <c r="AR55" s="21"/>
      <c r="AS55" s="21"/>
    </row>
    <row r="56" spans="3:45" ht="18.75">
      <c r="C56" s="31"/>
      <c r="D56" s="21"/>
      <c r="E56" s="21"/>
      <c r="F56" s="60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O56" s="21"/>
      <c r="AP56" s="21"/>
      <c r="AQ56" s="60"/>
      <c r="AR56" s="21"/>
      <c r="AS56" s="21"/>
    </row>
    <row r="57" spans="3:45" ht="18.75">
      <c r="C57" s="31"/>
      <c r="D57" s="21"/>
      <c r="E57" s="21"/>
      <c r="F57" s="60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O57" s="21"/>
      <c r="AP57" s="21"/>
      <c r="AQ57" s="60"/>
      <c r="AR57" s="21"/>
      <c r="AS57" s="21"/>
    </row>
    <row r="58" spans="3:45" ht="18.75">
      <c r="C58" s="31"/>
      <c r="D58" s="21"/>
      <c r="E58" s="21"/>
      <c r="F58" s="60"/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O58" s="21"/>
      <c r="AP58" s="21"/>
      <c r="AQ58" s="60"/>
      <c r="AR58" s="21"/>
      <c r="AS58" s="21"/>
    </row>
    <row r="59" spans="3:45" ht="18.75">
      <c r="C59" s="31"/>
      <c r="D59" s="21"/>
      <c r="E59" s="21"/>
      <c r="F59" s="60"/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O59" s="21"/>
      <c r="AP59" s="21"/>
      <c r="AQ59" s="60"/>
      <c r="AR59" s="21"/>
      <c r="AS59" s="21"/>
    </row>
    <row r="60" spans="3:45" ht="18.75">
      <c r="C60" s="31"/>
      <c r="D60" s="21"/>
      <c r="E60" s="21"/>
      <c r="F60" s="60"/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O60" s="21"/>
      <c r="AP60" s="21"/>
      <c r="AQ60" s="60"/>
      <c r="AR60" s="21"/>
      <c r="AS60" s="21"/>
    </row>
    <row r="61" spans="3:45" ht="18.75">
      <c r="C61" s="31"/>
      <c r="D61" s="21"/>
      <c r="E61" s="21"/>
      <c r="F61" s="60"/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O61" s="21"/>
      <c r="AP61" s="21"/>
      <c r="AQ61" s="60"/>
      <c r="AR61" s="21"/>
      <c r="AS61" s="21"/>
    </row>
    <row r="62" spans="3:45" ht="18.75">
      <c r="C62" s="31"/>
      <c r="D62" s="21"/>
      <c r="E62" s="21"/>
      <c r="F62" s="60"/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O62" s="21"/>
      <c r="AP62" s="21"/>
      <c r="AQ62" s="60"/>
      <c r="AR62" s="21"/>
      <c r="AS62" s="21"/>
    </row>
    <row r="63" spans="3:45" ht="18.75">
      <c r="C63" s="31"/>
      <c r="D63" s="21"/>
      <c r="E63" s="21"/>
      <c r="F63" s="60"/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O63" s="21"/>
      <c r="AP63" s="21"/>
      <c r="AQ63" s="60"/>
      <c r="AR63" s="21"/>
      <c r="AS63" s="21"/>
    </row>
    <row r="64" spans="3:45" ht="18.75">
      <c r="C64" s="31"/>
      <c r="D64" s="21"/>
      <c r="E64" s="21"/>
      <c r="F64" s="60"/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O64" s="21"/>
      <c r="AP64" s="21"/>
      <c r="AQ64" s="60"/>
      <c r="AR64" s="21"/>
      <c r="AS64" s="21"/>
    </row>
    <row r="65" spans="3:45" ht="18.75">
      <c r="C65" s="31"/>
      <c r="D65" s="21"/>
      <c r="E65" s="21"/>
      <c r="F65" s="60"/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O65" s="21"/>
      <c r="AP65" s="21"/>
      <c r="AQ65" s="60"/>
      <c r="AR65" s="21"/>
      <c r="AS65" s="21"/>
    </row>
    <row r="66" spans="3:45" ht="18.75">
      <c r="C66" s="31"/>
      <c r="D66" s="21"/>
      <c r="E66" s="21"/>
      <c r="F66" s="60"/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O66" s="21"/>
      <c r="AP66" s="21"/>
      <c r="AQ66" s="60"/>
      <c r="AR66" s="21"/>
      <c r="AS66" s="21"/>
    </row>
    <row r="67" spans="3:45" ht="18.75">
      <c r="C67" s="31"/>
      <c r="D67" s="21"/>
      <c r="E67" s="21"/>
      <c r="F67" s="60"/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O67" s="21"/>
      <c r="AP67" s="21"/>
      <c r="AQ67" s="60"/>
      <c r="AR67" s="21"/>
      <c r="AS67" s="21"/>
    </row>
    <row r="68" spans="3:45" ht="18.75">
      <c r="C68" s="31"/>
      <c r="D68" s="21"/>
      <c r="E68" s="21"/>
      <c r="F68" s="60"/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O68" s="21"/>
      <c r="AP68" s="21"/>
      <c r="AQ68" s="60"/>
      <c r="AR68" s="21"/>
      <c r="AS68" s="21"/>
    </row>
    <row r="69" spans="3:45" ht="18.75">
      <c r="C69" s="31"/>
      <c r="D69" s="21"/>
      <c r="E69" s="21"/>
      <c r="F69" s="60"/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O69" s="21"/>
      <c r="AP69" s="21"/>
      <c r="AQ69" s="60"/>
      <c r="AR69" s="21"/>
      <c r="AS69" s="21"/>
    </row>
    <row r="70" spans="3:45" ht="18.75">
      <c r="C70" s="31"/>
      <c r="D70" s="21"/>
      <c r="E70" s="21"/>
      <c r="F70" s="60"/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O70" s="21"/>
      <c r="AP70" s="21"/>
      <c r="AQ70" s="60"/>
      <c r="AR70" s="21"/>
      <c r="AS70" s="21"/>
    </row>
    <row r="71" spans="3:45" ht="18.75">
      <c r="C71" s="31"/>
      <c r="D71" s="21"/>
      <c r="E71" s="21"/>
      <c r="F71" s="60"/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O71" s="21"/>
      <c r="AP71" s="21"/>
      <c r="AQ71" s="60"/>
      <c r="AR71" s="21"/>
      <c r="AS71" s="21"/>
    </row>
    <row r="72" spans="3:45" ht="18.75">
      <c r="C72" s="31"/>
      <c r="D72" s="21"/>
      <c r="E72" s="21"/>
      <c r="F72" s="60"/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O72" s="21"/>
      <c r="AP72" s="21"/>
      <c r="AQ72" s="60"/>
      <c r="AR72" s="21"/>
      <c r="AS72" s="21"/>
    </row>
    <row r="73" spans="3:45" ht="18.75">
      <c r="C73" s="31"/>
      <c r="D73" s="21"/>
      <c r="E73" s="21"/>
      <c r="F73" s="60"/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O73" s="21"/>
      <c r="AP73" s="21"/>
      <c r="AQ73" s="60"/>
      <c r="AR73" s="21"/>
      <c r="AS73" s="21"/>
    </row>
    <row r="74" spans="3:45" ht="18.75">
      <c r="C74" s="31"/>
      <c r="D74" s="21"/>
      <c r="E74" s="21"/>
      <c r="F74" s="60"/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O74" s="21"/>
      <c r="AP74" s="21"/>
      <c r="AQ74" s="60"/>
      <c r="AR74" s="21"/>
      <c r="AS74" s="21"/>
    </row>
    <row r="75" spans="3:45" ht="18.75">
      <c r="C75" s="31"/>
      <c r="D75" s="21"/>
      <c r="E75" s="21"/>
      <c r="F75" s="60"/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O75" s="21"/>
      <c r="AP75" s="21"/>
      <c r="AQ75" s="60"/>
      <c r="AR75" s="21"/>
      <c r="AS75" s="21"/>
    </row>
    <row r="76" spans="3:45" ht="18.75">
      <c r="C76" s="31"/>
      <c r="D76" s="21"/>
      <c r="E76" s="21"/>
      <c r="F76" s="60"/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O76" s="21"/>
      <c r="AP76" s="21"/>
      <c r="AQ76" s="60"/>
      <c r="AR76" s="21"/>
      <c r="AS76" s="21"/>
    </row>
    <row r="77" spans="3:45" ht="18.75">
      <c r="C77" s="31"/>
      <c r="D77" s="21"/>
      <c r="E77" s="21"/>
      <c r="F77" s="60"/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O77" s="21"/>
      <c r="AP77" s="21"/>
      <c r="AQ77" s="60"/>
      <c r="AR77" s="21"/>
      <c r="AS77" s="21"/>
    </row>
    <row r="78" spans="3:45" ht="18.75">
      <c r="C78" s="31"/>
      <c r="D78" s="21"/>
      <c r="E78" s="21"/>
      <c r="F78" s="60"/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O78" s="21"/>
      <c r="AP78" s="21"/>
      <c r="AQ78" s="60"/>
      <c r="AR78" s="21"/>
      <c r="AS78" s="21"/>
    </row>
    <row r="79" spans="3:45" ht="18.75">
      <c r="C79" s="31"/>
      <c r="D79" s="21"/>
      <c r="E79" s="21"/>
      <c r="F79" s="60"/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O79" s="21"/>
      <c r="AP79" s="21"/>
      <c r="AQ79" s="60"/>
      <c r="AR79" s="21"/>
      <c r="AS79" s="21"/>
    </row>
    <row r="80" spans="3:45" ht="18.75">
      <c r="C80" s="31"/>
      <c r="D80" s="21"/>
      <c r="E80" s="21"/>
      <c r="F80" s="60"/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O80" s="21"/>
      <c r="AP80" s="21"/>
      <c r="AQ80" s="60"/>
      <c r="AR80" s="21"/>
      <c r="AS80" s="21"/>
    </row>
    <row r="81" spans="3:45" ht="18.75">
      <c r="C81" s="31"/>
      <c r="D81" s="21"/>
      <c r="E81" s="21"/>
      <c r="F81" s="60"/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O81" s="21"/>
      <c r="AP81" s="21"/>
      <c r="AQ81" s="60"/>
      <c r="AR81" s="21"/>
      <c r="AS81" s="21"/>
    </row>
    <row r="82" spans="3:45" ht="18.75">
      <c r="C82" s="31"/>
      <c r="D82" s="21"/>
      <c r="E82" s="21"/>
      <c r="F82" s="60"/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O82" s="21"/>
      <c r="AP82" s="21"/>
      <c r="AQ82" s="60"/>
      <c r="AR82" s="21"/>
      <c r="AS82" s="21"/>
    </row>
    <row r="83" spans="3:45" ht="18.75">
      <c r="C83" s="31"/>
      <c r="D83" s="21"/>
      <c r="E83" s="21"/>
      <c r="F83" s="60"/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O83" s="21"/>
      <c r="AP83" s="21"/>
      <c r="AQ83" s="60"/>
      <c r="AR83" s="21"/>
      <c r="AS83" s="21"/>
    </row>
    <row r="84" spans="3:45" ht="18.75">
      <c r="C84" s="31"/>
      <c r="D84" s="21"/>
      <c r="E84" s="21"/>
      <c r="F84" s="60"/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O84" s="21"/>
      <c r="AP84" s="21"/>
      <c r="AQ84" s="60"/>
      <c r="AR84" s="21"/>
      <c r="AS84" s="21"/>
    </row>
    <row r="85" spans="3:45" ht="18.75">
      <c r="C85" s="31"/>
      <c r="D85" s="21"/>
      <c r="E85" s="21"/>
      <c r="F85" s="60"/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O85" s="21"/>
      <c r="AP85" s="21"/>
      <c r="AQ85" s="60"/>
      <c r="AR85" s="21"/>
      <c r="AS85" s="21"/>
    </row>
    <row r="86" spans="3:45" ht="18.75">
      <c r="C86" s="31"/>
      <c r="D86" s="21"/>
      <c r="E86" s="21"/>
      <c r="F86" s="60"/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O86" s="21"/>
      <c r="AP86" s="21"/>
      <c r="AQ86" s="60"/>
      <c r="AR86" s="21"/>
      <c r="AS86" s="21"/>
    </row>
    <row r="87" spans="3:45" ht="18.75">
      <c r="C87" s="31"/>
      <c r="D87" s="21"/>
      <c r="E87" s="21"/>
      <c r="F87" s="60"/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O87" s="21"/>
      <c r="AP87" s="21"/>
      <c r="AQ87" s="60"/>
      <c r="AR87" s="21"/>
      <c r="AS87" s="21"/>
    </row>
    <row r="88" spans="3:45" ht="18.75">
      <c r="C88" s="31"/>
      <c r="D88" s="21"/>
      <c r="E88" s="21"/>
      <c r="F88" s="60"/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O88" s="21"/>
      <c r="AP88" s="21"/>
      <c r="AQ88" s="60"/>
      <c r="AR88" s="21"/>
      <c r="AS88" s="21"/>
    </row>
    <row r="89" spans="3:45" ht="18.75">
      <c r="C89" s="31"/>
      <c r="D89" s="21"/>
      <c r="E89" s="21"/>
      <c r="F89" s="60"/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O89" s="21"/>
      <c r="AP89" s="21"/>
      <c r="AQ89" s="60"/>
      <c r="AR89" s="21"/>
      <c r="AS89" s="21"/>
    </row>
    <row r="90" spans="3:45" ht="18.75">
      <c r="C90" s="31"/>
      <c r="D90" s="21"/>
      <c r="E90" s="21"/>
      <c r="F90" s="60"/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O90" s="21"/>
      <c r="AP90" s="21"/>
      <c r="AQ90" s="60"/>
      <c r="AR90" s="21"/>
      <c r="AS90" s="21"/>
    </row>
    <row r="91" spans="3:45" ht="18.75">
      <c r="C91" s="31"/>
      <c r="D91" s="21"/>
      <c r="E91" s="21"/>
      <c r="F91" s="60"/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O91" s="21"/>
      <c r="AP91" s="21"/>
      <c r="AQ91" s="60"/>
      <c r="AR91" s="21"/>
      <c r="AS91" s="21"/>
    </row>
    <row r="92" spans="3:45" ht="18.75">
      <c r="C92" s="31"/>
      <c r="D92" s="21"/>
      <c r="E92" s="21"/>
      <c r="F92" s="60"/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O92" s="21"/>
      <c r="AP92" s="21"/>
      <c r="AQ92" s="60"/>
      <c r="AR92" s="21"/>
      <c r="AS92" s="21"/>
    </row>
    <row r="93" spans="3:45" ht="18.75">
      <c r="C93" s="31"/>
      <c r="D93" s="21"/>
      <c r="E93" s="21"/>
      <c r="F93" s="60"/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O93" s="21"/>
      <c r="AP93" s="21"/>
      <c r="AQ93" s="60"/>
      <c r="AR93" s="21"/>
      <c r="AS93" s="21"/>
    </row>
    <row r="94" spans="3:45" ht="18.75">
      <c r="C94" s="31"/>
      <c r="D94" s="21"/>
      <c r="E94" s="21"/>
      <c r="F94" s="60"/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O94" s="21"/>
      <c r="AP94" s="21"/>
      <c r="AQ94" s="60"/>
      <c r="AR94" s="21"/>
      <c r="AS94" s="21"/>
    </row>
    <row r="95" spans="3:45" ht="18.75">
      <c r="C95" s="31"/>
      <c r="D95" s="21"/>
      <c r="E95" s="21"/>
      <c r="F95" s="60"/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O95" s="21"/>
      <c r="AP95" s="21"/>
      <c r="AQ95" s="60"/>
      <c r="AR95" s="21"/>
      <c r="AS95" s="21"/>
    </row>
  </sheetData>
  <sheetProtection/>
  <mergeCells count="24">
    <mergeCell ref="B45:F45"/>
    <mergeCell ref="D5:F5"/>
    <mergeCell ref="AE5:AG5"/>
    <mergeCell ref="S5:U5"/>
    <mergeCell ref="Y5:AA5"/>
    <mergeCell ref="AH5:AI5"/>
    <mergeCell ref="B47:F47"/>
    <mergeCell ref="AR5:AR6"/>
    <mergeCell ref="P5:R5"/>
    <mergeCell ref="V5:X5"/>
    <mergeCell ref="M5:O5"/>
    <mergeCell ref="AR45:AS45"/>
    <mergeCell ref="AB5:AD5"/>
    <mergeCell ref="AS5:AS6"/>
    <mergeCell ref="A46:B46"/>
    <mergeCell ref="J5:L5"/>
    <mergeCell ref="I1:AS1"/>
    <mergeCell ref="B2:AS2"/>
    <mergeCell ref="B3:AS3"/>
    <mergeCell ref="B4:F4"/>
    <mergeCell ref="G5:I5"/>
    <mergeCell ref="AO5:AQ5"/>
    <mergeCell ref="AM5:AN5"/>
    <mergeCell ref="AJ5:AL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6"/>
  <sheetViews>
    <sheetView view="pageBreakPreview" zoomScale="80" zoomScaleNormal="50" zoomScaleSheetLayoutView="80" zoomScalePageLayoutView="0" workbookViewId="0" topLeftCell="A1">
      <pane xSplit="6" ySplit="8" topLeftCell="Z3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O36" sqref="AO36"/>
    </sheetView>
  </sheetViews>
  <sheetFormatPr defaultColWidth="7.875" defaultRowHeight="12.75"/>
  <cols>
    <col min="1" max="1" width="6.375" style="7" customWidth="1"/>
    <col min="2" max="2" width="50.125" style="2" customWidth="1"/>
    <col min="3" max="3" width="16.375" style="57" customWidth="1"/>
    <col min="4" max="4" width="17.00390625" style="2" hidden="1" customWidth="1"/>
    <col min="5" max="5" width="15.75390625" style="2" hidden="1" customWidth="1"/>
    <col min="6" max="6" width="11.87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87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75390625" style="12" hidden="1" customWidth="1"/>
    <col min="23" max="23" width="13.25390625" style="12" hidden="1" customWidth="1"/>
    <col min="24" max="24" width="11.125" style="12" hidden="1" customWidth="1"/>
    <col min="25" max="25" width="13.875" style="12" customWidth="1"/>
    <col min="26" max="26" width="12.375" style="12" customWidth="1"/>
    <col min="27" max="27" width="11.125" style="12" customWidth="1"/>
    <col min="28" max="28" width="15.75390625" style="12" hidden="1" customWidth="1"/>
    <col min="29" max="29" width="13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875" style="12" hidden="1" customWidth="1"/>
    <col min="35" max="35" width="11.875" style="12" hidden="1" customWidth="1"/>
    <col min="36" max="36" width="13.875" style="12" customWidth="1"/>
    <col min="37" max="37" width="12.375" style="12" customWidth="1"/>
    <col min="38" max="38" width="11.125" style="12" customWidth="1"/>
    <col min="39" max="39" width="12.875" style="12" customWidth="1"/>
    <col min="40" max="40" width="11.875" style="12" customWidth="1"/>
    <col min="41" max="42" width="14.75390625" style="2" customWidth="1"/>
    <col min="43" max="43" width="11.125" style="12" customWidth="1"/>
    <col min="44" max="44" width="16.75390625" style="2" customWidth="1"/>
    <col min="45" max="45" width="18.25390625" style="2" customWidth="1"/>
    <col min="46" max="46" width="15.375" style="2" customWidth="1"/>
    <col min="47" max="47" width="13.625" style="2" customWidth="1"/>
    <col min="48" max="16384" width="7.875" style="2" customWidth="1"/>
  </cols>
  <sheetData>
    <row r="1" spans="9:45" ht="22.5" customHeight="1">
      <c r="I1" s="158" t="s">
        <v>50</v>
      </c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</row>
    <row r="2" spans="1:45" s="63" customFormat="1" ht="42" customHeight="1">
      <c r="A2" s="68"/>
      <c r="B2" s="159" t="s">
        <v>57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</row>
    <row r="3" spans="1:45" s="63" customFormat="1" ht="42" customHeight="1">
      <c r="A3" s="62"/>
      <c r="B3" s="159" t="s">
        <v>159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</row>
    <row r="4" spans="2:45" ht="19.5" customHeight="1">
      <c r="B4" s="164"/>
      <c r="C4" s="164"/>
      <c r="D4" s="164"/>
      <c r="E4" s="164"/>
      <c r="F4" s="164"/>
      <c r="AE4" s="6"/>
      <c r="AF4" s="6"/>
      <c r="AG4" s="6"/>
      <c r="AH4" s="6"/>
      <c r="AI4" s="6"/>
      <c r="AM4" s="6"/>
      <c r="AN4" s="6"/>
      <c r="AS4" s="5" t="s">
        <v>7</v>
      </c>
    </row>
    <row r="5" spans="1:45" ht="58.5" customHeight="1">
      <c r="A5" s="50" t="s">
        <v>55</v>
      </c>
      <c r="B5" s="51"/>
      <c r="C5" s="52" t="s">
        <v>1</v>
      </c>
      <c r="D5" s="151" t="s">
        <v>142</v>
      </c>
      <c r="E5" s="152"/>
      <c r="F5" s="153"/>
      <c r="G5" s="154" t="s">
        <v>143</v>
      </c>
      <c r="H5" s="155"/>
      <c r="I5" s="156"/>
      <c r="J5" s="154" t="s">
        <v>147</v>
      </c>
      <c r="K5" s="155"/>
      <c r="L5" s="156"/>
      <c r="M5" s="154" t="s">
        <v>149</v>
      </c>
      <c r="N5" s="155"/>
      <c r="O5" s="156"/>
      <c r="P5" s="154" t="s">
        <v>148</v>
      </c>
      <c r="Q5" s="155"/>
      <c r="R5" s="156"/>
      <c r="S5" s="154" t="s">
        <v>150</v>
      </c>
      <c r="T5" s="155"/>
      <c r="U5" s="156"/>
      <c r="V5" s="154" t="s">
        <v>151</v>
      </c>
      <c r="W5" s="155"/>
      <c r="X5" s="156"/>
      <c r="Y5" s="154" t="s">
        <v>153</v>
      </c>
      <c r="Z5" s="155"/>
      <c r="AA5" s="156"/>
      <c r="AB5" s="154" t="s">
        <v>154</v>
      </c>
      <c r="AC5" s="155"/>
      <c r="AD5" s="156"/>
      <c r="AE5" s="154" t="s">
        <v>155</v>
      </c>
      <c r="AF5" s="155"/>
      <c r="AG5" s="156"/>
      <c r="AH5" s="154" t="s">
        <v>156</v>
      </c>
      <c r="AI5" s="156"/>
      <c r="AJ5" s="154" t="s">
        <v>157</v>
      </c>
      <c r="AK5" s="155"/>
      <c r="AL5" s="156"/>
      <c r="AM5" s="154" t="s">
        <v>158</v>
      </c>
      <c r="AN5" s="156"/>
      <c r="AO5" s="151" t="s">
        <v>144</v>
      </c>
      <c r="AP5" s="152"/>
      <c r="AQ5" s="153"/>
      <c r="AR5" s="161" t="s">
        <v>160</v>
      </c>
      <c r="AS5" s="161" t="s">
        <v>161</v>
      </c>
    </row>
    <row r="6" spans="1:45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8" t="s">
        <v>0</v>
      </c>
      <c r="AR6" s="162"/>
      <c r="AS6" s="162"/>
    </row>
    <row r="7" spans="1:47" s="12" customFormat="1" ht="36" customHeight="1">
      <c r="A7" s="58"/>
      <c r="B7" s="69" t="s">
        <v>9</v>
      </c>
      <c r="C7" s="11">
        <f>SUM(C8:C40)</f>
        <v>23431.30000000001</v>
      </c>
      <c r="D7" s="11">
        <f>SUM(D8:D40)</f>
        <v>15623.799999999997</v>
      </c>
      <c r="E7" s="11">
        <f>SUM(E8:E40)</f>
        <v>16651</v>
      </c>
      <c r="F7" s="11">
        <f aca="true" t="shared" si="0" ref="F7:F43">E7/D7*100</f>
        <v>106.5745849281225</v>
      </c>
      <c r="G7" s="11">
        <f>SUM(G8:G40)</f>
        <v>15856.699999999999</v>
      </c>
      <c r="H7" s="11">
        <f>SUM(H8:H40)</f>
        <v>4483.5</v>
      </c>
      <c r="I7" s="11">
        <f aca="true" t="shared" si="1" ref="I7:I43">H7/G7*100</f>
        <v>28.275113989669983</v>
      </c>
      <c r="J7" s="11">
        <f>SUM(J8:J40)</f>
        <v>16817</v>
      </c>
      <c r="K7" s="11">
        <f>SUM(K8:K40)</f>
        <v>17794.8</v>
      </c>
      <c r="L7" s="11">
        <f aca="true" t="shared" si="2" ref="L7:L28">K7/J7*100</f>
        <v>105.81435452220967</v>
      </c>
      <c r="M7" s="11">
        <f>SUM(M8:M40)</f>
        <v>48297.499999999985</v>
      </c>
      <c r="N7" s="11">
        <f>SUM(N8:N40)</f>
        <v>38929.3</v>
      </c>
      <c r="O7" s="11">
        <f>N7/M7*100</f>
        <v>80.60313680832344</v>
      </c>
      <c r="P7" s="11">
        <f>SUM(P8:P40)</f>
        <v>9508.5</v>
      </c>
      <c r="Q7" s="11">
        <f>SUM(Q8:Q40)</f>
        <v>17455.2</v>
      </c>
      <c r="R7" s="11">
        <f aca="true" t="shared" si="3" ref="R7:R28">Q7/P7*100</f>
        <v>183.57469632434137</v>
      </c>
      <c r="S7" s="11">
        <f>SUM(S8:S40)</f>
        <v>-27131.600000000006</v>
      </c>
      <c r="T7" s="11">
        <f>SUM(T8:T40)</f>
        <v>5275.7</v>
      </c>
      <c r="U7" s="11">
        <f aca="true" t="shared" si="4" ref="U7:U28">T7/S7*100</f>
        <v>-19.444853971015345</v>
      </c>
      <c r="V7" s="11">
        <f>SUM(V8:V40)</f>
        <v>2296.3</v>
      </c>
      <c r="W7" s="11">
        <f>SUM(W8:W40)</f>
        <v>4795.900000000001</v>
      </c>
      <c r="X7" s="11">
        <f aca="true" t="shared" si="5" ref="X7:X28">W7/V7*100</f>
        <v>208.85337281714064</v>
      </c>
      <c r="Y7" s="11">
        <f>SUM(Y8:Y40)</f>
        <v>-15326.800000000003</v>
      </c>
      <c r="Z7" s="11">
        <f>SUM(Z8:Z40)</f>
        <v>27526.8</v>
      </c>
      <c r="AA7" s="11">
        <f>Z7/Y7*100</f>
        <v>-179.59913354385776</v>
      </c>
      <c r="AB7" s="11">
        <f>SUM(AB8:AB40)</f>
        <v>6828</v>
      </c>
      <c r="AC7" s="11">
        <f>SUM(AC8:AC40)</f>
        <v>-616.1</v>
      </c>
      <c r="AD7" s="11">
        <f aca="true" t="shared" si="6" ref="AD7:AD28">AC7/AB7*100</f>
        <v>-9.023140011716462</v>
      </c>
      <c r="AE7" s="11">
        <f>SUM(AE8:AE40)</f>
        <v>12745.699999999999</v>
      </c>
      <c r="AF7" s="11">
        <f>SUM(AF8:AF40)</f>
        <v>2907.9999999999995</v>
      </c>
      <c r="AG7" s="11">
        <f>AF7/AE7*100</f>
        <v>22.815537789215185</v>
      </c>
      <c r="AH7" s="11">
        <f>SUM(AH8:AH40)</f>
        <v>11848.3</v>
      </c>
      <c r="AI7" s="11">
        <f>SUM(AI8:AI40)</f>
        <v>9057.3</v>
      </c>
      <c r="AJ7" s="11">
        <f>SUM(AJ8:AJ40)</f>
        <v>31421.999999999996</v>
      </c>
      <c r="AK7" s="11">
        <f>SUM(AK8:AK40)</f>
        <v>11349.199999999999</v>
      </c>
      <c r="AL7" s="11">
        <f>AK7/AJ7*100</f>
        <v>36.11864298898861</v>
      </c>
      <c r="AM7" s="11">
        <f>SUM(AM8:AM40)</f>
        <v>11833.7</v>
      </c>
      <c r="AN7" s="11">
        <f>SUM(AN8:AN40)</f>
        <v>3079.6000000000004</v>
      </c>
      <c r="AO7" s="67">
        <f>SUM(AO8:AO40)</f>
        <v>76226.40000000001</v>
      </c>
      <c r="AP7" s="67">
        <f>SUM(AP8:AP40)</f>
        <v>80884.90000000001</v>
      </c>
      <c r="AQ7" s="11">
        <f aca="true" t="shared" si="7" ref="AQ7:AQ42">AP7/AO7*100</f>
        <v>106.11139972502966</v>
      </c>
      <c r="AR7" s="11">
        <f>SUM(AR8:AR40)</f>
        <v>-4658.500000000004</v>
      </c>
      <c r="AS7" s="11">
        <f>SUM(AS8:AS40)</f>
        <v>18772.799999999996</v>
      </c>
      <c r="AT7" s="27">
        <f>SUM(AR8:AR40)</f>
        <v>-4658.500000000004</v>
      </c>
      <c r="AU7" s="27">
        <f>SUM(AS8:AS40)</f>
        <v>18772.799999999996</v>
      </c>
    </row>
    <row r="8" spans="1:46" ht="24.75" customHeight="1">
      <c r="A8" s="70">
        <v>1</v>
      </c>
      <c r="B8" s="71" t="s">
        <v>60</v>
      </c>
      <c r="C8" s="14">
        <v>2109.5</v>
      </c>
      <c r="D8" s="44">
        <v>1180.3</v>
      </c>
      <c r="E8" s="44">
        <v>650.3</v>
      </c>
      <c r="F8" s="11">
        <f t="shared" si="0"/>
        <v>55.09616199271371</v>
      </c>
      <c r="G8" s="44">
        <v>1128.2</v>
      </c>
      <c r="H8" s="44">
        <v>1459.2</v>
      </c>
      <c r="I8" s="11">
        <f t="shared" si="1"/>
        <v>129.33876972168053</v>
      </c>
      <c r="J8" s="44">
        <v>1112.6</v>
      </c>
      <c r="K8" s="44">
        <v>1057.3</v>
      </c>
      <c r="L8" s="11">
        <f t="shared" si="2"/>
        <v>95.02966025525795</v>
      </c>
      <c r="M8" s="89">
        <f>D8+G8+J8</f>
        <v>3421.1</v>
      </c>
      <c r="N8" s="89">
        <f>E8+H8+K8</f>
        <v>3166.8</v>
      </c>
      <c r="O8" s="11">
        <f aca="true" t="shared" si="8" ref="O8:O43">N8/M8*100</f>
        <v>92.5667183069773</v>
      </c>
      <c r="P8" s="44">
        <v>661.6</v>
      </c>
      <c r="Q8" s="44">
        <v>1463.3</v>
      </c>
      <c r="R8" s="11">
        <f t="shared" si="3"/>
        <v>221.17593712212815</v>
      </c>
      <c r="S8" s="44">
        <v>11.6</v>
      </c>
      <c r="T8" s="44">
        <v>514.5</v>
      </c>
      <c r="U8" s="11">
        <f t="shared" si="4"/>
        <v>4435.344827586207</v>
      </c>
      <c r="V8" s="44">
        <v>25</v>
      </c>
      <c r="W8" s="44">
        <v>1059.1</v>
      </c>
      <c r="X8" s="11">
        <f t="shared" si="5"/>
        <v>4236.4</v>
      </c>
      <c r="Y8" s="89">
        <f>P8+S8+V8</f>
        <v>698.2</v>
      </c>
      <c r="Z8" s="89">
        <f>Q8+T8+W8</f>
        <v>3036.8999999999996</v>
      </c>
      <c r="AA8" s="11">
        <f aca="true" t="shared" si="9" ref="AA8:AA28">Z8/Y8*100</f>
        <v>434.96132913205383</v>
      </c>
      <c r="AB8" s="44">
        <v>-1744.3</v>
      </c>
      <c r="AC8" s="44">
        <v>0</v>
      </c>
      <c r="AD8" s="11">
        <f t="shared" si="6"/>
        <v>0</v>
      </c>
      <c r="AE8" s="44">
        <v>789.6</v>
      </c>
      <c r="AF8" s="44">
        <v>0</v>
      </c>
      <c r="AG8" s="11">
        <f>AF8/AE8*100</f>
        <v>0</v>
      </c>
      <c r="AH8" s="44">
        <v>658.4</v>
      </c>
      <c r="AI8" s="44">
        <v>0</v>
      </c>
      <c r="AJ8" s="89">
        <f>AB8+AE8+AH8</f>
        <v>-296.29999999999995</v>
      </c>
      <c r="AK8" s="89">
        <f>AC8+AF8+AI8</f>
        <v>0</v>
      </c>
      <c r="AL8" s="11">
        <f aca="true" t="shared" si="10" ref="AL8:AL28">AK8/AJ8*100</f>
        <v>0</v>
      </c>
      <c r="AM8" s="44">
        <v>729.3</v>
      </c>
      <c r="AN8" s="44">
        <v>0</v>
      </c>
      <c r="AO8" s="72">
        <f>M8+Y8+AJ8+AM8</f>
        <v>4552.3</v>
      </c>
      <c r="AP8" s="72">
        <f>N8+Z8+AK8+AN8</f>
        <v>6203.7</v>
      </c>
      <c r="AQ8" s="11">
        <f t="shared" si="7"/>
        <v>136.27616809085515</v>
      </c>
      <c r="AR8" s="72">
        <f>AO8-AP8</f>
        <v>-1651.3999999999996</v>
      </c>
      <c r="AS8" s="18">
        <f>C8+AO8-AP8</f>
        <v>458.10000000000036</v>
      </c>
      <c r="AT8" s="19"/>
    </row>
    <row r="9" spans="1:46" ht="24.75" customHeight="1">
      <c r="A9" s="70">
        <v>2</v>
      </c>
      <c r="B9" s="73" t="s">
        <v>61</v>
      </c>
      <c r="C9" s="14">
        <v>707.3</v>
      </c>
      <c r="D9" s="44">
        <v>287.9</v>
      </c>
      <c r="E9" s="44">
        <v>707.3</v>
      </c>
      <c r="F9" s="11">
        <f>E9/D9*100</f>
        <v>245.67558179923586</v>
      </c>
      <c r="G9" s="44">
        <v>287</v>
      </c>
      <c r="H9" s="44">
        <v>0</v>
      </c>
      <c r="I9" s="11">
        <f t="shared" si="1"/>
        <v>0</v>
      </c>
      <c r="J9" s="44">
        <v>286.9</v>
      </c>
      <c r="K9" s="44">
        <v>287.9</v>
      </c>
      <c r="L9" s="11">
        <f t="shared" si="2"/>
        <v>100.3485535029627</v>
      </c>
      <c r="M9" s="89">
        <f aca="true" t="shared" si="11" ref="M9:M42">D9+G9+J9</f>
        <v>861.8</v>
      </c>
      <c r="N9" s="89">
        <f aca="true" t="shared" si="12" ref="N9:N42">E9+H9+K9</f>
        <v>995.1999999999999</v>
      </c>
      <c r="O9" s="11">
        <f t="shared" si="8"/>
        <v>115.47922951961012</v>
      </c>
      <c r="P9" s="44">
        <v>156.3</v>
      </c>
      <c r="Q9" s="44">
        <v>287</v>
      </c>
      <c r="R9" s="11">
        <f t="shared" si="3"/>
        <v>183.6212412028151</v>
      </c>
      <c r="S9" s="44">
        <v>-924.7</v>
      </c>
      <c r="T9" s="44">
        <v>0</v>
      </c>
      <c r="U9" s="11">
        <f t="shared" si="4"/>
        <v>0</v>
      </c>
      <c r="V9" s="44">
        <v>77.8</v>
      </c>
      <c r="W9" s="44">
        <v>0</v>
      </c>
      <c r="X9" s="11">
        <f t="shared" si="5"/>
        <v>0</v>
      </c>
      <c r="Y9" s="89">
        <f aca="true" t="shared" si="13" ref="Y9:Y28">P9+S9+V9</f>
        <v>-690.6000000000001</v>
      </c>
      <c r="Z9" s="89">
        <f aca="true" t="shared" si="14" ref="Z9:Z28">Q9+T9+W9</f>
        <v>287</v>
      </c>
      <c r="AA9" s="11">
        <f t="shared" si="9"/>
        <v>-41.55806545033304</v>
      </c>
      <c r="AB9" s="44">
        <v>184.5</v>
      </c>
      <c r="AC9" s="44">
        <v>0</v>
      </c>
      <c r="AD9" s="11">
        <f t="shared" si="6"/>
        <v>0</v>
      </c>
      <c r="AE9" s="44">
        <f>90+118.3</f>
        <v>208.3</v>
      </c>
      <c r="AF9" s="44">
        <v>0</v>
      </c>
      <c r="AG9" s="11">
        <f>AF9/AE9*100</f>
        <v>0</v>
      </c>
      <c r="AH9" s="44">
        <f>38.9+146.1</f>
        <v>185</v>
      </c>
      <c r="AI9" s="44">
        <v>0</v>
      </c>
      <c r="AJ9" s="89">
        <f aca="true" t="shared" si="15" ref="AJ9:AJ40">AB9+AE9+AH9</f>
        <v>577.8</v>
      </c>
      <c r="AK9" s="89">
        <f aca="true" t="shared" si="16" ref="AK9:AK40">AC9+AF9+AI9</f>
        <v>0</v>
      </c>
      <c r="AL9" s="11">
        <f t="shared" si="10"/>
        <v>0</v>
      </c>
      <c r="AM9" s="44">
        <f>0.1+193.3</f>
        <v>193.4</v>
      </c>
      <c r="AN9" s="44">
        <v>0</v>
      </c>
      <c r="AO9" s="72">
        <f aca="true" t="shared" si="17" ref="AO9:AO40">M9+Y9+AJ9+AM9</f>
        <v>942.3999999999997</v>
      </c>
      <c r="AP9" s="72">
        <f aca="true" t="shared" si="18" ref="AP9:AP40">N9+Z9+AK9+AN9</f>
        <v>1282.1999999999998</v>
      </c>
      <c r="AQ9" s="11">
        <f t="shared" si="7"/>
        <v>136.05687606112056</v>
      </c>
      <c r="AR9" s="72">
        <f aca="true" t="shared" si="19" ref="AR9:AR42">AO9-AP9</f>
        <v>-339.80000000000007</v>
      </c>
      <c r="AS9" s="18">
        <f aca="true" t="shared" si="20" ref="AS9:AS42">C9+AO9-AP9</f>
        <v>367.5</v>
      </c>
      <c r="AT9" s="19"/>
    </row>
    <row r="10" spans="1:46" ht="24.75" customHeight="1">
      <c r="A10" s="70">
        <v>3</v>
      </c>
      <c r="B10" s="74" t="s">
        <v>133</v>
      </c>
      <c r="C10" s="14">
        <v>98.7</v>
      </c>
      <c r="D10" s="44">
        <v>41.4</v>
      </c>
      <c r="E10" s="44">
        <v>73</v>
      </c>
      <c r="F10" s="11">
        <f>E10/D10*100</f>
        <v>176.32850241545896</v>
      </c>
      <c r="G10" s="44">
        <v>131.1</v>
      </c>
      <c r="H10" s="44">
        <v>0</v>
      </c>
      <c r="I10" s="75">
        <f t="shared" si="1"/>
        <v>0</v>
      </c>
      <c r="J10" s="44">
        <v>132.3</v>
      </c>
      <c r="K10" s="44">
        <v>22.5</v>
      </c>
      <c r="L10" s="75">
        <f t="shared" si="2"/>
        <v>17.006802721088434</v>
      </c>
      <c r="M10" s="89">
        <f t="shared" si="11"/>
        <v>304.8</v>
      </c>
      <c r="N10" s="89">
        <f t="shared" si="12"/>
        <v>95.5</v>
      </c>
      <c r="O10" s="11">
        <f t="shared" si="8"/>
        <v>31.332020997375327</v>
      </c>
      <c r="P10" s="44">
        <v>74.9</v>
      </c>
      <c r="Q10" s="44">
        <v>382.9</v>
      </c>
      <c r="R10" s="140">
        <f t="shared" si="3"/>
        <v>511.214953271028</v>
      </c>
      <c r="S10" s="44">
        <v>4.7</v>
      </c>
      <c r="T10" s="44">
        <v>4.7</v>
      </c>
      <c r="U10" s="140">
        <f t="shared" si="4"/>
        <v>100</v>
      </c>
      <c r="V10" s="44">
        <v>35.3</v>
      </c>
      <c r="W10" s="44">
        <v>0</v>
      </c>
      <c r="X10" s="140">
        <f t="shared" si="5"/>
        <v>0</v>
      </c>
      <c r="Y10" s="89">
        <f t="shared" si="13"/>
        <v>114.9</v>
      </c>
      <c r="Z10" s="89">
        <f t="shared" si="14"/>
        <v>387.59999999999997</v>
      </c>
      <c r="AA10" s="11">
        <f t="shared" si="9"/>
        <v>337.33681462140987</v>
      </c>
      <c r="AB10" s="44">
        <v>95.4</v>
      </c>
      <c r="AC10" s="44">
        <v>0</v>
      </c>
      <c r="AD10" s="140">
        <f t="shared" si="6"/>
        <v>0</v>
      </c>
      <c r="AE10" s="44">
        <v>76.7</v>
      </c>
      <c r="AF10" s="44">
        <v>34.8</v>
      </c>
      <c r="AG10" s="11">
        <f>AF10/AE10*100</f>
        <v>45.3715775749674</v>
      </c>
      <c r="AH10" s="44">
        <v>57.5</v>
      </c>
      <c r="AI10" s="44">
        <v>144.1</v>
      </c>
      <c r="AJ10" s="89">
        <f t="shared" si="15"/>
        <v>229.60000000000002</v>
      </c>
      <c r="AK10" s="89">
        <f t="shared" si="16"/>
        <v>178.89999999999998</v>
      </c>
      <c r="AL10" s="11">
        <f t="shared" si="10"/>
        <v>77.91811846689893</v>
      </c>
      <c r="AM10" s="44">
        <v>76.8</v>
      </c>
      <c r="AN10" s="44">
        <v>28.5</v>
      </c>
      <c r="AO10" s="72">
        <f t="shared" si="17"/>
        <v>726.1</v>
      </c>
      <c r="AP10" s="72">
        <f t="shared" si="18"/>
        <v>690.5</v>
      </c>
      <c r="AQ10" s="11">
        <f t="shared" si="7"/>
        <v>95.09709406417849</v>
      </c>
      <c r="AR10" s="72">
        <f t="shared" si="19"/>
        <v>35.60000000000002</v>
      </c>
      <c r="AS10" s="18">
        <f t="shared" si="20"/>
        <v>134.30000000000007</v>
      </c>
      <c r="AT10" s="19"/>
    </row>
    <row r="11" spans="1:46" ht="24.75" customHeight="1">
      <c r="A11" s="70">
        <v>4</v>
      </c>
      <c r="B11" s="71" t="s">
        <v>62</v>
      </c>
      <c r="C11" s="14">
        <v>460.4</v>
      </c>
      <c r="D11" s="44">
        <v>292.1</v>
      </c>
      <c r="E11" s="44">
        <v>194.2</v>
      </c>
      <c r="F11" s="11">
        <f>E11/D11*100</f>
        <v>66.48408079424854</v>
      </c>
      <c r="G11" s="44">
        <v>245.1</v>
      </c>
      <c r="H11" s="44">
        <v>234.4</v>
      </c>
      <c r="I11" s="11">
        <f>H11/G11*100</f>
        <v>95.6344349245206</v>
      </c>
      <c r="J11" s="44">
        <v>230.9</v>
      </c>
      <c r="K11" s="44">
        <v>323.6</v>
      </c>
      <c r="L11" s="11">
        <f t="shared" si="2"/>
        <v>140.14724989172802</v>
      </c>
      <c r="M11" s="89">
        <f t="shared" si="11"/>
        <v>768.1</v>
      </c>
      <c r="N11" s="89">
        <f t="shared" si="12"/>
        <v>752.2</v>
      </c>
      <c r="O11" s="11">
        <f t="shared" si="8"/>
        <v>97.92995703684416</v>
      </c>
      <c r="P11" s="44">
        <v>97.5</v>
      </c>
      <c r="Q11" s="44">
        <v>0</v>
      </c>
      <c r="R11" s="11">
        <f t="shared" si="3"/>
        <v>0</v>
      </c>
      <c r="S11" s="44">
        <v>2.2</v>
      </c>
      <c r="T11" s="44">
        <v>0</v>
      </c>
      <c r="U11" s="11">
        <f t="shared" si="4"/>
        <v>0</v>
      </c>
      <c r="V11" s="44">
        <v>187</v>
      </c>
      <c r="W11" s="44">
        <v>0</v>
      </c>
      <c r="X11" s="11">
        <f t="shared" si="5"/>
        <v>0</v>
      </c>
      <c r="Y11" s="89">
        <f t="shared" si="13"/>
        <v>286.7</v>
      </c>
      <c r="Z11" s="89">
        <f t="shared" si="14"/>
        <v>0</v>
      </c>
      <c r="AA11" s="11">
        <f t="shared" si="9"/>
        <v>0</v>
      </c>
      <c r="AB11" s="44">
        <v>-453.1</v>
      </c>
      <c r="AC11" s="44">
        <v>0</v>
      </c>
      <c r="AD11" s="11">
        <f t="shared" si="6"/>
        <v>0</v>
      </c>
      <c r="AE11" s="44">
        <v>131.3</v>
      </c>
      <c r="AF11" s="44">
        <v>194.2</v>
      </c>
      <c r="AG11" s="11">
        <f>AF11/AE11*100</f>
        <v>147.9055597867479</v>
      </c>
      <c r="AH11" s="44">
        <v>108.7</v>
      </c>
      <c r="AI11" s="44">
        <v>197.4</v>
      </c>
      <c r="AJ11" s="89">
        <f t="shared" si="15"/>
        <v>-213.10000000000002</v>
      </c>
      <c r="AK11" s="89">
        <f t="shared" si="16"/>
        <v>391.6</v>
      </c>
      <c r="AL11" s="11">
        <f t="shared" si="10"/>
        <v>-183.76349131862975</v>
      </c>
      <c r="AM11" s="44">
        <v>162.5</v>
      </c>
      <c r="AN11" s="44">
        <v>157.8</v>
      </c>
      <c r="AO11" s="72">
        <f t="shared" si="17"/>
        <v>1004.1999999999999</v>
      </c>
      <c r="AP11" s="72">
        <f t="shared" si="18"/>
        <v>1301.6000000000001</v>
      </c>
      <c r="AQ11" s="11">
        <f t="shared" si="7"/>
        <v>129.61561441943837</v>
      </c>
      <c r="AR11" s="72">
        <f t="shared" si="19"/>
        <v>-297.4000000000002</v>
      </c>
      <c r="AS11" s="18">
        <f t="shared" si="20"/>
        <v>162.99999999999977</v>
      </c>
      <c r="AT11" s="19"/>
    </row>
    <row r="12" spans="1:46" ht="24.75" customHeight="1">
      <c r="A12" s="70">
        <v>5</v>
      </c>
      <c r="B12" s="71" t="s">
        <v>63</v>
      </c>
      <c r="C12" s="14">
        <v>568.2</v>
      </c>
      <c r="D12" s="44">
        <v>343.2</v>
      </c>
      <c r="E12" s="44">
        <v>507.9</v>
      </c>
      <c r="F12" s="11">
        <f>E12/D12*100</f>
        <v>147.98951048951048</v>
      </c>
      <c r="G12" s="44">
        <v>355.2</v>
      </c>
      <c r="H12" s="44">
        <v>0</v>
      </c>
      <c r="I12" s="11">
        <f>H12/G12*100</f>
        <v>0</v>
      </c>
      <c r="J12" s="44">
        <v>352.2</v>
      </c>
      <c r="K12" s="44">
        <v>297</v>
      </c>
      <c r="L12" s="11">
        <f t="shared" si="2"/>
        <v>84.32708688245314</v>
      </c>
      <c r="M12" s="89">
        <f t="shared" si="11"/>
        <v>1050.6</v>
      </c>
      <c r="N12" s="89">
        <f t="shared" si="12"/>
        <v>804.9</v>
      </c>
      <c r="O12" s="11">
        <f t="shared" si="8"/>
        <v>76.61336379211879</v>
      </c>
      <c r="P12" s="44">
        <v>241</v>
      </c>
      <c r="Q12" s="44">
        <v>118.8</v>
      </c>
      <c r="R12" s="11">
        <f t="shared" si="3"/>
        <v>49.294605809128626</v>
      </c>
      <c r="S12" s="44">
        <v>-655.6</v>
      </c>
      <c r="T12" s="44">
        <v>0</v>
      </c>
      <c r="U12" s="11">
        <f t="shared" si="4"/>
        <v>0</v>
      </c>
      <c r="V12" s="44">
        <v>169.9</v>
      </c>
      <c r="W12" s="44">
        <v>0</v>
      </c>
      <c r="X12" s="11">
        <f t="shared" si="5"/>
        <v>0</v>
      </c>
      <c r="Y12" s="89">
        <f t="shared" si="13"/>
        <v>-244.70000000000002</v>
      </c>
      <c r="Z12" s="89">
        <f t="shared" si="14"/>
        <v>118.8</v>
      </c>
      <c r="AA12" s="11">
        <f t="shared" si="9"/>
        <v>-48.54924397221087</v>
      </c>
      <c r="AB12" s="44">
        <v>289.1</v>
      </c>
      <c r="AC12" s="44">
        <v>0</v>
      </c>
      <c r="AD12" s="11">
        <f t="shared" si="6"/>
        <v>0</v>
      </c>
      <c r="AE12" s="44">
        <v>225.8</v>
      </c>
      <c r="AF12" s="44">
        <v>450.4</v>
      </c>
      <c r="AG12" s="141">
        <f aca="true" t="shared" si="21" ref="AG12:AG24">AF12/AE12*100</f>
        <v>199.4685562444641</v>
      </c>
      <c r="AH12" s="44">
        <v>200.5</v>
      </c>
      <c r="AI12" s="44">
        <v>514.9</v>
      </c>
      <c r="AJ12" s="89">
        <f t="shared" si="15"/>
        <v>715.4000000000001</v>
      </c>
      <c r="AK12" s="89">
        <f t="shared" si="16"/>
        <v>965.3</v>
      </c>
      <c r="AL12" s="11">
        <f t="shared" si="10"/>
        <v>134.93150684931504</v>
      </c>
      <c r="AM12" s="44">
        <v>244.2</v>
      </c>
      <c r="AN12" s="44">
        <v>90.1</v>
      </c>
      <c r="AO12" s="72">
        <f t="shared" si="17"/>
        <v>1765.5</v>
      </c>
      <c r="AP12" s="72">
        <f t="shared" si="18"/>
        <v>1979.1</v>
      </c>
      <c r="AQ12" s="11">
        <f t="shared" si="7"/>
        <v>112.09855564995752</v>
      </c>
      <c r="AR12" s="72">
        <f t="shared" si="19"/>
        <v>-213.5999999999999</v>
      </c>
      <c r="AS12" s="18">
        <f t="shared" si="20"/>
        <v>354.5999999999999</v>
      </c>
      <c r="AT12" s="19"/>
    </row>
    <row r="13" spans="1:46" ht="24.75" customHeight="1">
      <c r="A13" s="70">
        <v>6</v>
      </c>
      <c r="B13" s="71" t="s">
        <v>64</v>
      </c>
      <c r="C13" s="14">
        <v>985.1</v>
      </c>
      <c r="D13" s="44">
        <v>376.4</v>
      </c>
      <c r="E13" s="44">
        <v>170.8</v>
      </c>
      <c r="F13" s="11">
        <f t="shared" si="0"/>
        <v>45.37725823591924</v>
      </c>
      <c r="G13" s="44">
        <v>374.4</v>
      </c>
      <c r="H13" s="44">
        <v>0</v>
      </c>
      <c r="I13" s="75">
        <f t="shared" si="1"/>
        <v>0</v>
      </c>
      <c r="J13" s="44">
        <v>373.4</v>
      </c>
      <c r="K13" s="44">
        <v>911.7</v>
      </c>
      <c r="L13" s="75">
        <f t="shared" si="2"/>
        <v>244.1617568291377</v>
      </c>
      <c r="M13" s="89">
        <f t="shared" si="11"/>
        <v>1124.1999999999998</v>
      </c>
      <c r="N13" s="89">
        <f t="shared" si="12"/>
        <v>1082.5</v>
      </c>
      <c r="O13" s="11">
        <f t="shared" si="8"/>
        <v>96.29069560576411</v>
      </c>
      <c r="P13" s="44">
        <v>204.6</v>
      </c>
      <c r="Q13" s="44">
        <v>12</v>
      </c>
      <c r="R13" s="140">
        <f t="shared" si="3"/>
        <v>5.865102639296188</v>
      </c>
      <c r="S13" s="44">
        <v>-1077.7</v>
      </c>
      <c r="T13" s="44">
        <v>5.2</v>
      </c>
      <c r="U13" s="140">
        <f t="shared" si="4"/>
        <v>-0.48250904704463204</v>
      </c>
      <c r="V13" s="44">
        <v>154.7</v>
      </c>
      <c r="W13" s="44">
        <v>0</v>
      </c>
      <c r="X13" s="140">
        <f t="shared" si="5"/>
        <v>0</v>
      </c>
      <c r="Y13" s="89">
        <f t="shared" si="13"/>
        <v>-718.4000000000001</v>
      </c>
      <c r="Z13" s="89">
        <f t="shared" si="14"/>
        <v>17.2</v>
      </c>
      <c r="AA13" s="11">
        <f t="shared" si="9"/>
        <v>-2.394209354120267</v>
      </c>
      <c r="AB13" s="44">
        <v>259.7</v>
      </c>
      <c r="AC13" s="44">
        <v>0</v>
      </c>
      <c r="AD13" s="140">
        <f t="shared" si="6"/>
        <v>0</v>
      </c>
      <c r="AE13" s="44">
        <v>257.7</v>
      </c>
      <c r="AF13" s="44">
        <v>0</v>
      </c>
      <c r="AG13" s="11">
        <f t="shared" si="21"/>
        <v>0</v>
      </c>
      <c r="AH13" s="44">
        <v>195.5</v>
      </c>
      <c r="AI13" s="44">
        <v>580.8</v>
      </c>
      <c r="AJ13" s="89">
        <f t="shared" si="15"/>
        <v>712.9</v>
      </c>
      <c r="AK13" s="89">
        <f t="shared" si="16"/>
        <v>580.8</v>
      </c>
      <c r="AL13" s="11">
        <f t="shared" si="10"/>
        <v>81.47005190068734</v>
      </c>
      <c r="AM13" s="44">
        <v>227</v>
      </c>
      <c r="AN13" s="44">
        <v>25.6</v>
      </c>
      <c r="AO13" s="72">
        <f t="shared" si="17"/>
        <v>1345.6999999999998</v>
      </c>
      <c r="AP13" s="72">
        <f t="shared" si="18"/>
        <v>1706.1</v>
      </c>
      <c r="AQ13" s="11">
        <f t="shared" si="7"/>
        <v>126.78160065393476</v>
      </c>
      <c r="AR13" s="72">
        <f t="shared" si="19"/>
        <v>-360.4000000000001</v>
      </c>
      <c r="AS13" s="18">
        <f t="shared" si="20"/>
        <v>624.6999999999998</v>
      </c>
      <c r="AT13" s="19"/>
    </row>
    <row r="14" spans="1:46" ht="24.75" customHeight="1">
      <c r="A14" s="70">
        <v>7</v>
      </c>
      <c r="B14" s="71" t="s">
        <v>65</v>
      </c>
      <c r="C14" s="14">
        <v>153.5</v>
      </c>
      <c r="D14" s="44">
        <v>153</v>
      </c>
      <c r="E14" s="44">
        <v>147.2</v>
      </c>
      <c r="F14" s="11">
        <f t="shared" si="0"/>
        <v>96.20915032679737</v>
      </c>
      <c r="G14" s="44">
        <v>153.5</v>
      </c>
      <c r="H14" s="44">
        <v>0</v>
      </c>
      <c r="I14" s="11">
        <f t="shared" si="1"/>
        <v>0</v>
      </c>
      <c r="J14" s="44">
        <v>154.3</v>
      </c>
      <c r="K14" s="44">
        <v>145.5</v>
      </c>
      <c r="L14" s="11">
        <f t="shared" si="2"/>
        <v>94.29682436811405</v>
      </c>
      <c r="M14" s="89">
        <f t="shared" si="11"/>
        <v>460.8</v>
      </c>
      <c r="N14" s="89">
        <f t="shared" si="12"/>
        <v>292.7</v>
      </c>
      <c r="O14" s="11">
        <f t="shared" si="8"/>
        <v>63.51996527777778</v>
      </c>
      <c r="P14" s="44">
        <v>72.2</v>
      </c>
      <c r="Q14" s="44">
        <v>393.8</v>
      </c>
      <c r="R14" s="11">
        <f t="shared" si="3"/>
        <v>545.4293628808864</v>
      </c>
      <c r="S14" s="44">
        <v>3.8</v>
      </c>
      <c r="T14" s="44">
        <v>3.8</v>
      </c>
      <c r="U14" s="11">
        <f t="shared" si="4"/>
        <v>100</v>
      </c>
      <c r="V14" s="44">
        <v>18.7</v>
      </c>
      <c r="W14" s="44">
        <v>0</v>
      </c>
      <c r="X14" s="11">
        <f t="shared" si="5"/>
        <v>0</v>
      </c>
      <c r="Y14" s="89">
        <f t="shared" si="13"/>
        <v>94.7</v>
      </c>
      <c r="Z14" s="89">
        <f t="shared" si="14"/>
        <v>397.6</v>
      </c>
      <c r="AA14" s="11">
        <f t="shared" si="9"/>
        <v>419.85216473072865</v>
      </c>
      <c r="AB14" s="44">
        <v>-28.1</v>
      </c>
      <c r="AC14" s="44">
        <v>0</v>
      </c>
      <c r="AD14" s="11">
        <f t="shared" si="6"/>
        <v>0</v>
      </c>
      <c r="AE14" s="44">
        <v>78.3</v>
      </c>
      <c r="AF14" s="44">
        <v>0</v>
      </c>
      <c r="AG14" s="11">
        <f t="shared" si="21"/>
        <v>0</v>
      </c>
      <c r="AH14" s="44">
        <v>55.4</v>
      </c>
      <c r="AI14" s="44">
        <v>69.1</v>
      </c>
      <c r="AJ14" s="89">
        <f t="shared" si="15"/>
        <v>105.6</v>
      </c>
      <c r="AK14" s="89">
        <f t="shared" si="16"/>
        <v>69.1</v>
      </c>
      <c r="AL14" s="11">
        <f t="shared" si="10"/>
        <v>65.43560606060606</v>
      </c>
      <c r="AM14" s="44">
        <v>91.8</v>
      </c>
      <c r="AN14" s="44">
        <v>73.8</v>
      </c>
      <c r="AO14" s="72">
        <f t="shared" si="17"/>
        <v>752.9</v>
      </c>
      <c r="AP14" s="72">
        <f t="shared" si="18"/>
        <v>833.1999999999999</v>
      </c>
      <c r="AQ14" s="11">
        <f t="shared" si="7"/>
        <v>110.66542701553989</v>
      </c>
      <c r="AR14" s="72">
        <f t="shared" si="19"/>
        <v>-80.29999999999995</v>
      </c>
      <c r="AS14" s="18">
        <f t="shared" si="20"/>
        <v>73.20000000000005</v>
      </c>
      <c r="AT14" s="19"/>
    </row>
    <row r="15" spans="1:46" ht="24.75" customHeight="1">
      <c r="A15" s="70">
        <v>8</v>
      </c>
      <c r="B15" s="71" t="s">
        <v>66</v>
      </c>
      <c r="C15" s="14">
        <v>469.4</v>
      </c>
      <c r="D15" s="44">
        <v>438.4</v>
      </c>
      <c r="E15" s="44">
        <v>265.7</v>
      </c>
      <c r="F15" s="11">
        <f t="shared" si="0"/>
        <v>60.606751824817515</v>
      </c>
      <c r="G15" s="44">
        <v>474.4</v>
      </c>
      <c r="H15" s="44">
        <v>0</v>
      </c>
      <c r="I15" s="75">
        <f t="shared" si="1"/>
        <v>0</v>
      </c>
      <c r="J15" s="44">
        <v>778.9</v>
      </c>
      <c r="K15" s="44">
        <v>427</v>
      </c>
      <c r="L15" s="75">
        <f t="shared" si="2"/>
        <v>54.82090127102324</v>
      </c>
      <c r="M15" s="89">
        <f t="shared" si="11"/>
        <v>1691.6999999999998</v>
      </c>
      <c r="N15" s="89">
        <f t="shared" si="12"/>
        <v>692.7</v>
      </c>
      <c r="O15" s="11">
        <f t="shared" si="8"/>
        <v>40.946976414257854</v>
      </c>
      <c r="P15" s="44">
        <v>330.1</v>
      </c>
      <c r="Q15" s="44">
        <v>1222.2</v>
      </c>
      <c r="R15" s="140">
        <f t="shared" si="3"/>
        <v>370.25143895789154</v>
      </c>
      <c r="S15" s="44">
        <v>-572.1</v>
      </c>
      <c r="T15" s="44">
        <v>198.1</v>
      </c>
      <c r="U15" s="140">
        <f t="shared" si="4"/>
        <v>-34.62681349414438</v>
      </c>
      <c r="V15" s="44">
        <v>67.1</v>
      </c>
      <c r="W15" s="44">
        <v>87</v>
      </c>
      <c r="X15" s="140">
        <f t="shared" si="5"/>
        <v>129.65722801788377</v>
      </c>
      <c r="Y15" s="89">
        <f t="shared" si="13"/>
        <v>-174.9</v>
      </c>
      <c r="Z15" s="89">
        <f t="shared" si="14"/>
        <v>1507.3</v>
      </c>
      <c r="AA15" s="11">
        <f t="shared" si="9"/>
        <v>-861.8067467124071</v>
      </c>
      <c r="AB15" s="44">
        <v>151</v>
      </c>
      <c r="AC15" s="44">
        <v>0.4</v>
      </c>
      <c r="AD15" s="140">
        <f t="shared" si="6"/>
        <v>0.26490066225165565</v>
      </c>
      <c r="AE15" s="44">
        <v>408.2</v>
      </c>
      <c r="AF15" s="44">
        <v>75.1</v>
      </c>
      <c r="AG15" s="11">
        <f t="shared" si="21"/>
        <v>18.397844194022536</v>
      </c>
      <c r="AH15" s="44">
        <v>796</v>
      </c>
      <c r="AI15" s="44">
        <v>65.3</v>
      </c>
      <c r="AJ15" s="89">
        <f t="shared" si="15"/>
        <v>1355.2</v>
      </c>
      <c r="AK15" s="89">
        <f t="shared" si="16"/>
        <v>140.8</v>
      </c>
      <c r="AL15" s="11">
        <f t="shared" si="10"/>
        <v>10.38961038961039</v>
      </c>
      <c r="AM15" s="44">
        <v>500.4</v>
      </c>
      <c r="AN15" s="44">
        <v>136.4</v>
      </c>
      <c r="AO15" s="72">
        <f t="shared" si="17"/>
        <v>3372.4</v>
      </c>
      <c r="AP15" s="72">
        <f t="shared" si="18"/>
        <v>2477.2000000000003</v>
      </c>
      <c r="AQ15" s="11">
        <f t="shared" si="7"/>
        <v>73.4551061558534</v>
      </c>
      <c r="AR15" s="72">
        <f t="shared" si="19"/>
        <v>895.1999999999998</v>
      </c>
      <c r="AS15" s="18">
        <f t="shared" si="20"/>
        <v>1364.6</v>
      </c>
      <c r="AT15" s="19"/>
    </row>
    <row r="16" spans="1:46" ht="24.75" customHeight="1">
      <c r="A16" s="70">
        <v>9</v>
      </c>
      <c r="B16" s="71" t="s">
        <v>67</v>
      </c>
      <c r="C16" s="14">
        <v>66.3</v>
      </c>
      <c r="D16" s="44">
        <v>41.3</v>
      </c>
      <c r="E16" s="44">
        <v>66.3</v>
      </c>
      <c r="F16" s="11">
        <f t="shared" si="0"/>
        <v>160.53268765133174</v>
      </c>
      <c r="G16" s="44">
        <v>33.9</v>
      </c>
      <c r="H16" s="44">
        <v>0</v>
      </c>
      <c r="I16" s="11">
        <f t="shared" si="1"/>
        <v>0</v>
      </c>
      <c r="J16" s="44">
        <v>33.8</v>
      </c>
      <c r="K16" s="44">
        <v>40.1</v>
      </c>
      <c r="L16" s="11">
        <f t="shared" si="2"/>
        <v>118.63905325443788</v>
      </c>
      <c r="M16" s="89">
        <f t="shared" si="11"/>
        <v>108.99999999999999</v>
      </c>
      <c r="N16" s="89">
        <f t="shared" si="12"/>
        <v>106.4</v>
      </c>
      <c r="O16" s="11">
        <f t="shared" si="8"/>
        <v>97.61467889908259</v>
      </c>
      <c r="P16" s="44">
        <v>16.9</v>
      </c>
      <c r="Q16" s="44">
        <v>30</v>
      </c>
      <c r="R16" s="11">
        <f t="shared" si="3"/>
        <v>177.5147928994083</v>
      </c>
      <c r="S16" s="44">
        <v>1.1</v>
      </c>
      <c r="T16" s="44">
        <v>0</v>
      </c>
      <c r="U16" s="11">
        <f t="shared" si="4"/>
        <v>0</v>
      </c>
      <c r="V16" s="44">
        <v>0.4</v>
      </c>
      <c r="W16" s="44">
        <v>56.9</v>
      </c>
      <c r="X16" s="11">
        <f t="shared" si="5"/>
        <v>14225</v>
      </c>
      <c r="Y16" s="89">
        <f t="shared" si="13"/>
        <v>18.4</v>
      </c>
      <c r="Z16" s="89">
        <f t="shared" si="14"/>
        <v>86.9</v>
      </c>
      <c r="AA16" s="11">
        <f t="shared" si="9"/>
        <v>472.28260869565224</v>
      </c>
      <c r="AB16" s="44">
        <v>3.7</v>
      </c>
      <c r="AC16" s="44">
        <v>0</v>
      </c>
      <c r="AD16" s="11">
        <f t="shared" si="6"/>
        <v>0</v>
      </c>
      <c r="AE16" s="44">
        <v>8.1</v>
      </c>
      <c r="AF16" s="44">
        <v>0</v>
      </c>
      <c r="AG16" s="11">
        <f t="shared" si="21"/>
        <v>0</v>
      </c>
      <c r="AH16" s="44">
        <v>32.3</v>
      </c>
      <c r="AI16" s="44">
        <v>8.2</v>
      </c>
      <c r="AJ16" s="89">
        <f t="shared" si="15"/>
        <v>44.099999999999994</v>
      </c>
      <c r="AK16" s="89">
        <f t="shared" si="16"/>
        <v>8.2</v>
      </c>
      <c r="AL16" s="11">
        <f t="shared" si="10"/>
        <v>18.594104308390026</v>
      </c>
      <c r="AM16" s="44">
        <v>16.3</v>
      </c>
      <c r="AN16" s="44">
        <v>0</v>
      </c>
      <c r="AO16" s="72">
        <f t="shared" si="17"/>
        <v>187.79999999999998</v>
      </c>
      <c r="AP16" s="72">
        <f t="shared" si="18"/>
        <v>201.5</v>
      </c>
      <c r="AQ16" s="11">
        <f t="shared" si="7"/>
        <v>107.29499467518637</v>
      </c>
      <c r="AR16" s="72">
        <f t="shared" si="19"/>
        <v>-13.700000000000017</v>
      </c>
      <c r="AS16" s="18">
        <f t="shared" si="20"/>
        <v>52.599999999999966</v>
      </c>
      <c r="AT16" s="19"/>
    </row>
    <row r="17" spans="1:46" ht="24.75" customHeight="1">
      <c r="A17" s="70">
        <v>10</v>
      </c>
      <c r="B17" s="74" t="s">
        <v>2</v>
      </c>
      <c r="C17" s="14">
        <f>371.4+121.7</f>
        <v>493.09999999999997</v>
      </c>
      <c r="D17" s="44">
        <f>193+63.7</f>
        <v>256.7</v>
      </c>
      <c r="E17" s="44">
        <f>198.2+121.7</f>
        <v>319.9</v>
      </c>
      <c r="F17" s="11">
        <f t="shared" si="0"/>
        <v>124.62017919750681</v>
      </c>
      <c r="G17" s="44">
        <f>145.7+62.4</f>
        <v>208.1</v>
      </c>
      <c r="H17" s="44">
        <v>236.9</v>
      </c>
      <c r="I17" s="11">
        <f t="shared" si="1"/>
        <v>113.8395002402691</v>
      </c>
      <c r="J17" s="44">
        <f>59.5+419.4</f>
        <v>478.9</v>
      </c>
      <c r="K17" s="44">
        <f>63.7+319.3</f>
        <v>383</v>
      </c>
      <c r="L17" s="11">
        <f t="shared" si="2"/>
        <v>79.97494257673836</v>
      </c>
      <c r="M17" s="89">
        <f t="shared" si="11"/>
        <v>943.6999999999999</v>
      </c>
      <c r="N17" s="89">
        <f t="shared" si="12"/>
        <v>939.8</v>
      </c>
      <c r="O17" s="11">
        <f t="shared" si="8"/>
        <v>99.58673307195085</v>
      </c>
      <c r="P17" s="44">
        <f>230.8+27.6</f>
        <v>258.40000000000003</v>
      </c>
      <c r="Q17" s="44">
        <f>384.2+0</f>
        <v>384.2</v>
      </c>
      <c r="R17" s="11">
        <f t="shared" si="3"/>
        <v>148.68421052631578</v>
      </c>
      <c r="S17" s="44">
        <f>-57.1+389.8</f>
        <v>332.7</v>
      </c>
      <c r="T17" s="44">
        <f>432.1</f>
        <v>432.1</v>
      </c>
      <c r="U17" s="11">
        <f t="shared" si="4"/>
        <v>129.87676585512475</v>
      </c>
      <c r="V17" s="44">
        <f>53.1+144.8</f>
        <v>197.9</v>
      </c>
      <c r="W17" s="44">
        <f>92.4+324.3</f>
        <v>416.70000000000005</v>
      </c>
      <c r="X17" s="11">
        <f t="shared" si="5"/>
        <v>210.56088933804955</v>
      </c>
      <c r="Y17" s="89">
        <f t="shared" si="13"/>
        <v>789</v>
      </c>
      <c r="Z17" s="89">
        <f t="shared" si="14"/>
        <v>1233</v>
      </c>
      <c r="AA17" s="11">
        <f t="shared" si="9"/>
        <v>156.27376425855513</v>
      </c>
      <c r="AB17" s="44">
        <f>24.8+163</f>
        <v>187.8</v>
      </c>
      <c r="AC17" s="44">
        <v>0</v>
      </c>
      <c r="AD17" s="11">
        <f t="shared" si="6"/>
        <v>0</v>
      </c>
      <c r="AE17" s="44">
        <f>24.5+55.4</f>
        <v>79.9</v>
      </c>
      <c r="AF17" s="44">
        <v>27.7</v>
      </c>
      <c r="AG17" s="11">
        <f t="shared" si="21"/>
        <v>34.66833541927409</v>
      </c>
      <c r="AH17" s="44">
        <f>-51+24.3</f>
        <v>-26.7</v>
      </c>
      <c r="AI17" s="44">
        <f>196.8</f>
        <v>196.8</v>
      </c>
      <c r="AJ17" s="89">
        <f t="shared" si="15"/>
        <v>241.00000000000006</v>
      </c>
      <c r="AK17" s="89">
        <f t="shared" si="16"/>
        <v>224.5</v>
      </c>
      <c r="AL17" s="11">
        <f t="shared" si="10"/>
        <v>93.15352697095433</v>
      </c>
      <c r="AM17" s="44">
        <f>-0.9+219.1+83.6</f>
        <v>301.79999999999995</v>
      </c>
      <c r="AN17" s="44">
        <f>21.9</f>
        <v>21.9</v>
      </c>
      <c r="AO17" s="72">
        <f t="shared" si="17"/>
        <v>2275.5</v>
      </c>
      <c r="AP17" s="72">
        <f t="shared" si="18"/>
        <v>2419.2000000000003</v>
      </c>
      <c r="AQ17" s="11">
        <f t="shared" si="7"/>
        <v>106.31509558338827</v>
      </c>
      <c r="AR17" s="72">
        <f t="shared" si="19"/>
        <v>-143.70000000000027</v>
      </c>
      <c r="AS17" s="18">
        <f t="shared" si="20"/>
        <v>349.39999999999964</v>
      </c>
      <c r="AT17" s="19"/>
    </row>
    <row r="18" spans="1:46" ht="24.75" customHeight="1">
      <c r="A18" s="70">
        <v>11</v>
      </c>
      <c r="B18" s="76" t="s">
        <v>68</v>
      </c>
      <c r="C18" s="14">
        <v>429.1</v>
      </c>
      <c r="D18" s="44">
        <v>171.9</v>
      </c>
      <c r="E18" s="44">
        <v>373.8</v>
      </c>
      <c r="F18" s="11">
        <f t="shared" si="0"/>
        <v>217.4520069808028</v>
      </c>
      <c r="G18" s="44">
        <v>171.5</v>
      </c>
      <c r="H18" s="44">
        <v>0</v>
      </c>
      <c r="I18" s="11">
        <f t="shared" si="1"/>
        <v>0</v>
      </c>
      <c r="J18" s="44">
        <v>173.5</v>
      </c>
      <c r="K18" s="44">
        <v>163.5</v>
      </c>
      <c r="L18" s="11">
        <f t="shared" si="2"/>
        <v>94.23631123919309</v>
      </c>
      <c r="M18" s="89">
        <f t="shared" si="11"/>
        <v>516.9</v>
      </c>
      <c r="N18" s="89">
        <f t="shared" si="12"/>
        <v>537.3</v>
      </c>
      <c r="O18" s="11">
        <f t="shared" si="8"/>
        <v>103.94660475914104</v>
      </c>
      <c r="P18" s="44">
        <v>105.8</v>
      </c>
      <c r="Q18" s="44">
        <v>514.5</v>
      </c>
      <c r="R18" s="11">
        <f t="shared" si="3"/>
        <v>486.29489603024575</v>
      </c>
      <c r="S18" s="44">
        <v>10.4</v>
      </c>
      <c r="T18" s="44">
        <v>0</v>
      </c>
      <c r="U18" s="11">
        <f t="shared" si="4"/>
        <v>0</v>
      </c>
      <c r="V18" s="44">
        <v>92.3</v>
      </c>
      <c r="W18" s="44">
        <v>0</v>
      </c>
      <c r="X18" s="11">
        <f t="shared" si="5"/>
        <v>0</v>
      </c>
      <c r="Y18" s="89">
        <f t="shared" si="13"/>
        <v>208.5</v>
      </c>
      <c r="Z18" s="89">
        <f t="shared" si="14"/>
        <v>514.5</v>
      </c>
      <c r="AA18" s="11">
        <f t="shared" si="9"/>
        <v>246.76258992805757</v>
      </c>
      <c r="AB18" s="44">
        <v>-251.9</v>
      </c>
      <c r="AC18" s="44">
        <v>0</v>
      </c>
      <c r="AD18" s="11">
        <f t="shared" si="6"/>
        <v>0</v>
      </c>
      <c r="AE18" s="44">
        <v>119.7</v>
      </c>
      <c r="AF18" s="44">
        <v>0</v>
      </c>
      <c r="AG18" s="11">
        <f t="shared" si="21"/>
        <v>0</v>
      </c>
      <c r="AH18" s="44">
        <v>83.5</v>
      </c>
      <c r="AI18" s="44">
        <v>0</v>
      </c>
      <c r="AJ18" s="89">
        <f t="shared" si="15"/>
        <v>-48.69999999999999</v>
      </c>
      <c r="AK18" s="89">
        <f t="shared" si="16"/>
        <v>0</v>
      </c>
      <c r="AL18" s="11">
        <f t="shared" si="10"/>
        <v>0</v>
      </c>
      <c r="AM18" s="44">
        <v>91.5</v>
      </c>
      <c r="AN18" s="44">
        <v>54</v>
      </c>
      <c r="AO18" s="72">
        <f t="shared" si="17"/>
        <v>768.2</v>
      </c>
      <c r="AP18" s="72">
        <f t="shared" si="18"/>
        <v>1105.8</v>
      </c>
      <c r="AQ18" s="11">
        <f t="shared" si="7"/>
        <v>143.94688883103356</v>
      </c>
      <c r="AR18" s="72">
        <f t="shared" si="19"/>
        <v>-337.5999999999999</v>
      </c>
      <c r="AS18" s="18">
        <f t="shared" si="20"/>
        <v>91.50000000000023</v>
      </c>
      <c r="AT18" s="19"/>
    </row>
    <row r="19" spans="1:46" ht="24.75" customHeight="1">
      <c r="A19" s="70">
        <v>12</v>
      </c>
      <c r="B19" s="71" t="s">
        <v>69</v>
      </c>
      <c r="C19" s="14">
        <v>726.2</v>
      </c>
      <c r="D19" s="44">
        <v>415</v>
      </c>
      <c r="E19" s="44">
        <v>157.1</v>
      </c>
      <c r="F19" s="11">
        <f t="shared" si="0"/>
        <v>37.855421686746986</v>
      </c>
      <c r="G19" s="44">
        <v>441</v>
      </c>
      <c r="H19" s="44">
        <v>0</v>
      </c>
      <c r="I19" s="75">
        <f t="shared" si="1"/>
        <v>0</v>
      </c>
      <c r="J19" s="44">
        <v>415</v>
      </c>
      <c r="K19" s="44">
        <v>0</v>
      </c>
      <c r="L19" s="75">
        <f t="shared" si="2"/>
        <v>0</v>
      </c>
      <c r="M19" s="89">
        <f t="shared" si="11"/>
        <v>1271</v>
      </c>
      <c r="N19" s="89">
        <f t="shared" si="12"/>
        <v>157.1</v>
      </c>
      <c r="O19" s="11">
        <f t="shared" si="8"/>
        <v>12.360346184107001</v>
      </c>
      <c r="P19" s="44">
        <v>212.4</v>
      </c>
      <c r="Q19" s="44">
        <v>443.8</v>
      </c>
      <c r="R19" s="140">
        <f t="shared" si="3"/>
        <v>208.94538606403015</v>
      </c>
      <c r="S19" s="44">
        <v>-603.7</v>
      </c>
      <c r="T19" s="44">
        <v>0</v>
      </c>
      <c r="U19" s="140">
        <f t="shared" si="4"/>
        <v>0</v>
      </c>
      <c r="V19" s="44">
        <v>24.6</v>
      </c>
      <c r="W19" s="44">
        <v>1634.9</v>
      </c>
      <c r="X19" s="140">
        <f t="shared" si="5"/>
        <v>6645.934959349593</v>
      </c>
      <c r="Y19" s="89">
        <f t="shared" si="13"/>
        <v>-366.70000000000005</v>
      </c>
      <c r="Z19" s="89">
        <f t="shared" si="14"/>
        <v>2078.7000000000003</v>
      </c>
      <c r="AA19" s="11">
        <f t="shared" si="9"/>
        <v>-566.8666484865012</v>
      </c>
      <c r="AB19" s="44">
        <v>136.2</v>
      </c>
      <c r="AC19" s="44">
        <v>0</v>
      </c>
      <c r="AD19" s="140">
        <f t="shared" si="6"/>
        <v>0</v>
      </c>
      <c r="AE19" s="44">
        <v>458.9</v>
      </c>
      <c r="AF19" s="44">
        <v>0</v>
      </c>
      <c r="AG19" s="141">
        <f t="shared" si="21"/>
        <v>0</v>
      </c>
      <c r="AH19" s="44">
        <v>434.5</v>
      </c>
      <c r="AI19" s="44">
        <v>0</v>
      </c>
      <c r="AJ19" s="89">
        <f t="shared" si="15"/>
        <v>1029.6</v>
      </c>
      <c r="AK19" s="89">
        <f t="shared" si="16"/>
        <v>0</v>
      </c>
      <c r="AL19" s="11">
        <f t="shared" si="10"/>
        <v>0</v>
      </c>
      <c r="AM19" s="44">
        <v>251.9</v>
      </c>
      <c r="AN19" s="44">
        <v>0</v>
      </c>
      <c r="AO19" s="72">
        <f t="shared" si="17"/>
        <v>2185.7999999999997</v>
      </c>
      <c r="AP19" s="72">
        <f t="shared" si="18"/>
        <v>2235.8</v>
      </c>
      <c r="AQ19" s="11">
        <f t="shared" si="7"/>
        <v>102.28749199377805</v>
      </c>
      <c r="AR19" s="72">
        <f t="shared" si="19"/>
        <v>-50.000000000000455</v>
      </c>
      <c r="AS19" s="18">
        <f t="shared" si="20"/>
        <v>676.1999999999998</v>
      </c>
      <c r="AT19" s="19"/>
    </row>
    <row r="20" spans="1:46" ht="24.75" customHeight="1">
      <c r="A20" s="70">
        <v>13</v>
      </c>
      <c r="B20" s="76" t="s">
        <v>70</v>
      </c>
      <c r="C20" s="14">
        <v>207.5</v>
      </c>
      <c r="D20" s="44">
        <v>119.7</v>
      </c>
      <c r="E20" s="44">
        <v>207.5</v>
      </c>
      <c r="F20" s="11">
        <f t="shared" si="0"/>
        <v>173.3500417710944</v>
      </c>
      <c r="G20" s="44">
        <v>108.7</v>
      </c>
      <c r="H20" s="44">
        <v>0</v>
      </c>
      <c r="I20" s="75">
        <f t="shared" si="1"/>
        <v>0</v>
      </c>
      <c r="J20" s="44">
        <v>106.3</v>
      </c>
      <c r="K20" s="44">
        <v>73.2</v>
      </c>
      <c r="L20" s="75">
        <f t="shared" si="2"/>
        <v>68.86171213546567</v>
      </c>
      <c r="M20" s="89">
        <f t="shared" si="11"/>
        <v>334.7</v>
      </c>
      <c r="N20" s="89">
        <f t="shared" si="12"/>
        <v>280.7</v>
      </c>
      <c r="O20" s="11">
        <f t="shared" si="8"/>
        <v>83.86614878996116</v>
      </c>
      <c r="P20" s="44">
        <v>229.3</v>
      </c>
      <c r="Q20" s="44">
        <v>259.2</v>
      </c>
      <c r="R20" s="140">
        <f t="shared" si="3"/>
        <v>113.03968600087222</v>
      </c>
      <c r="S20" s="44">
        <v>-140.3</v>
      </c>
      <c r="T20" s="44">
        <v>0.2</v>
      </c>
      <c r="U20" s="140">
        <f t="shared" si="4"/>
        <v>-0.14255167498218102</v>
      </c>
      <c r="V20" s="44">
        <v>-154.4</v>
      </c>
      <c r="W20" s="44">
        <v>56</v>
      </c>
      <c r="X20" s="140">
        <f t="shared" si="5"/>
        <v>-36.26943005181347</v>
      </c>
      <c r="Y20" s="89">
        <f t="shared" si="13"/>
        <v>-65.4</v>
      </c>
      <c r="Z20" s="89">
        <f t="shared" si="14"/>
        <v>315.4</v>
      </c>
      <c r="AA20" s="11">
        <f t="shared" si="9"/>
        <v>-482.26299694189595</v>
      </c>
      <c r="AB20" s="44">
        <v>85.3</v>
      </c>
      <c r="AC20" s="44">
        <v>-73.4</v>
      </c>
      <c r="AD20" s="140">
        <f t="shared" si="6"/>
        <v>-86.04923798358735</v>
      </c>
      <c r="AE20" s="44">
        <v>61.3</v>
      </c>
      <c r="AF20" s="44">
        <v>0</v>
      </c>
      <c r="AG20" s="11">
        <f t="shared" si="21"/>
        <v>0</v>
      </c>
      <c r="AH20" s="44">
        <v>139.6</v>
      </c>
      <c r="AI20" s="44">
        <v>0</v>
      </c>
      <c r="AJ20" s="89">
        <f t="shared" si="15"/>
        <v>286.2</v>
      </c>
      <c r="AK20" s="89">
        <f t="shared" si="16"/>
        <v>-73.4</v>
      </c>
      <c r="AL20" s="11">
        <f t="shared" si="10"/>
        <v>-25.64640111809923</v>
      </c>
      <c r="AM20" s="44">
        <v>92.4</v>
      </c>
      <c r="AN20" s="44">
        <v>0</v>
      </c>
      <c r="AO20" s="72">
        <f t="shared" si="17"/>
        <v>647.9</v>
      </c>
      <c r="AP20" s="72">
        <f t="shared" si="18"/>
        <v>522.6999999999999</v>
      </c>
      <c r="AQ20" s="11">
        <f t="shared" si="7"/>
        <v>80.67603025158203</v>
      </c>
      <c r="AR20" s="72">
        <f t="shared" si="19"/>
        <v>125.20000000000005</v>
      </c>
      <c r="AS20" s="18">
        <f t="shared" si="20"/>
        <v>332.70000000000005</v>
      </c>
      <c r="AT20" s="19"/>
    </row>
    <row r="21" spans="1:46" ht="24.75" customHeight="1">
      <c r="A21" s="70">
        <v>14</v>
      </c>
      <c r="B21" s="76" t="s">
        <v>71</v>
      </c>
      <c r="C21" s="14">
        <v>55.2</v>
      </c>
      <c r="D21" s="44">
        <v>26.4</v>
      </c>
      <c r="E21" s="44">
        <v>55.2</v>
      </c>
      <c r="F21" s="67">
        <f t="shared" si="0"/>
        <v>209.09090909090912</v>
      </c>
      <c r="G21" s="44">
        <v>25.3</v>
      </c>
      <c r="H21" s="44">
        <v>0</v>
      </c>
      <c r="I21" s="75">
        <f t="shared" si="1"/>
        <v>0</v>
      </c>
      <c r="J21" s="44">
        <v>26.2</v>
      </c>
      <c r="K21" s="44">
        <v>26.4</v>
      </c>
      <c r="L21" s="75">
        <f t="shared" si="2"/>
        <v>100.76335877862594</v>
      </c>
      <c r="M21" s="89">
        <f t="shared" si="11"/>
        <v>77.9</v>
      </c>
      <c r="N21" s="89">
        <f t="shared" si="12"/>
        <v>81.6</v>
      </c>
      <c r="O21" s="11">
        <f t="shared" si="8"/>
        <v>104.74967907573811</v>
      </c>
      <c r="P21" s="44">
        <v>17</v>
      </c>
      <c r="Q21" s="44">
        <v>25.3</v>
      </c>
      <c r="R21" s="140">
        <f t="shared" si="3"/>
        <v>148.8235294117647</v>
      </c>
      <c r="S21" s="44">
        <v>-57.9</v>
      </c>
      <c r="T21" s="44">
        <v>0</v>
      </c>
      <c r="U21" s="140">
        <f t="shared" si="4"/>
        <v>0</v>
      </c>
      <c r="V21" s="44">
        <v>1</v>
      </c>
      <c r="W21" s="44">
        <v>0</v>
      </c>
      <c r="X21" s="140">
        <f t="shared" si="5"/>
        <v>0</v>
      </c>
      <c r="Y21" s="89">
        <f t="shared" si="13"/>
        <v>-39.9</v>
      </c>
      <c r="Z21" s="89">
        <f t="shared" si="14"/>
        <v>25.3</v>
      </c>
      <c r="AA21" s="11">
        <f t="shared" si="9"/>
        <v>-63.40852130325815</v>
      </c>
      <c r="AB21" s="44">
        <v>33.3</v>
      </c>
      <c r="AC21" s="44">
        <v>0</v>
      </c>
      <c r="AD21" s="140">
        <f t="shared" si="6"/>
        <v>0</v>
      </c>
      <c r="AE21" s="44">
        <v>14.2</v>
      </c>
      <c r="AF21" s="44">
        <v>0</v>
      </c>
      <c r="AG21" s="11">
        <f t="shared" si="21"/>
        <v>0</v>
      </c>
      <c r="AH21" s="44">
        <v>26.6</v>
      </c>
      <c r="AI21" s="44">
        <v>0</v>
      </c>
      <c r="AJ21" s="89">
        <f t="shared" si="15"/>
        <v>74.1</v>
      </c>
      <c r="AK21" s="89">
        <f t="shared" si="16"/>
        <v>0</v>
      </c>
      <c r="AL21" s="11">
        <f t="shared" si="10"/>
        <v>0</v>
      </c>
      <c r="AM21" s="44">
        <v>18.9</v>
      </c>
      <c r="AN21" s="44">
        <v>62.6</v>
      </c>
      <c r="AO21" s="72">
        <f t="shared" si="17"/>
        <v>131</v>
      </c>
      <c r="AP21" s="72">
        <f t="shared" si="18"/>
        <v>169.5</v>
      </c>
      <c r="AQ21" s="11">
        <f t="shared" si="7"/>
        <v>129.38931297709922</v>
      </c>
      <c r="AR21" s="72">
        <f t="shared" si="19"/>
        <v>-38.5</v>
      </c>
      <c r="AS21" s="18">
        <f t="shared" si="20"/>
        <v>16.69999999999999</v>
      </c>
      <c r="AT21" s="19"/>
    </row>
    <row r="22" spans="1:46" ht="24.75" customHeight="1">
      <c r="A22" s="70">
        <v>15</v>
      </c>
      <c r="B22" s="76" t="s">
        <v>49</v>
      </c>
      <c r="C22" s="14">
        <v>394.3</v>
      </c>
      <c r="D22" s="44">
        <v>144</v>
      </c>
      <c r="E22" s="44">
        <v>337.9</v>
      </c>
      <c r="F22" s="67">
        <f t="shared" si="0"/>
        <v>234.65277777777777</v>
      </c>
      <c r="G22" s="44">
        <v>205.1</v>
      </c>
      <c r="H22" s="44">
        <v>6.2</v>
      </c>
      <c r="I22" s="75">
        <f t="shared" si="1"/>
        <v>3.022915650901999</v>
      </c>
      <c r="J22" s="44">
        <v>175.5</v>
      </c>
      <c r="K22" s="44">
        <v>167.2</v>
      </c>
      <c r="L22" s="75">
        <f t="shared" si="2"/>
        <v>95.27065527065527</v>
      </c>
      <c r="M22" s="89">
        <f t="shared" si="11"/>
        <v>524.6</v>
      </c>
      <c r="N22" s="89">
        <f t="shared" si="12"/>
        <v>511.29999999999995</v>
      </c>
      <c r="O22" s="11">
        <f t="shared" si="8"/>
        <v>97.46473503621806</v>
      </c>
      <c r="P22" s="44">
        <v>82.2</v>
      </c>
      <c r="Q22" s="44">
        <v>233.1</v>
      </c>
      <c r="R22" s="140">
        <f t="shared" si="3"/>
        <v>283.5766423357664</v>
      </c>
      <c r="S22" s="44">
        <v>-223.4</v>
      </c>
      <c r="T22" s="44">
        <v>0</v>
      </c>
      <c r="U22" s="140">
        <f t="shared" si="4"/>
        <v>0</v>
      </c>
      <c r="V22" s="44">
        <v>0.5</v>
      </c>
      <c r="W22" s="44">
        <v>5.3</v>
      </c>
      <c r="X22" s="140">
        <f t="shared" si="5"/>
        <v>1060</v>
      </c>
      <c r="Y22" s="89">
        <f t="shared" si="13"/>
        <v>-140.7</v>
      </c>
      <c r="Z22" s="89">
        <f t="shared" si="14"/>
        <v>238.4</v>
      </c>
      <c r="AA22" s="11">
        <f t="shared" si="9"/>
        <v>-169.43852167732766</v>
      </c>
      <c r="AB22" s="44">
        <v>1.2</v>
      </c>
      <c r="AC22" s="44">
        <v>0</v>
      </c>
      <c r="AD22" s="140">
        <f t="shared" si="6"/>
        <v>0</v>
      </c>
      <c r="AE22" s="44">
        <v>206.1</v>
      </c>
      <c r="AF22" s="44">
        <v>0</v>
      </c>
      <c r="AG22" s="142">
        <f t="shared" si="21"/>
        <v>0</v>
      </c>
      <c r="AH22" s="44">
        <v>55.7</v>
      </c>
      <c r="AI22" s="44">
        <v>234.1</v>
      </c>
      <c r="AJ22" s="89">
        <f t="shared" si="15"/>
        <v>263</v>
      </c>
      <c r="AK22" s="89">
        <f t="shared" si="16"/>
        <v>234.1</v>
      </c>
      <c r="AL22" s="11">
        <f t="shared" si="10"/>
        <v>89.01140684410646</v>
      </c>
      <c r="AM22" s="44">
        <v>46</v>
      </c>
      <c r="AN22" s="44">
        <v>0</v>
      </c>
      <c r="AO22" s="72">
        <f t="shared" si="17"/>
        <v>692.9000000000001</v>
      </c>
      <c r="AP22" s="72">
        <f t="shared" si="18"/>
        <v>983.8</v>
      </c>
      <c r="AQ22" s="11">
        <f t="shared" si="7"/>
        <v>141.98297012555923</v>
      </c>
      <c r="AR22" s="72">
        <f t="shared" si="19"/>
        <v>-290.89999999999986</v>
      </c>
      <c r="AS22" s="18">
        <f t="shared" si="20"/>
        <v>103.40000000000009</v>
      </c>
      <c r="AT22" s="19"/>
    </row>
    <row r="23" spans="1:46" ht="24.75" customHeight="1">
      <c r="A23" s="70">
        <v>16</v>
      </c>
      <c r="B23" s="76" t="s">
        <v>12</v>
      </c>
      <c r="C23" s="14">
        <v>67.3</v>
      </c>
      <c r="D23" s="44">
        <v>27.5</v>
      </c>
      <c r="E23" s="44">
        <v>58.1</v>
      </c>
      <c r="F23" s="11">
        <f t="shared" si="0"/>
        <v>211.27272727272728</v>
      </c>
      <c r="G23" s="44">
        <v>28</v>
      </c>
      <c r="H23" s="44">
        <v>0</v>
      </c>
      <c r="I23" s="11">
        <f t="shared" si="1"/>
        <v>0</v>
      </c>
      <c r="J23" s="44">
        <v>27.7</v>
      </c>
      <c r="K23" s="44">
        <v>30.3</v>
      </c>
      <c r="L23" s="11">
        <f t="shared" si="2"/>
        <v>109.38628158844766</v>
      </c>
      <c r="M23" s="89">
        <f t="shared" si="11"/>
        <v>83.2</v>
      </c>
      <c r="N23" s="89">
        <f t="shared" si="12"/>
        <v>88.4</v>
      </c>
      <c r="O23" s="11">
        <f t="shared" si="8"/>
        <v>106.25</v>
      </c>
      <c r="P23" s="44">
        <v>11.4</v>
      </c>
      <c r="Q23" s="44">
        <v>73.5</v>
      </c>
      <c r="R23" s="11">
        <f t="shared" si="3"/>
        <v>644.7368421052631</v>
      </c>
      <c r="S23" s="44">
        <v>-56.7</v>
      </c>
      <c r="T23" s="44">
        <v>1.7</v>
      </c>
      <c r="U23" s="11">
        <f t="shared" si="4"/>
        <v>-2.9982363315696645</v>
      </c>
      <c r="V23" s="44">
        <v>3.6</v>
      </c>
      <c r="W23" s="44">
        <v>0</v>
      </c>
      <c r="X23" s="11">
        <f t="shared" si="5"/>
        <v>0</v>
      </c>
      <c r="Y23" s="89">
        <f t="shared" si="13"/>
        <v>-41.7</v>
      </c>
      <c r="Z23" s="89">
        <f t="shared" si="14"/>
        <v>75.2</v>
      </c>
      <c r="AA23" s="11">
        <f t="shared" si="9"/>
        <v>-180.3357314148681</v>
      </c>
      <c r="AB23" s="44">
        <v>16.2</v>
      </c>
      <c r="AC23" s="44">
        <v>0</v>
      </c>
      <c r="AD23" s="11">
        <f t="shared" si="6"/>
        <v>0</v>
      </c>
      <c r="AE23" s="44">
        <v>8.9</v>
      </c>
      <c r="AF23" s="44">
        <v>0</v>
      </c>
      <c r="AG23" s="142">
        <f t="shared" si="21"/>
        <v>0</v>
      </c>
      <c r="AH23" s="44">
        <v>7.9</v>
      </c>
      <c r="AI23" s="44">
        <v>0</v>
      </c>
      <c r="AJ23" s="89">
        <f t="shared" si="15"/>
        <v>33</v>
      </c>
      <c r="AK23" s="89">
        <f t="shared" si="16"/>
        <v>0</v>
      </c>
      <c r="AL23" s="11">
        <f t="shared" si="10"/>
        <v>0</v>
      </c>
      <c r="AM23" s="44">
        <v>19.7</v>
      </c>
      <c r="AN23" s="44">
        <v>0</v>
      </c>
      <c r="AO23" s="72">
        <f t="shared" si="17"/>
        <v>94.2</v>
      </c>
      <c r="AP23" s="72">
        <f t="shared" si="18"/>
        <v>163.60000000000002</v>
      </c>
      <c r="AQ23" s="11">
        <f t="shared" si="7"/>
        <v>173.6730360934183</v>
      </c>
      <c r="AR23" s="72">
        <f t="shared" si="19"/>
        <v>-69.40000000000002</v>
      </c>
      <c r="AS23" s="18">
        <f t="shared" si="20"/>
        <v>-2.1000000000000227</v>
      </c>
      <c r="AT23" s="19"/>
    </row>
    <row r="24" spans="1:46" ht="24.75" customHeight="1">
      <c r="A24" s="70">
        <v>17</v>
      </c>
      <c r="B24" s="76" t="s">
        <v>48</v>
      </c>
      <c r="C24" s="14">
        <v>2297.9</v>
      </c>
      <c r="D24" s="44">
        <v>1089.5</v>
      </c>
      <c r="E24" s="44">
        <v>1984.8</v>
      </c>
      <c r="F24" s="11">
        <f t="shared" si="0"/>
        <v>182.17530977512618</v>
      </c>
      <c r="G24" s="44">
        <v>1076.8</v>
      </c>
      <c r="H24" s="44">
        <v>0</v>
      </c>
      <c r="I24" s="11">
        <f t="shared" si="1"/>
        <v>0</v>
      </c>
      <c r="J24" s="44">
        <v>1090</v>
      </c>
      <c r="K24" s="44">
        <v>1274.8</v>
      </c>
      <c r="L24" s="11">
        <f t="shared" si="2"/>
        <v>116.95412844036697</v>
      </c>
      <c r="M24" s="89">
        <f t="shared" si="11"/>
        <v>3256.3</v>
      </c>
      <c r="N24" s="89">
        <f t="shared" si="12"/>
        <v>3259.6</v>
      </c>
      <c r="O24" s="11">
        <f t="shared" si="8"/>
        <v>100.10134201394219</v>
      </c>
      <c r="P24" s="44">
        <v>617.3</v>
      </c>
      <c r="Q24" s="44">
        <v>378.6</v>
      </c>
      <c r="R24" s="11">
        <f t="shared" si="3"/>
        <v>61.33160537826018</v>
      </c>
      <c r="S24" s="44">
        <v>-1785.6</v>
      </c>
      <c r="T24" s="44">
        <v>0</v>
      </c>
      <c r="U24" s="11">
        <f t="shared" si="4"/>
        <v>0</v>
      </c>
      <c r="V24" s="44">
        <v>294</v>
      </c>
      <c r="W24" s="44">
        <v>400</v>
      </c>
      <c r="X24" s="11">
        <f t="shared" si="5"/>
        <v>136.05442176870747</v>
      </c>
      <c r="Y24" s="89">
        <f t="shared" si="13"/>
        <v>-874.3</v>
      </c>
      <c r="Z24" s="89">
        <f t="shared" si="14"/>
        <v>778.6</v>
      </c>
      <c r="AA24" s="11">
        <f t="shared" si="9"/>
        <v>-89.0541004231957</v>
      </c>
      <c r="AB24" s="44">
        <v>753.3</v>
      </c>
      <c r="AC24" s="44">
        <v>0</v>
      </c>
      <c r="AD24" s="11">
        <f t="shared" si="6"/>
        <v>0</v>
      </c>
      <c r="AE24" s="44">
        <v>758.9</v>
      </c>
      <c r="AF24" s="44">
        <v>641.9</v>
      </c>
      <c r="AG24" s="142">
        <f t="shared" si="21"/>
        <v>84.58294900513901</v>
      </c>
      <c r="AH24" s="44">
        <v>490.1</v>
      </c>
      <c r="AI24" s="44">
        <v>1307.5</v>
      </c>
      <c r="AJ24" s="89">
        <f t="shared" si="15"/>
        <v>2002.2999999999997</v>
      </c>
      <c r="AK24" s="89">
        <f t="shared" si="16"/>
        <v>1949.4</v>
      </c>
      <c r="AL24" s="11">
        <f t="shared" si="10"/>
        <v>97.35803825600561</v>
      </c>
      <c r="AM24" s="44">
        <v>648.9</v>
      </c>
      <c r="AN24" s="44">
        <v>244.3</v>
      </c>
      <c r="AO24" s="72">
        <f t="shared" si="17"/>
        <v>5033.199999999999</v>
      </c>
      <c r="AP24" s="72">
        <f t="shared" si="18"/>
        <v>6231.900000000001</v>
      </c>
      <c r="AQ24" s="11">
        <f t="shared" si="7"/>
        <v>123.8158626718589</v>
      </c>
      <c r="AR24" s="72">
        <f t="shared" si="19"/>
        <v>-1198.7000000000016</v>
      </c>
      <c r="AS24" s="18">
        <f t="shared" si="20"/>
        <v>1099.199999999998</v>
      </c>
      <c r="AT24" s="19"/>
    </row>
    <row r="25" spans="1:46" ht="24.75" customHeight="1">
      <c r="A25" s="70">
        <v>18</v>
      </c>
      <c r="B25" s="71" t="s">
        <v>51</v>
      </c>
      <c r="C25" s="14">
        <v>480.1</v>
      </c>
      <c r="D25" s="44">
        <v>242</v>
      </c>
      <c r="E25" s="44">
        <v>389.2</v>
      </c>
      <c r="F25" s="11">
        <f t="shared" si="0"/>
        <v>160.82644628099175</v>
      </c>
      <c r="G25" s="44">
        <v>272.7</v>
      </c>
      <c r="H25" s="44">
        <v>0</v>
      </c>
      <c r="I25" s="11">
        <f t="shared" si="1"/>
        <v>0</v>
      </c>
      <c r="J25" s="44">
        <v>273.4</v>
      </c>
      <c r="K25" s="44">
        <v>255.8</v>
      </c>
      <c r="L25" s="11">
        <f t="shared" si="2"/>
        <v>93.56254572055597</v>
      </c>
      <c r="M25" s="89">
        <f t="shared" si="11"/>
        <v>788.1</v>
      </c>
      <c r="N25" s="89">
        <f t="shared" si="12"/>
        <v>645</v>
      </c>
      <c r="O25" s="11">
        <f t="shared" si="8"/>
        <v>81.84240578606776</v>
      </c>
      <c r="P25" s="44">
        <v>158.7</v>
      </c>
      <c r="Q25" s="44">
        <v>40</v>
      </c>
      <c r="R25" s="11">
        <f t="shared" si="3"/>
        <v>25.204788909892883</v>
      </c>
      <c r="S25" s="44">
        <v>-601</v>
      </c>
      <c r="T25" s="44">
        <v>0</v>
      </c>
      <c r="U25" s="11">
        <f t="shared" si="4"/>
        <v>0</v>
      </c>
      <c r="V25" s="44">
        <v>209.9</v>
      </c>
      <c r="W25" s="44">
        <v>141</v>
      </c>
      <c r="X25" s="11">
        <f t="shared" si="5"/>
        <v>67.17484516436399</v>
      </c>
      <c r="Y25" s="89">
        <f t="shared" si="13"/>
        <v>-232.4</v>
      </c>
      <c r="Z25" s="89">
        <f t="shared" si="14"/>
        <v>181</v>
      </c>
      <c r="AA25" s="11">
        <f t="shared" si="9"/>
        <v>-77.8829604130809</v>
      </c>
      <c r="AB25" s="44">
        <v>109.6</v>
      </c>
      <c r="AC25" s="44">
        <v>5.1</v>
      </c>
      <c r="AD25" s="11">
        <f t="shared" si="6"/>
        <v>4.653284671532846</v>
      </c>
      <c r="AE25" s="44">
        <v>132</v>
      </c>
      <c r="AF25" s="44">
        <v>231.6</v>
      </c>
      <c r="AG25" s="11">
        <f>AF25/AE25*100</f>
        <v>175.45454545454544</v>
      </c>
      <c r="AH25" s="44">
        <v>114.4</v>
      </c>
      <c r="AI25" s="44">
        <v>184.1</v>
      </c>
      <c r="AJ25" s="89">
        <f t="shared" si="15"/>
        <v>356</v>
      </c>
      <c r="AK25" s="89">
        <f t="shared" si="16"/>
        <v>420.79999999999995</v>
      </c>
      <c r="AL25" s="11">
        <f t="shared" si="10"/>
        <v>118.20224719101122</v>
      </c>
      <c r="AM25" s="44">
        <v>166.5</v>
      </c>
      <c r="AN25" s="44">
        <v>32.7</v>
      </c>
      <c r="AO25" s="72">
        <f t="shared" si="17"/>
        <v>1078.2</v>
      </c>
      <c r="AP25" s="72">
        <f t="shared" si="18"/>
        <v>1279.5</v>
      </c>
      <c r="AQ25" s="11">
        <f t="shared" si="7"/>
        <v>118.67000556483028</v>
      </c>
      <c r="AR25" s="72">
        <f t="shared" si="19"/>
        <v>-201.29999999999995</v>
      </c>
      <c r="AS25" s="18">
        <f t="shared" si="20"/>
        <v>278.8000000000002</v>
      </c>
      <c r="AT25" s="19"/>
    </row>
    <row r="26" spans="1:46" ht="24.75" customHeight="1">
      <c r="A26" s="70">
        <v>19</v>
      </c>
      <c r="B26" s="76" t="s">
        <v>72</v>
      </c>
      <c r="C26" s="14">
        <v>30.2</v>
      </c>
      <c r="D26" s="44">
        <v>11.6</v>
      </c>
      <c r="E26" s="44">
        <v>0</v>
      </c>
      <c r="F26" s="11">
        <f t="shared" si="0"/>
        <v>0</v>
      </c>
      <c r="G26" s="44">
        <v>11.8</v>
      </c>
      <c r="H26" s="44">
        <v>30.2</v>
      </c>
      <c r="I26" s="11">
        <f t="shared" si="1"/>
        <v>255.9322033898305</v>
      </c>
      <c r="J26" s="44">
        <v>11.8</v>
      </c>
      <c r="K26" s="44">
        <v>4.2</v>
      </c>
      <c r="L26" s="11">
        <f t="shared" si="2"/>
        <v>35.59322033898305</v>
      </c>
      <c r="M26" s="89">
        <f t="shared" si="11"/>
        <v>35.2</v>
      </c>
      <c r="N26" s="89">
        <f t="shared" si="12"/>
        <v>34.4</v>
      </c>
      <c r="O26" s="11">
        <f t="shared" si="8"/>
        <v>97.72727272727272</v>
      </c>
      <c r="P26" s="44">
        <v>5.8</v>
      </c>
      <c r="Q26" s="44">
        <v>30.9</v>
      </c>
      <c r="R26" s="11">
        <f t="shared" si="3"/>
        <v>532.7586206896551</v>
      </c>
      <c r="S26" s="44">
        <v>0.3</v>
      </c>
      <c r="T26" s="44">
        <v>0</v>
      </c>
      <c r="U26" s="11">
        <f t="shared" si="4"/>
        <v>0</v>
      </c>
      <c r="V26" s="44">
        <v>-23.1</v>
      </c>
      <c r="W26" s="44">
        <v>0</v>
      </c>
      <c r="X26" s="11">
        <f t="shared" si="5"/>
        <v>0</v>
      </c>
      <c r="Y26" s="89">
        <f t="shared" si="13"/>
        <v>-17</v>
      </c>
      <c r="Z26" s="89">
        <f t="shared" si="14"/>
        <v>30.9</v>
      </c>
      <c r="AA26" s="11">
        <f t="shared" si="9"/>
        <v>-181.76470588235293</v>
      </c>
      <c r="AB26" s="44">
        <v>8.8</v>
      </c>
      <c r="AC26" s="44">
        <v>0</v>
      </c>
      <c r="AD26" s="11">
        <f t="shared" si="6"/>
        <v>0</v>
      </c>
      <c r="AE26" s="44">
        <v>7</v>
      </c>
      <c r="AF26" s="44">
        <v>0</v>
      </c>
      <c r="AG26" s="11">
        <f>AF26/AE26*100</f>
        <v>0</v>
      </c>
      <c r="AH26" s="44">
        <v>4.7</v>
      </c>
      <c r="AI26" s="44">
        <v>0</v>
      </c>
      <c r="AJ26" s="89">
        <f t="shared" si="15"/>
        <v>20.5</v>
      </c>
      <c r="AK26" s="89">
        <f t="shared" si="16"/>
        <v>0</v>
      </c>
      <c r="AL26" s="11">
        <f t="shared" si="10"/>
        <v>0</v>
      </c>
      <c r="AM26" s="44">
        <v>1.3</v>
      </c>
      <c r="AN26" s="44">
        <v>0</v>
      </c>
      <c r="AO26" s="72">
        <f t="shared" si="17"/>
        <v>40</v>
      </c>
      <c r="AP26" s="72">
        <f t="shared" si="18"/>
        <v>65.3</v>
      </c>
      <c r="AQ26" s="11">
        <f t="shared" si="7"/>
        <v>163.24999999999997</v>
      </c>
      <c r="AR26" s="72">
        <f t="shared" si="19"/>
        <v>-25.299999999999997</v>
      </c>
      <c r="AS26" s="18">
        <f t="shared" si="20"/>
        <v>4.900000000000006</v>
      </c>
      <c r="AT26" s="19"/>
    </row>
    <row r="27" spans="1:46" ht="24.75" customHeight="1">
      <c r="A27" s="70">
        <v>20</v>
      </c>
      <c r="B27" s="76" t="s">
        <v>73</v>
      </c>
      <c r="C27" s="14">
        <v>1147.2</v>
      </c>
      <c r="D27" s="44">
        <v>531.9</v>
      </c>
      <c r="E27" s="44">
        <v>1147.3</v>
      </c>
      <c r="F27" s="11">
        <f t="shared" si="0"/>
        <v>215.69843955630756</v>
      </c>
      <c r="G27" s="44">
        <v>545.7</v>
      </c>
      <c r="H27" s="44">
        <v>0</v>
      </c>
      <c r="I27" s="11">
        <f t="shared" si="1"/>
        <v>0</v>
      </c>
      <c r="J27" s="44">
        <v>982.3</v>
      </c>
      <c r="K27" s="44">
        <v>531.9</v>
      </c>
      <c r="L27" s="11">
        <f t="shared" si="2"/>
        <v>54.14842716074519</v>
      </c>
      <c r="M27" s="89">
        <f t="shared" si="11"/>
        <v>2059.8999999999996</v>
      </c>
      <c r="N27" s="89">
        <f t="shared" si="12"/>
        <v>1679.1999999999998</v>
      </c>
      <c r="O27" s="11">
        <f t="shared" si="8"/>
        <v>81.51852031652022</v>
      </c>
      <c r="P27" s="44">
        <v>514.5</v>
      </c>
      <c r="Q27" s="44">
        <v>0</v>
      </c>
      <c r="R27" s="11">
        <f t="shared" si="3"/>
        <v>0</v>
      </c>
      <c r="S27" s="44">
        <v>-1486.4</v>
      </c>
      <c r="T27" s="44">
        <v>545.7</v>
      </c>
      <c r="U27" s="11">
        <f t="shared" si="4"/>
        <v>-36.71286329386437</v>
      </c>
      <c r="V27" s="44">
        <v>77.2</v>
      </c>
      <c r="W27" s="44">
        <v>10.3</v>
      </c>
      <c r="X27" s="11">
        <f t="shared" si="5"/>
        <v>13.341968911917098</v>
      </c>
      <c r="Y27" s="89">
        <f t="shared" si="13"/>
        <v>-894.7</v>
      </c>
      <c r="Z27" s="89">
        <f t="shared" si="14"/>
        <v>556</v>
      </c>
      <c r="AA27" s="11">
        <f t="shared" si="9"/>
        <v>-62.143735330278304</v>
      </c>
      <c r="AB27" s="44">
        <v>627.6</v>
      </c>
      <c r="AC27" s="44">
        <v>0</v>
      </c>
      <c r="AD27" s="11">
        <f t="shared" si="6"/>
        <v>0</v>
      </c>
      <c r="AE27" s="44">
        <v>759.6</v>
      </c>
      <c r="AF27" s="44">
        <v>31.2</v>
      </c>
      <c r="AG27" s="11">
        <f>AF27/AE27*100</f>
        <v>4.107424960505529</v>
      </c>
      <c r="AH27" s="44">
        <v>540.7</v>
      </c>
      <c r="AI27" s="44">
        <v>1167.3</v>
      </c>
      <c r="AJ27" s="89">
        <f t="shared" si="15"/>
        <v>1927.9</v>
      </c>
      <c r="AK27" s="89">
        <f t="shared" si="16"/>
        <v>1198.5</v>
      </c>
      <c r="AL27" s="11">
        <f t="shared" si="10"/>
        <v>62.166087452668705</v>
      </c>
      <c r="AM27" s="44">
        <v>470.4</v>
      </c>
      <c r="AN27" s="44">
        <v>320.6</v>
      </c>
      <c r="AO27" s="72">
        <f t="shared" si="17"/>
        <v>3563.4999999999995</v>
      </c>
      <c r="AP27" s="72">
        <f t="shared" si="18"/>
        <v>3754.2999999999997</v>
      </c>
      <c r="AQ27" s="11">
        <f t="shared" si="7"/>
        <v>105.35428651606567</v>
      </c>
      <c r="AR27" s="72">
        <f t="shared" si="19"/>
        <v>-190.80000000000018</v>
      </c>
      <c r="AS27" s="18">
        <f t="shared" si="20"/>
        <v>956.4000000000001</v>
      </c>
      <c r="AT27" s="19"/>
    </row>
    <row r="28" spans="1:46" ht="24.75" customHeight="1">
      <c r="A28" s="70">
        <v>21</v>
      </c>
      <c r="B28" s="71" t="s">
        <v>74</v>
      </c>
      <c r="C28" s="14">
        <v>309</v>
      </c>
      <c r="D28" s="44">
        <v>89.8</v>
      </c>
      <c r="E28" s="44">
        <v>88</v>
      </c>
      <c r="F28" s="11">
        <f t="shared" si="0"/>
        <v>97.9955456570156</v>
      </c>
      <c r="G28" s="44">
        <v>137</v>
      </c>
      <c r="H28" s="44">
        <v>0</v>
      </c>
      <c r="I28" s="11">
        <f t="shared" si="1"/>
        <v>0</v>
      </c>
      <c r="J28" s="44">
        <v>100</v>
      </c>
      <c r="K28" s="44">
        <v>277.8</v>
      </c>
      <c r="L28" s="11">
        <f t="shared" si="2"/>
        <v>277.8</v>
      </c>
      <c r="M28" s="89">
        <f t="shared" si="11"/>
        <v>326.8</v>
      </c>
      <c r="N28" s="89">
        <f t="shared" si="12"/>
        <v>365.8</v>
      </c>
      <c r="O28" s="11">
        <f t="shared" si="8"/>
        <v>111.93390452876378</v>
      </c>
      <c r="P28" s="44">
        <v>68.2</v>
      </c>
      <c r="Q28" s="44">
        <v>93.2</v>
      </c>
      <c r="R28" s="11">
        <f t="shared" si="3"/>
        <v>136.65689149560117</v>
      </c>
      <c r="S28" s="143">
        <v>1.8</v>
      </c>
      <c r="T28" s="44">
        <v>245.4</v>
      </c>
      <c r="U28" s="11">
        <f t="shared" si="4"/>
        <v>13633.333333333334</v>
      </c>
      <c r="V28" s="143">
        <v>1.8</v>
      </c>
      <c r="W28" s="44">
        <v>0</v>
      </c>
      <c r="X28" s="11">
        <f t="shared" si="5"/>
        <v>0</v>
      </c>
      <c r="Y28" s="89">
        <f t="shared" si="13"/>
        <v>71.8</v>
      </c>
      <c r="Z28" s="89">
        <f t="shared" si="14"/>
        <v>338.6</v>
      </c>
      <c r="AA28" s="11">
        <f t="shared" si="9"/>
        <v>471.5877437325906</v>
      </c>
      <c r="AB28" s="143">
        <v>-175.4</v>
      </c>
      <c r="AC28" s="44">
        <v>0</v>
      </c>
      <c r="AD28" s="11">
        <f t="shared" si="6"/>
        <v>0</v>
      </c>
      <c r="AE28" s="44">
        <v>79.5</v>
      </c>
      <c r="AF28" s="99">
        <v>0</v>
      </c>
      <c r="AG28" s="94">
        <f>AF28/AE28*100</f>
        <v>0</v>
      </c>
      <c r="AH28" s="44"/>
      <c r="AI28" s="99"/>
      <c r="AJ28" s="89">
        <f t="shared" si="15"/>
        <v>-95.9</v>
      </c>
      <c r="AK28" s="89">
        <f t="shared" si="16"/>
        <v>0</v>
      </c>
      <c r="AL28" s="11">
        <f t="shared" si="10"/>
        <v>0</v>
      </c>
      <c r="AM28" s="44">
        <v>100.3</v>
      </c>
      <c r="AN28" s="99">
        <v>0</v>
      </c>
      <c r="AO28" s="72">
        <f t="shared" si="17"/>
        <v>403.00000000000006</v>
      </c>
      <c r="AP28" s="72">
        <f t="shared" si="18"/>
        <v>704.4000000000001</v>
      </c>
      <c r="AQ28" s="11">
        <f t="shared" si="7"/>
        <v>174.78908188585606</v>
      </c>
      <c r="AR28" s="72">
        <f t="shared" si="19"/>
        <v>-301.40000000000003</v>
      </c>
      <c r="AS28" s="18">
        <f t="shared" si="20"/>
        <v>7.599999999999909</v>
      </c>
      <c r="AT28" s="19"/>
    </row>
    <row r="29" spans="1:46" ht="24.75" customHeight="1">
      <c r="A29" s="70">
        <v>22</v>
      </c>
      <c r="B29" s="71" t="s">
        <v>3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72">
        <f t="shared" si="17"/>
        <v>0</v>
      </c>
      <c r="AP29" s="72">
        <f t="shared" si="18"/>
        <v>0</v>
      </c>
      <c r="AQ29" s="77"/>
      <c r="AR29" s="77"/>
      <c r="AS29" s="77"/>
      <c r="AT29" s="19"/>
    </row>
    <row r="30" spans="1:46" ht="26.25" customHeight="1">
      <c r="A30" s="70">
        <v>23</v>
      </c>
      <c r="B30" s="76" t="s">
        <v>47</v>
      </c>
      <c r="C30" s="14">
        <v>226.6</v>
      </c>
      <c r="D30" s="44">
        <v>90</v>
      </c>
      <c r="E30" s="44">
        <v>187.2</v>
      </c>
      <c r="F30" s="11">
        <f t="shared" si="0"/>
        <v>208</v>
      </c>
      <c r="G30" s="44">
        <v>90</v>
      </c>
      <c r="H30" s="44">
        <v>0</v>
      </c>
      <c r="I30" s="75">
        <f t="shared" si="1"/>
        <v>0</v>
      </c>
      <c r="J30" s="44">
        <v>90.1</v>
      </c>
      <c r="K30" s="44">
        <v>108.1</v>
      </c>
      <c r="L30" s="75">
        <f aca="true" t="shared" si="22" ref="L30:L43">K30/J30*100</f>
        <v>119.97780244173141</v>
      </c>
      <c r="M30" s="89">
        <f t="shared" si="11"/>
        <v>270.1</v>
      </c>
      <c r="N30" s="89">
        <f t="shared" si="12"/>
        <v>295.29999999999995</v>
      </c>
      <c r="O30" s="11">
        <f t="shared" si="8"/>
        <v>109.32987782302848</v>
      </c>
      <c r="P30" s="44">
        <v>51.4</v>
      </c>
      <c r="Q30" s="44">
        <v>111.3</v>
      </c>
      <c r="R30" s="140">
        <f aca="true" t="shared" si="23" ref="R30:R43">Q30/P30*100</f>
        <v>216.53696498054472</v>
      </c>
      <c r="S30" s="44">
        <v>-109.2</v>
      </c>
      <c r="T30" s="44">
        <v>0</v>
      </c>
      <c r="U30" s="140">
        <f aca="true" t="shared" si="24" ref="U30:U43">T30/S30*100</f>
        <v>0</v>
      </c>
      <c r="V30" s="44">
        <v>15.4</v>
      </c>
      <c r="W30" s="44">
        <v>0</v>
      </c>
      <c r="X30" s="140">
        <f aca="true" t="shared" si="25" ref="X30:X43">W30/V30*100</f>
        <v>0</v>
      </c>
      <c r="Y30" s="89">
        <f aca="true" t="shared" si="26" ref="Y30:Y40">P30+S30+V30</f>
        <v>-42.400000000000006</v>
      </c>
      <c r="Z30" s="89">
        <f aca="true" t="shared" si="27" ref="Z30:Z40">Q30+T30+W30</f>
        <v>111.3</v>
      </c>
      <c r="AA30" s="11">
        <f aca="true" t="shared" si="28" ref="AA30:AA43">Z30/Y30*100</f>
        <v>-262.49999999999994</v>
      </c>
      <c r="AB30" s="44">
        <v>86</v>
      </c>
      <c r="AC30" s="44">
        <v>0</v>
      </c>
      <c r="AD30" s="140">
        <f aca="true" t="shared" si="29" ref="AD30:AD43">AC30/AB30*100</f>
        <v>0</v>
      </c>
      <c r="AE30" s="44">
        <v>42.9</v>
      </c>
      <c r="AF30" s="44">
        <v>54.3</v>
      </c>
      <c r="AG30" s="141">
        <f aca="true" t="shared" si="30" ref="AG30:AG41">AF30/AE30*100</f>
        <v>126.57342657342656</v>
      </c>
      <c r="AH30" s="44">
        <v>45.6</v>
      </c>
      <c r="AI30" s="44">
        <v>110.1</v>
      </c>
      <c r="AJ30" s="89">
        <f t="shared" si="15"/>
        <v>174.5</v>
      </c>
      <c r="AK30" s="89">
        <f t="shared" si="16"/>
        <v>164.39999999999998</v>
      </c>
      <c r="AL30" s="11">
        <f aca="true" t="shared" si="31" ref="AL30:AL43">AK30/AJ30*100</f>
        <v>94.21203438395415</v>
      </c>
      <c r="AM30" s="44">
        <v>63.7</v>
      </c>
      <c r="AN30" s="44">
        <v>19.2</v>
      </c>
      <c r="AO30" s="72">
        <f t="shared" si="17"/>
        <v>465.90000000000003</v>
      </c>
      <c r="AP30" s="72">
        <f t="shared" si="18"/>
        <v>590.2</v>
      </c>
      <c r="AQ30" s="11">
        <f t="shared" si="7"/>
        <v>126.67954496673106</v>
      </c>
      <c r="AR30" s="72">
        <f t="shared" si="19"/>
        <v>-124.30000000000001</v>
      </c>
      <c r="AS30" s="18">
        <f t="shared" si="20"/>
        <v>102.29999999999995</v>
      </c>
      <c r="AT30" s="19"/>
    </row>
    <row r="31" spans="1:46" ht="24.75" customHeight="1">
      <c r="A31" s="70">
        <v>24</v>
      </c>
      <c r="B31" s="76" t="s">
        <v>4</v>
      </c>
      <c r="C31" s="14">
        <v>353</v>
      </c>
      <c r="D31" s="44">
        <v>165.5</v>
      </c>
      <c r="E31" s="44">
        <v>308.1</v>
      </c>
      <c r="F31" s="11">
        <f t="shared" si="0"/>
        <v>186.1631419939577</v>
      </c>
      <c r="G31" s="44">
        <v>159.2</v>
      </c>
      <c r="H31" s="44">
        <v>0</v>
      </c>
      <c r="I31" s="11">
        <f t="shared" si="1"/>
        <v>0</v>
      </c>
      <c r="J31" s="44">
        <v>164.7</v>
      </c>
      <c r="K31" s="44">
        <v>193.1</v>
      </c>
      <c r="L31" s="11">
        <f t="shared" si="22"/>
        <v>117.2434729811779</v>
      </c>
      <c r="M31" s="89">
        <f t="shared" si="11"/>
        <v>489.4</v>
      </c>
      <c r="N31" s="89">
        <f t="shared" si="12"/>
        <v>501.20000000000005</v>
      </c>
      <c r="O31" s="11">
        <f t="shared" si="8"/>
        <v>102.41111565181858</v>
      </c>
      <c r="P31" s="44">
        <v>85.3</v>
      </c>
      <c r="Q31" s="44">
        <v>175.6</v>
      </c>
      <c r="R31" s="11">
        <f t="shared" si="23"/>
        <v>205.86166471277843</v>
      </c>
      <c r="S31" s="44">
        <v>23.3</v>
      </c>
      <c r="T31" s="44">
        <v>70.1</v>
      </c>
      <c r="U31" s="11">
        <f t="shared" si="24"/>
        <v>300.85836909871244</v>
      </c>
      <c r="V31" s="44">
        <v>-204.5</v>
      </c>
      <c r="W31" s="44">
        <v>204.1</v>
      </c>
      <c r="X31" s="11">
        <f t="shared" si="25"/>
        <v>-99.80440097799512</v>
      </c>
      <c r="Y31" s="89">
        <f t="shared" si="26"/>
        <v>-95.9</v>
      </c>
      <c r="Z31" s="89">
        <f t="shared" si="27"/>
        <v>449.79999999999995</v>
      </c>
      <c r="AA31" s="11">
        <f t="shared" si="28"/>
        <v>-469.03023983315944</v>
      </c>
      <c r="AB31" s="44">
        <v>96.3</v>
      </c>
      <c r="AC31" s="44">
        <v>0</v>
      </c>
      <c r="AD31" s="11">
        <f t="shared" si="29"/>
        <v>0</v>
      </c>
      <c r="AE31" s="44">
        <v>82.4</v>
      </c>
      <c r="AF31" s="44">
        <v>0</v>
      </c>
      <c r="AG31" s="141">
        <f t="shared" si="30"/>
        <v>0</v>
      </c>
      <c r="AH31" s="44">
        <v>193.7</v>
      </c>
      <c r="AI31" s="44">
        <v>0</v>
      </c>
      <c r="AJ31" s="89">
        <f t="shared" si="15"/>
        <v>372.4</v>
      </c>
      <c r="AK31" s="89">
        <f t="shared" si="16"/>
        <v>0</v>
      </c>
      <c r="AL31" s="11">
        <f t="shared" si="31"/>
        <v>0</v>
      </c>
      <c r="AM31" s="44">
        <v>149.6</v>
      </c>
      <c r="AN31" s="44">
        <v>56.5</v>
      </c>
      <c r="AO31" s="72">
        <f t="shared" si="17"/>
        <v>915.5</v>
      </c>
      <c r="AP31" s="72">
        <f t="shared" si="18"/>
        <v>1007.5</v>
      </c>
      <c r="AQ31" s="11">
        <f t="shared" si="7"/>
        <v>110.04915346805024</v>
      </c>
      <c r="AR31" s="72">
        <f t="shared" si="19"/>
        <v>-92</v>
      </c>
      <c r="AS31" s="18">
        <f t="shared" si="20"/>
        <v>261</v>
      </c>
      <c r="AT31" s="19"/>
    </row>
    <row r="32" spans="1:46" ht="24.75" customHeight="1">
      <c r="A32" s="70">
        <v>25</v>
      </c>
      <c r="B32" s="76" t="s">
        <v>5</v>
      </c>
      <c r="C32" s="14">
        <v>619.6</v>
      </c>
      <c r="D32" s="44">
        <v>629.3</v>
      </c>
      <c r="E32" s="44">
        <v>619.6</v>
      </c>
      <c r="F32" s="11">
        <f>E32/D32*100</f>
        <v>98.458604798983</v>
      </c>
      <c r="G32" s="44">
        <v>791.8</v>
      </c>
      <c r="H32" s="44">
        <v>0</v>
      </c>
      <c r="I32" s="11">
        <f t="shared" si="1"/>
        <v>0</v>
      </c>
      <c r="J32" s="44">
        <v>724.6</v>
      </c>
      <c r="K32" s="44">
        <v>1421.1</v>
      </c>
      <c r="L32" s="11">
        <f t="shared" si="22"/>
        <v>196.12199834391387</v>
      </c>
      <c r="M32" s="89">
        <f t="shared" si="11"/>
        <v>2145.7</v>
      </c>
      <c r="N32" s="89">
        <f t="shared" si="12"/>
        <v>2040.6999999999998</v>
      </c>
      <c r="O32" s="11">
        <f t="shared" si="8"/>
        <v>95.10649205387519</v>
      </c>
      <c r="P32" s="44">
        <v>313.9</v>
      </c>
      <c r="Q32" s="44">
        <v>0</v>
      </c>
      <c r="R32" s="11">
        <f t="shared" si="23"/>
        <v>0</v>
      </c>
      <c r="S32" s="44">
        <v>-682</v>
      </c>
      <c r="T32" s="44">
        <v>0</v>
      </c>
      <c r="U32" s="11">
        <f t="shared" si="24"/>
        <v>0</v>
      </c>
      <c r="V32" s="44">
        <v>6.6</v>
      </c>
      <c r="W32" s="44">
        <v>724.6</v>
      </c>
      <c r="X32" s="11">
        <f t="shared" si="25"/>
        <v>10978.78787878788</v>
      </c>
      <c r="Y32" s="89">
        <f t="shared" si="26"/>
        <v>-361.5</v>
      </c>
      <c r="Z32" s="89">
        <f t="shared" si="27"/>
        <v>724.6</v>
      </c>
      <c r="AA32" s="11">
        <f t="shared" si="28"/>
        <v>-200.44260027662517</v>
      </c>
      <c r="AB32" s="44">
        <v>330</v>
      </c>
      <c r="AC32" s="44">
        <v>0</v>
      </c>
      <c r="AD32" s="11">
        <f t="shared" si="29"/>
        <v>0</v>
      </c>
      <c r="AE32" s="44">
        <v>422.4</v>
      </c>
      <c r="AF32" s="44">
        <v>0</v>
      </c>
      <c r="AG32" s="11">
        <f t="shared" si="30"/>
        <v>0</v>
      </c>
      <c r="AH32" s="44">
        <v>110.2</v>
      </c>
      <c r="AI32" s="44">
        <v>0</v>
      </c>
      <c r="AJ32" s="89">
        <f t="shared" si="15"/>
        <v>862.6</v>
      </c>
      <c r="AK32" s="89">
        <f t="shared" si="16"/>
        <v>0</v>
      </c>
      <c r="AL32" s="11">
        <f t="shared" si="31"/>
        <v>0</v>
      </c>
      <c r="AM32" s="44">
        <v>278.9</v>
      </c>
      <c r="AN32" s="44">
        <v>501.1</v>
      </c>
      <c r="AO32" s="72">
        <f t="shared" si="17"/>
        <v>2925.7</v>
      </c>
      <c r="AP32" s="72">
        <f t="shared" si="18"/>
        <v>3266.3999999999996</v>
      </c>
      <c r="AQ32" s="11">
        <f t="shared" si="7"/>
        <v>111.64507639197456</v>
      </c>
      <c r="AR32" s="72">
        <f t="shared" si="19"/>
        <v>-340.6999999999998</v>
      </c>
      <c r="AS32" s="18">
        <f t="shared" si="20"/>
        <v>278.9000000000001</v>
      </c>
      <c r="AT32" s="19"/>
    </row>
    <row r="33" spans="1:46" ht="24.75" customHeight="1">
      <c r="A33" s="70">
        <v>26</v>
      </c>
      <c r="B33" s="76" t="s">
        <v>75</v>
      </c>
      <c r="C33" s="78">
        <v>661.1</v>
      </c>
      <c r="D33" s="43">
        <v>315.3</v>
      </c>
      <c r="E33" s="43">
        <v>539.4</v>
      </c>
      <c r="F33" s="11">
        <f t="shared" si="0"/>
        <v>171.0751665080875</v>
      </c>
      <c r="G33" s="44">
        <v>312.3</v>
      </c>
      <c r="H33" s="44">
        <v>68</v>
      </c>
      <c r="I33" s="11">
        <f t="shared" si="1"/>
        <v>21.773935318603908</v>
      </c>
      <c r="J33" s="44">
        <v>394.7</v>
      </c>
      <c r="K33" s="44">
        <v>255.6</v>
      </c>
      <c r="L33" s="11">
        <f t="shared" si="22"/>
        <v>64.75804408411452</v>
      </c>
      <c r="M33" s="89">
        <f t="shared" si="11"/>
        <v>1022.3</v>
      </c>
      <c r="N33" s="89">
        <f t="shared" si="12"/>
        <v>863</v>
      </c>
      <c r="O33" s="11">
        <f t="shared" si="8"/>
        <v>84.41748997358897</v>
      </c>
      <c r="P33" s="44">
        <v>210.8</v>
      </c>
      <c r="Q33" s="44">
        <v>80.6</v>
      </c>
      <c r="R33" s="11">
        <f t="shared" si="23"/>
        <v>38.23529411764706</v>
      </c>
      <c r="S33" s="44">
        <v>10.2</v>
      </c>
      <c r="T33" s="44">
        <v>0</v>
      </c>
      <c r="U33" s="11">
        <f t="shared" si="24"/>
        <v>0</v>
      </c>
      <c r="V33" s="44">
        <v>37.7</v>
      </c>
      <c r="W33" s="44">
        <v>0</v>
      </c>
      <c r="X33" s="11">
        <f t="shared" si="25"/>
        <v>0</v>
      </c>
      <c r="Y33" s="89">
        <f t="shared" si="26"/>
        <v>258.7</v>
      </c>
      <c r="Z33" s="89">
        <f t="shared" si="27"/>
        <v>80.6</v>
      </c>
      <c r="AA33" s="11">
        <f t="shared" si="28"/>
        <v>31.155778894472363</v>
      </c>
      <c r="AB33" s="44">
        <v>62.4</v>
      </c>
      <c r="AC33" s="44">
        <v>0</v>
      </c>
      <c r="AD33" s="11">
        <f t="shared" si="29"/>
        <v>0</v>
      </c>
      <c r="AE33" s="44">
        <v>181.6</v>
      </c>
      <c r="AF33" s="44">
        <v>1163.2</v>
      </c>
      <c r="AG33" s="11">
        <f t="shared" si="30"/>
        <v>640.5286343612336</v>
      </c>
      <c r="AH33" s="44">
        <v>204.9</v>
      </c>
      <c r="AI33" s="44">
        <v>231.2</v>
      </c>
      <c r="AJ33" s="89">
        <f t="shared" si="15"/>
        <v>448.9</v>
      </c>
      <c r="AK33" s="89">
        <f t="shared" si="16"/>
        <v>1394.4</v>
      </c>
      <c r="AL33" s="11">
        <f t="shared" si="31"/>
        <v>310.62597460458903</v>
      </c>
      <c r="AM33" s="44">
        <v>226.3</v>
      </c>
      <c r="AN33" s="44">
        <v>153.8</v>
      </c>
      <c r="AO33" s="72">
        <f t="shared" si="17"/>
        <v>1956.2</v>
      </c>
      <c r="AP33" s="72">
        <f t="shared" si="18"/>
        <v>2491.8</v>
      </c>
      <c r="AQ33" s="11">
        <f t="shared" si="7"/>
        <v>127.37961353644822</v>
      </c>
      <c r="AR33" s="72">
        <f t="shared" si="19"/>
        <v>-535.6000000000001</v>
      </c>
      <c r="AS33" s="18">
        <f t="shared" si="20"/>
        <v>125.5</v>
      </c>
      <c r="AT33" s="19"/>
    </row>
    <row r="34" spans="1:46" ht="24.75" customHeight="1">
      <c r="A34" s="70">
        <v>27</v>
      </c>
      <c r="B34" s="71" t="s">
        <v>76</v>
      </c>
      <c r="C34" s="14">
        <v>509.7</v>
      </c>
      <c r="D34" s="79">
        <v>233.9</v>
      </c>
      <c r="E34" s="79">
        <v>509.7</v>
      </c>
      <c r="F34" s="11">
        <f t="shared" si="0"/>
        <v>217.91363830696878</v>
      </c>
      <c r="G34" s="44">
        <v>230.2</v>
      </c>
      <c r="H34" s="44">
        <v>0</v>
      </c>
      <c r="I34" s="75">
        <f t="shared" si="1"/>
        <v>0</v>
      </c>
      <c r="J34" s="44">
        <v>229</v>
      </c>
      <c r="K34" s="44">
        <v>233.9</v>
      </c>
      <c r="L34" s="75">
        <f t="shared" si="22"/>
        <v>102.13973799126639</v>
      </c>
      <c r="M34" s="89">
        <f t="shared" si="11"/>
        <v>693.1</v>
      </c>
      <c r="N34" s="89">
        <f t="shared" si="12"/>
        <v>743.6</v>
      </c>
      <c r="O34" s="11">
        <f t="shared" si="8"/>
        <v>107.28610590102438</v>
      </c>
      <c r="P34" s="44">
        <v>130.6</v>
      </c>
      <c r="Q34" s="44">
        <v>230.2</v>
      </c>
      <c r="R34" s="140">
        <f t="shared" si="23"/>
        <v>176.26339969372128</v>
      </c>
      <c r="S34" s="44">
        <v>-716.7</v>
      </c>
      <c r="T34" s="44">
        <v>0</v>
      </c>
      <c r="U34" s="140">
        <f t="shared" si="24"/>
        <v>0</v>
      </c>
      <c r="V34" s="44">
        <v>61.8</v>
      </c>
      <c r="W34" s="44">
        <v>0</v>
      </c>
      <c r="X34" s="140">
        <f t="shared" si="25"/>
        <v>0</v>
      </c>
      <c r="Y34" s="89">
        <f t="shared" si="26"/>
        <v>-524.3000000000001</v>
      </c>
      <c r="Z34" s="89">
        <f t="shared" si="27"/>
        <v>230.2</v>
      </c>
      <c r="AA34" s="11">
        <f t="shared" si="28"/>
        <v>-43.90616059507914</v>
      </c>
      <c r="AB34" s="44">
        <v>218.7</v>
      </c>
      <c r="AC34" s="44">
        <v>0</v>
      </c>
      <c r="AD34" s="140">
        <f t="shared" si="29"/>
        <v>0</v>
      </c>
      <c r="AE34" s="44">
        <v>6.6</v>
      </c>
      <c r="AF34" s="44">
        <v>0</v>
      </c>
      <c r="AG34" s="11">
        <f t="shared" si="30"/>
        <v>0</v>
      </c>
      <c r="AH34" s="44">
        <v>2.9</v>
      </c>
      <c r="AI34" s="44">
        <v>0</v>
      </c>
      <c r="AJ34" s="89">
        <f t="shared" si="15"/>
        <v>228.2</v>
      </c>
      <c r="AK34" s="89">
        <f t="shared" si="16"/>
        <v>0</v>
      </c>
      <c r="AL34" s="11">
        <f t="shared" si="31"/>
        <v>0</v>
      </c>
      <c r="AM34" s="44">
        <v>1.2</v>
      </c>
      <c r="AN34" s="44">
        <v>0</v>
      </c>
      <c r="AO34" s="72">
        <f t="shared" si="17"/>
        <v>398.19999999999993</v>
      </c>
      <c r="AP34" s="72">
        <f t="shared" si="18"/>
        <v>973.8</v>
      </c>
      <c r="AQ34" s="11">
        <f t="shared" si="7"/>
        <v>244.55047714716227</v>
      </c>
      <c r="AR34" s="72">
        <f t="shared" si="19"/>
        <v>-575.6</v>
      </c>
      <c r="AS34" s="18">
        <f t="shared" si="20"/>
        <v>-65.90000000000009</v>
      </c>
      <c r="AT34" s="19"/>
    </row>
    <row r="35" spans="1:46" ht="24.75" customHeight="1">
      <c r="A35" s="70">
        <v>28</v>
      </c>
      <c r="B35" s="76" t="s">
        <v>77</v>
      </c>
      <c r="C35" s="14">
        <v>1862.6</v>
      </c>
      <c r="D35" s="44">
        <v>1641.3</v>
      </c>
      <c r="E35" s="44">
        <v>459</v>
      </c>
      <c r="F35" s="11">
        <f t="shared" si="0"/>
        <v>27.96563699506489</v>
      </c>
      <c r="G35" s="44">
        <v>1615.7</v>
      </c>
      <c r="H35" s="44">
        <v>1139.4</v>
      </c>
      <c r="I35" s="11">
        <f t="shared" si="1"/>
        <v>70.52051742278888</v>
      </c>
      <c r="J35" s="44">
        <v>1602.3</v>
      </c>
      <c r="K35" s="44">
        <v>1361.9</v>
      </c>
      <c r="L35" s="11">
        <f t="shared" si="22"/>
        <v>84.99656743431319</v>
      </c>
      <c r="M35" s="89">
        <f t="shared" si="11"/>
        <v>4859.3</v>
      </c>
      <c r="N35" s="89">
        <f t="shared" si="12"/>
        <v>2960.3</v>
      </c>
      <c r="O35" s="11">
        <f t="shared" si="8"/>
        <v>60.9202971621427</v>
      </c>
      <c r="P35" s="44">
        <v>1090.1</v>
      </c>
      <c r="Q35" s="44">
        <v>3994.2</v>
      </c>
      <c r="R35" s="11">
        <f t="shared" si="23"/>
        <v>366.40675167415833</v>
      </c>
      <c r="S35" s="44">
        <v>-3285.5</v>
      </c>
      <c r="T35" s="44">
        <v>814.3</v>
      </c>
      <c r="U35" s="11">
        <f t="shared" si="24"/>
        <v>-24.784659869121896</v>
      </c>
      <c r="V35" s="44">
        <v>184.1</v>
      </c>
      <c r="W35" s="44">
        <v>0</v>
      </c>
      <c r="X35" s="11">
        <f t="shared" si="25"/>
        <v>0</v>
      </c>
      <c r="Y35" s="89">
        <f t="shared" si="26"/>
        <v>-2011.3000000000002</v>
      </c>
      <c r="Z35" s="89">
        <f t="shared" si="27"/>
        <v>4808.5</v>
      </c>
      <c r="AA35" s="11">
        <f t="shared" si="28"/>
        <v>-239.0742305971262</v>
      </c>
      <c r="AB35" s="44">
        <v>1496.8</v>
      </c>
      <c r="AC35" s="44">
        <v>0</v>
      </c>
      <c r="AD35" s="11">
        <f t="shared" si="29"/>
        <v>0</v>
      </c>
      <c r="AE35" s="44">
        <v>1878.7</v>
      </c>
      <c r="AF35" s="44">
        <v>0</v>
      </c>
      <c r="AG35" s="11">
        <f t="shared" si="30"/>
        <v>0</v>
      </c>
      <c r="AH35" s="44">
        <v>1080.5</v>
      </c>
      <c r="AI35" s="44">
        <v>281.3</v>
      </c>
      <c r="AJ35" s="89">
        <f t="shared" si="15"/>
        <v>4456</v>
      </c>
      <c r="AK35" s="89">
        <f t="shared" si="16"/>
        <v>281.3</v>
      </c>
      <c r="AL35" s="11">
        <f t="shared" si="31"/>
        <v>6.312836624775583</v>
      </c>
      <c r="AM35" s="44">
        <v>1151.9</v>
      </c>
      <c r="AN35" s="44">
        <v>322.1</v>
      </c>
      <c r="AO35" s="72">
        <f t="shared" si="17"/>
        <v>8455.9</v>
      </c>
      <c r="AP35" s="72">
        <f t="shared" si="18"/>
        <v>8372.2</v>
      </c>
      <c r="AQ35" s="11">
        <f t="shared" si="7"/>
        <v>99.01015858749514</v>
      </c>
      <c r="AR35" s="72">
        <f t="shared" si="19"/>
        <v>83.69999999999891</v>
      </c>
      <c r="AS35" s="18">
        <f t="shared" si="20"/>
        <v>1946.2999999999993</v>
      </c>
      <c r="AT35" s="19"/>
    </row>
    <row r="36" spans="1:46" ht="24.75" customHeight="1">
      <c r="A36" s="70">
        <v>29</v>
      </c>
      <c r="B36" s="76" t="s">
        <v>58</v>
      </c>
      <c r="C36" s="14">
        <f>1494.8+31.1</f>
        <v>1525.8999999999999</v>
      </c>
      <c r="D36" s="44">
        <f>1419.1+30.7</f>
        <v>1449.8</v>
      </c>
      <c r="E36" s="44">
        <f>852+31.1</f>
        <v>883.1</v>
      </c>
      <c r="F36" s="11">
        <f t="shared" si="0"/>
        <v>60.911849910332464</v>
      </c>
      <c r="G36" s="44">
        <f>1416.7+29.8</f>
        <v>1446.5</v>
      </c>
      <c r="H36" s="44">
        <f>642.8+0</f>
        <v>642.8</v>
      </c>
      <c r="I36" s="11">
        <f t="shared" si="1"/>
        <v>44.438299343242306</v>
      </c>
      <c r="J36" s="44">
        <f>31.6+1430.8</f>
        <v>1462.3999999999999</v>
      </c>
      <c r="K36" s="44">
        <f>30.7+1419.1</f>
        <v>1449.8</v>
      </c>
      <c r="L36" s="11">
        <f t="shared" si="22"/>
        <v>99.13840262582058</v>
      </c>
      <c r="M36" s="89">
        <f t="shared" si="11"/>
        <v>4358.7</v>
      </c>
      <c r="N36" s="89">
        <f t="shared" si="12"/>
        <v>2975.7</v>
      </c>
      <c r="O36" s="11">
        <f t="shared" si="8"/>
        <v>68.27035584004405</v>
      </c>
      <c r="P36" s="44">
        <f>18.8+927.5</f>
        <v>946.3</v>
      </c>
      <c r="Q36" s="44">
        <f>61.4+2647.2</f>
        <v>2708.6</v>
      </c>
      <c r="R36" s="11">
        <f t="shared" si="23"/>
        <v>286.2305822677798</v>
      </c>
      <c r="S36" s="44">
        <f>-68.9+(-3136.3)</f>
        <v>-3205.2000000000003</v>
      </c>
      <c r="T36" s="44">
        <f>18.8+1102.2</f>
        <v>1121</v>
      </c>
      <c r="U36" s="11">
        <f t="shared" si="24"/>
        <v>-34.97441657306876</v>
      </c>
      <c r="V36" s="44">
        <f>-548.8+3.7</f>
        <v>-545.0999999999999</v>
      </c>
      <c r="W36" s="44">
        <v>0</v>
      </c>
      <c r="X36" s="11">
        <f t="shared" si="25"/>
        <v>0</v>
      </c>
      <c r="Y36" s="89">
        <f t="shared" si="26"/>
        <v>-2804.0000000000005</v>
      </c>
      <c r="Z36" s="89">
        <f t="shared" si="27"/>
        <v>3829.6</v>
      </c>
      <c r="AA36" s="11">
        <f t="shared" si="28"/>
        <v>-136.57631954350924</v>
      </c>
      <c r="AB36" s="44">
        <f>906.6+19.4</f>
        <v>926</v>
      </c>
      <c r="AC36" s="44">
        <v>0</v>
      </c>
      <c r="AD36" s="11">
        <f t="shared" si="29"/>
        <v>0</v>
      </c>
      <c r="AE36" s="44">
        <f>26.2+1020.1</f>
        <v>1046.3</v>
      </c>
      <c r="AF36" s="44">
        <v>0</v>
      </c>
      <c r="AG36" s="11">
        <f t="shared" si="30"/>
        <v>0</v>
      </c>
      <c r="AH36" s="44">
        <f>1291.6+(-5.7)</f>
        <v>1285.8999999999999</v>
      </c>
      <c r="AI36" s="44">
        <v>0</v>
      </c>
      <c r="AJ36" s="89">
        <f t="shared" si="15"/>
        <v>3258.2</v>
      </c>
      <c r="AK36" s="89">
        <f t="shared" si="16"/>
        <v>0</v>
      </c>
      <c r="AL36" s="11">
        <f t="shared" si="31"/>
        <v>0</v>
      </c>
      <c r="AM36" s="44">
        <f>-0.2+760.1</f>
        <v>759.9</v>
      </c>
      <c r="AN36" s="44">
        <v>308.5</v>
      </c>
      <c r="AO36" s="72">
        <f t="shared" si="17"/>
        <v>5572.799999999999</v>
      </c>
      <c r="AP36" s="72">
        <f t="shared" si="18"/>
        <v>7113.799999999999</v>
      </c>
      <c r="AQ36" s="11">
        <f t="shared" si="7"/>
        <v>127.65216767154752</v>
      </c>
      <c r="AR36" s="72">
        <f t="shared" si="19"/>
        <v>-1541</v>
      </c>
      <c r="AS36" s="18">
        <f t="shared" si="20"/>
        <v>-15.100000000000364</v>
      </c>
      <c r="AT36" s="19"/>
    </row>
    <row r="37" spans="1:46" ht="24.75" customHeight="1">
      <c r="A37" s="70">
        <v>30</v>
      </c>
      <c r="B37" s="76" t="s">
        <v>11</v>
      </c>
      <c r="C37" s="14">
        <v>2599.9</v>
      </c>
      <c r="D37" s="44">
        <v>2567.9</v>
      </c>
      <c r="E37" s="44">
        <v>2552.9</v>
      </c>
      <c r="F37" s="11">
        <f t="shared" si="0"/>
        <v>99.4158651037813</v>
      </c>
      <c r="G37" s="44">
        <v>2585</v>
      </c>
      <c r="H37" s="44">
        <v>0</v>
      </c>
      <c r="I37" s="11">
        <f t="shared" si="1"/>
        <v>0</v>
      </c>
      <c r="J37" s="44">
        <v>2550.1</v>
      </c>
      <c r="K37" s="44">
        <v>4620.7</v>
      </c>
      <c r="L37" s="11">
        <f t="shared" si="22"/>
        <v>181.19681581114466</v>
      </c>
      <c r="M37" s="89">
        <f t="shared" si="11"/>
        <v>7703</v>
      </c>
      <c r="N37" s="89">
        <f t="shared" si="12"/>
        <v>7173.6</v>
      </c>
      <c r="O37" s="11">
        <f t="shared" si="8"/>
        <v>93.12735297935869</v>
      </c>
      <c r="P37" s="44">
        <v>1364.5</v>
      </c>
      <c r="Q37" s="44">
        <v>576.4</v>
      </c>
      <c r="R37" s="11">
        <f t="shared" si="23"/>
        <v>42.24257969952364</v>
      </c>
      <c r="S37" s="44">
        <v>-6732.5</v>
      </c>
      <c r="T37" s="44">
        <v>0</v>
      </c>
      <c r="U37" s="11">
        <f t="shared" si="24"/>
        <v>0</v>
      </c>
      <c r="V37" s="44">
        <v>749.3</v>
      </c>
      <c r="W37" s="44">
        <v>0</v>
      </c>
      <c r="X37" s="11">
        <f t="shared" si="25"/>
        <v>0</v>
      </c>
      <c r="Y37" s="89">
        <f t="shared" si="26"/>
        <v>-4618.7</v>
      </c>
      <c r="Z37" s="89">
        <f t="shared" si="27"/>
        <v>576.4</v>
      </c>
      <c r="AA37" s="11">
        <f t="shared" si="28"/>
        <v>-12.47970208067205</v>
      </c>
      <c r="AB37" s="44">
        <v>2703.9</v>
      </c>
      <c r="AC37" s="44">
        <v>0</v>
      </c>
      <c r="AD37" s="11">
        <f t="shared" si="29"/>
        <v>0</v>
      </c>
      <c r="AE37" s="44">
        <v>2728.4</v>
      </c>
      <c r="AF37" s="44">
        <v>3.6</v>
      </c>
      <c r="AG37" s="11">
        <f t="shared" si="30"/>
        <v>0.13194546254214926</v>
      </c>
      <c r="AH37" s="44">
        <v>2710.8</v>
      </c>
      <c r="AI37" s="44">
        <v>2418.1</v>
      </c>
      <c r="AJ37" s="89">
        <f t="shared" si="15"/>
        <v>8143.1</v>
      </c>
      <c r="AK37" s="89">
        <f t="shared" si="16"/>
        <v>2421.7</v>
      </c>
      <c r="AL37" s="11">
        <f t="shared" si="31"/>
        <v>29.739288477361196</v>
      </c>
      <c r="AM37" s="44">
        <v>2848.7</v>
      </c>
      <c r="AN37" s="44">
        <v>470.1</v>
      </c>
      <c r="AO37" s="72">
        <f t="shared" si="17"/>
        <v>14076.100000000002</v>
      </c>
      <c r="AP37" s="72">
        <f t="shared" si="18"/>
        <v>10641.800000000001</v>
      </c>
      <c r="AQ37" s="11">
        <f t="shared" si="7"/>
        <v>75.60190677815588</v>
      </c>
      <c r="AR37" s="72">
        <f t="shared" si="19"/>
        <v>3434.300000000001</v>
      </c>
      <c r="AS37" s="18">
        <f t="shared" si="20"/>
        <v>6034.200000000003</v>
      </c>
      <c r="AT37" s="19"/>
    </row>
    <row r="38" spans="1:46" ht="24.75" customHeight="1">
      <c r="A38" s="70">
        <v>31</v>
      </c>
      <c r="B38" s="76" t="s">
        <v>78</v>
      </c>
      <c r="C38" s="14">
        <v>233.9</v>
      </c>
      <c r="D38" s="44">
        <v>260</v>
      </c>
      <c r="E38" s="44">
        <v>182.9</v>
      </c>
      <c r="F38" s="11">
        <f t="shared" si="0"/>
        <v>70.34615384615385</v>
      </c>
      <c r="G38" s="44">
        <v>235.3</v>
      </c>
      <c r="H38" s="44">
        <v>0</v>
      </c>
      <c r="I38" s="11">
        <f t="shared" si="1"/>
        <v>0</v>
      </c>
      <c r="J38" s="44">
        <v>309.9</v>
      </c>
      <c r="K38" s="44">
        <v>230.4</v>
      </c>
      <c r="L38" s="11">
        <f t="shared" si="22"/>
        <v>74.34656340755083</v>
      </c>
      <c r="M38" s="89">
        <f t="shared" si="11"/>
        <v>805.2</v>
      </c>
      <c r="N38" s="89">
        <f t="shared" si="12"/>
        <v>413.3</v>
      </c>
      <c r="O38" s="11">
        <f t="shared" si="8"/>
        <v>51.32886239443616</v>
      </c>
      <c r="P38" s="44">
        <v>136.2</v>
      </c>
      <c r="Q38" s="44">
        <v>608.4</v>
      </c>
      <c r="R38" s="11">
        <f t="shared" si="23"/>
        <v>446.6960352422908</v>
      </c>
      <c r="S38" s="44">
        <v>0.8</v>
      </c>
      <c r="T38" s="44">
        <v>684.4</v>
      </c>
      <c r="U38" s="11">
        <f t="shared" si="24"/>
        <v>85549.99999999999</v>
      </c>
      <c r="V38" s="44">
        <v>7.2</v>
      </c>
      <c r="W38" s="44">
        <v>0</v>
      </c>
      <c r="X38" s="11">
        <f t="shared" si="25"/>
        <v>0</v>
      </c>
      <c r="Y38" s="89">
        <f t="shared" si="26"/>
        <v>144.2</v>
      </c>
      <c r="Z38" s="89">
        <f t="shared" si="27"/>
        <v>1292.8</v>
      </c>
      <c r="AA38" s="11">
        <f t="shared" si="28"/>
        <v>896.5325936199722</v>
      </c>
      <c r="AB38" s="44">
        <v>-505.5</v>
      </c>
      <c r="AC38" s="44">
        <v>-548.2</v>
      </c>
      <c r="AD38" s="11">
        <f t="shared" si="29"/>
        <v>108.44708209693374</v>
      </c>
      <c r="AE38" s="44">
        <v>193.8</v>
      </c>
      <c r="AF38" s="44">
        <v>0</v>
      </c>
      <c r="AG38" s="11">
        <f t="shared" si="30"/>
        <v>0</v>
      </c>
      <c r="AH38" s="44">
        <v>102.4</v>
      </c>
      <c r="AI38" s="44">
        <v>0</v>
      </c>
      <c r="AJ38" s="89">
        <f t="shared" si="15"/>
        <v>-209.29999999999998</v>
      </c>
      <c r="AK38" s="89">
        <f t="shared" si="16"/>
        <v>-548.2</v>
      </c>
      <c r="AL38" s="11">
        <f t="shared" si="31"/>
        <v>261.92068800764457</v>
      </c>
      <c r="AM38" s="44">
        <v>207.1</v>
      </c>
      <c r="AN38" s="44">
        <v>0</v>
      </c>
      <c r="AO38" s="72">
        <f t="shared" si="17"/>
        <v>947.2000000000002</v>
      </c>
      <c r="AP38" s="72">
        <f t="shared" si="18"/>
        <v>1157.8999999999999</v>
      </c>
      <c r="AQ38" s="11">
        <f t="shared" si="7"/>
        <v>122.24451013513512</v>
      </c>
      <c r="AR38" s="72">
        <f t="shared" si="19"/>
        <v>-210.6999999999997</v>
      </c>
      <c r="AS38" s="18">
        <f t="shared" si="20"/>
        <v>23.200000000000273</v>
      </c>
      <c r="AT38" s="19"/>
    </row>
    <row r="39" spans="1:46" ht="24.75" customHeight="1">
      <c r="A39" s="70">
        <v>32</v>
      </c>
      <c r="B39" s="71" t="s">
        <v>79</v>
      </c>
      <c r="C39" s="14">
        <v>1299.2</v>
      </c>
      <c r="D39" s="44">
        <v>1310.4</v>
      </c>
      <c r="E39" s="44">
        <v>1223.3</v>
      </c>
      <c r="F39" s="11">
        <f t="shared" si="0"/>
        <v>93.3531746031746</v>
      </c>
      <c r="G39" s="44">
        <v>1308.8</v>
      </c>
      <c r="H39" s="44">
        <v>666.4</v>
      </c>
      <c r="I39" s="75">
        <f t="shared" si="1"/>
        <v>50.91687041564792</v>
      </c>
      <c r="J39" s="44">
        <v>1308.5</v>
      </c>
      <c r="K39" s="44">
        <v>1219.5</v>
      </c>
      <c r="L39" s="75">
        <f t="shared" si="22"/>
        <v>93.19831868551776</v>
      </c>
      <c r="M39" s="89">
        <f t="shared" si="11"/>
        <v>3927.7</v>
      </c>
      <c r="N39" s="89">
        <f t="shared" si="12"/>
        <v>3109.2</v>
      </c>
      <c r="O39" s="11">
        <f t="shared" si="8"/>
        <v>79.16083203910685</v>
      </c>
      <c r="P39" s="44">
        <v>663</v>
      </c>
      <c r="Q39" s="44">
        <v>1235.8</v>
      </c>
      <c r="R39" s="140">
        <f t="shared" si="23"/>
        <v>186.395173453997</v>
      </c>
      <c r="S39" s="44">
        <v>-3406.9</v>
      </c>
      <c r="T39" s="44">
        <v>634.5</v>
      </c>
      <c r="U39" s="140">
        <f t="shared" si="24"/>
        <v>-18.623969004079953</v>
      </c>
      <c r="V39" s="44">
        <v>94.2</v>
      </c>
      <c r="W39" s="44">
        <v>0</v>
      </c>
      <c r="X39" s="140">
        <f t="shared" si="25"/>
        <v>0</v>
      </c>
      <c r="Y39" s="89">
        <f t="shared" si="26"/>
        <v>-2649.7000000000003</v>
      </c>
      <c r="Z39" s="89">
        <f t="shared" si="27"/>
        <v>1870.3</v>
      </c>
      <c r="AA39" s="11">
        <f t="shared" si="28"/>
        <v>-70.58534928482469</v>
      </c>
      <c r="AB39" s="44">
        <v>622.1</v>
      </c>
      <c r="AC39" s="44">
        <v>0</v>
      </c>
      <c r="AD39" s="140">
        <f t="shared" si="29"/>
        <v>0</v>
      </c>
      <c r="AE39" s="44">
        <v>1018.4</v>
      </c>
      <c r="AF39" s="44">
        <v>0</v>
      </c>
      <c r="AG39" s="11">
        <f t="shared" si="30"/>
        <v>0</v>
      </c>
      <c r="AH39" s="44">
        <v>1667.1</v>
      </c>
      <c r="AI39" s="44">
        <v>905.3</v>
      </c>
      <c r="AJ39" s="89">
        <f t="shared" si="15"/>
        <v>3307.6</v>
      </c>
      <c r="AK39" s="89">
        <f t="shared" si="16"/>
        <v>905.3</v>
      </c>
      <c r="AL39" s="11">
        <f t="shared" si="31"/>
        <v>27.3702987060104</v>
      </c>
      <c r="AM39" s="44">
        <v>1301</v>
      </c>
      <c r="AN39" s="44">
        <v>0</v>
      </c>
      <c r="AO39" s="72">
        <f t="shared" si="17"/>
        <v>5886.599999999999</v>
      </c>
      <c r="AP39" s="72">
        <f t="shared" si="18"/>
        <v>5884.8</v>
      </c>
      <c r="AQ39" s="11">
        <f t="shared" si="7"/>
        <v>99.96942207726023</v>
      </c>
      <c r="AR39" s="72">
        <f t="shared" si="19"/>
        <v>1.7999999999992724</v>
      </c>
      <c r="AS39" s="18">
        <f t="shared" si="20"/>
        <v>1300.999999999999</v>
      </c>
      <c r="AT39" s="19"/>
    </row>
    <row r="40" spans="1:46" ht="24.75" customHeight="1">
      <c r="A40" s="70">
        <v>33</v>
      </c>
      <c r="B40" s="76" t="s">
        <v>59</v>
      </c>
      <c r="C40" s="14">
        <v>1284.3</v>
      </c>
      <c r="D40" s="44">
        <v>680.4</v>
      </c>
      <c r="E40" s="44">
        <v>1284.3</v>
      </c>
      <c r="F40" s="11">
        <f>E40/D40*100</f>
        <v>188.75661375661377</v>
      </c>
      <c r="G40" s="44">
        <v>667.4</v>
      </c>
      <c r="H40" s="44">
        <v>0</v>
      </c>
      <c r="I40" s="75">
        <f t="shared" si="1"/>
        <v>0</v>
      </c>
      <c r="J40" s="44">
        <v>664.8</v>
      </c>
      <c r="K40" s="44">
        <v>0</v>
      </c>
      <c r="L40" s="75">
        <f t="shared" si="22"/>
        <v>0</v>
      </c>
      <c r="M40" s="89">
        <f t="shared" si="11"/>
        <v>2012.6</v>
      </c>
      <c r="N40" s="89">
        <f t="shared" si="12"/>
        <v>1284.3</v>
      </c>
      <c r="O40" s="11">
        <f t="shared" si="8"/>
        <v>63.812978237106236</v>
      </c>
      <c r="P40" s="44">
        <v>380.3</v>
      </c>
      <c r="Q40" s="44">
        <v>1347.8</v>
      </c>
      <c r="R40" s="140">
        <f t="shared" si="23"/>
        <v>354.40441756508017</v>
      </c>
      <c r="S40" s="44">
        <v>-1211.4</v>
      </c>
      <c r="T40" s="44">
        <v>0</v>
      </c>
      <c r="U40" s="140">
        <f t="shared" si="24"/>
        <v>0</v>
      </c>
      <c r="V40" s="44">
        <v>428.4</v>
      </c>
      <c r="W40" s="44">
        <v>0</v>
      </c>
      <c r="X40" s="140">
        <f t="shared" si="25"/>
        <v>0</v>
      </c>
      <c r="Y40" s="89">
        <f t="shared" si="26"/>
        <v>-402.70000000000016</v>
      </c>
      <c r="Z40" s="89">
        <f t="shared" si="27"/>
        <v>1347.8</v>
      </c>
      <c r="AA40" s="11">
        <f t="shared" si="28"/>
        <v>-334.6908368512539</v>
      </c>
      <c r="AB40" s="44">
        <v>501.4</v>
      </c>
      <c r="AC40" s="44">
        <v>0</v>
      </c>
      <c r="AD40" s="140">
        <f t="shared" si="29"/>
        <v>0</v>
      </c>
      <c r="AE40" s="44">
        <v>274.2</v>
      </c>
      <c r="AF40" s="44">
        <v>0</v>
      </c>
      <c r="AG40" s="11">
        <f t="shared" si="30"/>
        <v>0</v>
      </c>
      <c r="AH40" s="44">
        <v>284</v>
      </c>
      <c r="AI40" s="44">
        <v>441.7</v>
      </c>
      <c r="AJ40" s="89">
        <f t="shared" si="15"/>
        <v>1059.6</v>
      </c>
      <c r="AK40" s="89">
        <f t="shared" si="16"/>
        <v>441.7</v>
      </c>
      <c r="AL40" s="11">
        <f t="shared" si="31"/>
        <v>41.685541713854285</v>
      </c>
      <c r="AM40" s="44">
        <v>394.1</v>
      </c>
      <c r="AN40" s="44">
        <v>0</v>
      </c>
      <c r="AO40" s="72">
        <f t="shared" si="17"/>
        <v>3063.5999999999995</v>
      </c>
      <c r="AP40" s="72">
        <f t="shared" si="18"/>
        <v>3073.7999999999997</v>
      </c>
      <c r="AQ40" s="11">
        <f t="shared" si="7"/>
        <v>100.33294163728948</v>
      </c>
      <c r="AR40" s="72">
        <f t="shared" si="19"/>
        <v>-10.200000000000273</v>
      </c>
      <c r="AS40" s="18">
        <f t="shared" si="20"/>
        <v>1274.1</v>
      </c>
      <c r="AT40" s="19"/>
    </row>
    <row r="41" spans="1:46" s="12" customFormat="1" ht="24.75" customHeight="1">
      <c r="A41" s="70">
        <v>34</v>
      </c>
      <c r="B41" s="30" t="s">
        <v>8</v>
      </c>
      <c r="C41" s="18">
        <f>SUM(C42:C42)</f>
        <v>13136</v>
      </c>
      <c r="D41" s="18">
        <f>SUM(D42:D42)</f>
        <v>13387.6</v>
      </c>
      <c r="E41" s="18">
        <f>SUM(E42:E42)</f>
        <v>13136</v>
      </c>
      <c r="F41" s="11">
        <f t="shared" si="0"/>
        <v>98.12064895873793</v>
      </c>
      <c r="G41" s="18">
        <f>SUM(G42:G42)</f>
        <v>14457.8</v>
      </c>
      <c r="H41" s="18">
        <f>SUM(H42:H42)</f>
        <v>0</v>
      </c>
      <c r="I41" s="11">
        <f t="shared" si="1"/>
        <v>0</v>
      </c>
      <c r="J41" s="18">
        <f>SUM(J42:J42)</f>
        <v>14523.6</v>
      </c>
      <c r="K41" s="18">
        <f>SUM(K42:K42)</f>
        <v>13296.3</v>
      </c>
      <c r="L41" s="11">
        <f t="shared" si="22"/>
        <v>91.5496157977361</v>
      </c>
      <c r="M41" s="18">
        <f>SUM(M42:M42)</f>
        <v>42369</v>
      </c>
      <c r="N41" s="18">
        <f>SUM(N42:N42)</f>
        <v>26432.3</v>
      </c>
      <c r="O41" s="11">
        <f t="shared" si="8"/>
        <v>62.385942552337795</v>
      </c>
      <c r="P41" s="18">
        <f>SUM(P42:P42)</f>
        <v>7814.3</v>
      </c>
      <c r="Q41" s="18">
        <f>SUM(Q42:Q42)</f>
        <v>14339.1</v>
      </c>
      <c r="R41" s="11">
        <f t="shared" si="23"/>
        <v>183.4982020142559</v>
      </c>
      <c r="S41" s="18">
        <f>SUM(S42:S42)</f>
        <v>-6750.6</v>
      </c>
      <c r="T41" s="18">
        <f>SUM(T42:T42)</f>
        <v>0</v>
      </c>
      <c r="U41" s="11">
        <f t="shared" si="24"/>
        <v>0</v>
      </c>
      <c r="V41" s="18">
        <f>SUM(V42:V42)</f>
        <v>1306.1</v>
      </c>
      <c r="W41" s="18">
        <f>SUM(W42:W42)</f>
        <v>0</v>
      </c>
      <c r="X41" s="11">
        <f t="shared" si="25"/>
        <v>0</v>
      </c>
      <c r="Y41" s="18">
        <f>SUM(Y42:Y42)</f>
        <v>2369.7999999999997</v>
      </c>
      <c r="Z41" s="18">
        <f>SUM(Z42:Z42)</f>
        <v>14339.1</v>
      </c>
      <c r="AA41" s="11">
        <f t="shared" si="28"/>
        <v>605.076377753397</v>
      </c>
      <c r="AB41" s="18">
        <f>SUM(AB42:AB42)</f>
        <v>5981.4</v>
      </c>
      <c r="AC41" s="18">
        <f>SUM(AC42:AC42)</f>
        <v>0</v>
      </c>
      <c r="AD41" s="11">
        <f t="shared" si="29"/>
        <v>0</v>
      </c>
      <c r="AE41" s="18">
        <f>SUM(AE42:AE42)</f>
        <v>8622.4</v>
      </c>
      <c r="AF41" s="18">
        <f>SUM(AF42:AF42)</f>
        <v>17047.3</v>
      </c>
      <c r="AG41" s="11">
        <f t="shared" si="30"/>
        <v>197.70945444423828</v>
      </c>
      <c r="AH41" s="18">
        <f>SUM(AH42:AH42)</f>
        <v>10737.1</v>
      </c>
      <c r="AI41" s="18">
        <f>SUM(AI42:AI42)</f>
        <v>14972.2</v>
      </c>
      <c r="AJ41" s="18">
        <f>SUM(AJ42:AJ42)</f>
        <v>25340.9</v>
      </c>
      <c r="AK41" s="18">
        <f>SUM(AK42:AK42)</f>
        <v>32019.5</v>
      </c>
      <c r="AL41" s="11">
        <f t="shared" si="31"/>
        <v>126.35502290763152</v>
      </c>
      <c r="AM41" s="18">
        <f>SUM(AM42:AM42)</f>
        <v>7309.1</v>
      </c>
      <c r="AN41" s="18">
        <f>SUM(AN42:AN42)</f>
        <v>5.8</v>
      </c>
      <c r="AO41" s="18">
        <f>SUM(AO42:AO42)</f>
        <v>77388.80000000002</v>
      </c>
      <c r="AP41" s="18">
        <f>SUM(AP42:AP42)</f>
        <v>72796.7</v>
      </c>
      <c r="AQ41" s="11">
        <f t="shared" si="7"/>
        <v>94.06619562520673</v>
      </c>
      <c r="AR41" s="18">
        <f>SUM(AR42:AR42)</f>
        <v>4592.10000000002</v>
      </c>
      <c r="AS41" s="18">
        <f>SUM(AS42:AS42)</f>
        <v>17728.10000000002</v>
      </c>
      <c r="AT41" s="48"/>
    </row>
    <row r="42" spans="1:46" s="12" customFormat="1" ht="24.75" customHeight="1">
      <c r="A42" s="80"/>
      <c r="B42" s="81" t="s">
        <v>84</v>
      </c>
      <c r="C42" s="14">
        <v>13136</v>
      </c>
      <c r="D42" s="44">
        <v>13387.6</v>
      </c>
      <c r="E42" s="82">
        <v>13136</v>
      </c>
      <c r="F42" s="11">
        <f t="shared" si="0"/>
        <v>98.12064895873793</v>
      </c>
      <c r="G42" s="44">
        <v>14457.8</v>
      </c>
      <c r="H42" s="44">
        <v>0</v>
      </c>
      <c r="I42" s="11">
        <f t="shared" si="1"/>
        <v>0</v>
      </c>
      <c r="J42" s="44">
        <v>14523.6</v>
      </c>
      <c r="K42" s="44">
        <v>13296.3</v>
      </c>
      <c r="L42" s="11">
        <f t="shared" si="22"/>
        <v>91.5496157977361</v>
      </c>
      <c r="M42" s="89">
        <f t="shared" si="11"/>
        <v>42369</v>
      </c>
      <c r="N42" s="89">
        <f t="shared" si="12"/>
        <v>26432.3</v>
      </c>
      <c r="O42" s="11">
        <f t="shared" si="8"/>
        <v>62.385942552337795</v>
      </c>
      <c r="P42" s="44">
        <v>7814.3</v>
      </c>
      <c r="Q42" s="44">
        <v>14339.1</v>
      </c>
      <c r="R42" s="11">
        <f t="shared" si="23"/>
        <v>183.4982020142559</v>
      </c>
      <c r="S42" s="44">
        <v>-6750.6</v>
      </c>
      <c r="T42" s="44">
        <v>0</v>
      </c>
      <c r="U42" s="11">
        <f t="shared" si="24"/>
        <v>0</v>
      </c>
      <c r="V42" s="44">
        <v>1306.1</v>
      </c>
      <c r="W42" s="44">
        <v>0</v>
      </c>
      <c r="X42" s="11">
        <f t="shared" si="25"/>
        <v>0</v>
      </c>
      <c r="Y42" s="89">
        <f>P42+S42+V42</f>
        <v>2369.7999999999997</v>
      </c>
      <c r="Z42" s="89">
        <f>Q42+T42+W42</f>
        <v>14339.1</v>
      </c>
      <c r="AA42" s="11">
        <f t="shared" si="28"/>
        <v>605.076377753397</v>
      </c>
      <c r="AB42" s="44">
        <v>5981.4</v>
      </c>
      <c r="AC42" s="44">
        <v>0</v>
      </c>
      <c r="AD42" s="11">
        <f t="shared" si="29"/>
        <v>0</v>
      </c>
      <c r="AE42" s="44">
        <v>8622.4</v>
      </c>
      <c r="AF42" s="44">
        <v>17047.3</v>
      </c>
      <c r="AG42" s="11">
        <f>AF42/AE42*100</f>
        <v>197.70945444423828</v>
      </c>
      <c r="AH42" s="44">
        <v>10737.1</v>
      </c>
      <c r="AI42" s="44">
        <v>14972.2</v>
      </c>
      <c r="AJ42" s="89">
        <f>AB42+AE42+AH42</f>
        <v>25340.9</v>
      </c>
      <c r="AK42" s="89">
        <f>AC42+AF42+AI42</f>
        <v>32019.5</v>
      </c>
      <c r="AL42" s="11">
        <f t="shared" si="31"/>
        <v>126.35502290763152</v>
      </c>
      <c r="AM42" s="44">
        <v>7309.1</v>
      </c>
      <c r="AN42" s="44">
        <v>5.8</v>
      </c>
      <c r="AO42" s="72">
        <f>M42+Y42+AJ42+AM42</f>
        <v>77388.80000000002</v>
      </c>
      <c r="AP42" s="72">
        <f>N42+Z42+AK42+AN42</f>
        <v>72796.7</v>
      </c>
      <c r="AQ42" s="11">
        <f t="shared" si="7"/>
        <v>94.06619562520673</v>
      </c>
      <c r="AR42" s="72">
        <f t="shared" si="19"/>
        <v>4592.10000000002</v>
      </c>
      <c r="AS42" s="18">
        <f t="shared" si="20"/>
        <v>17728.10000000002</v>
      </c>
      <c r="AT42" s="48"/>
    </row>
    <row r="43" spans="1:46" s="12" customFormat="1" ht="33" customHeight="1">
      <c r="A43" s="80"/>
      <c r="B43" s="16" t="s">
        <v>10</v>
      </c>
      <c r="C43" s="18">
        <f>C7+C41</f>
        <v>36567.30000000001</v>
      </c>
      <c r="D43" s="18">
        <f>D7+D41</f>
        <v>29011.399999999998</v>
      </c>
      <c r="E43" s="18">
        <f>E7+E41</f>
        <v>29787</v>
      </c>
      <c r="F43" s="11">
        <f t="shared" si="0"/>
        <v>102.6734318233522</v>
      </c>
      <c r="G43" s="18">
        <f>G7+G41</f>
        <v>30314.5</v>
      </c>
      <c r="H43" s="18">
        <f>H7+H41</f>
        <v>4483.5</v>
      </c>
      <c r="I43" s="11">
        <f t="shared" si="1"/>
        <v>14.789952003166801</v>
      </c>
      <c r="J43" s="18">
        <f>J7+J41</f>
        <v>31340.6</v>
      </c>
      <c r="K43" s="18">
        <f>K7+K41</f>
        <v>31091.1</v>
      </c>
      <c r="L43" s="11">
        <f t="shared" si="22"/>
        <v>99.2039080298399</v>
      </c>
      <c r="M43" s="18">
        <f>M7+M41</f>
        <v>90666.49999999999</v>
      </c>
      <c r="N43" s="18">
        <f>N7+N41</f>
        <v>65361.600000000006</v>
      </c>
      <c r="O43" s="11">
        <f t="shared" si="8"/>
        <v>72.09013251862598</v>
      </c>
      <c r="P43" s="18">
        <f>P7+P41</f>
        <v>17322.8</v>
      </c>
      <c r="Q43" s="18">
        <f>Q7+Q41</f>
        <v>31794.300000000003</v>
      </c>
      <c r="R43" s="11">
        <f t="shared" si="23"/>
        <v>183.54018980765235</v>
      </c>
      <c r="S43" s="18">
        <f>S7+S41</f>
        <v>-33882.200000000004</v>
      </c>
      <c r="T43" s="18">
        <f>T7+T41</f>
        <v>5275.7</v>
      </c>
      <c r="U43" s="11">
        <f t="shared" si="24"/>
        <v>-15.570712645577911</v>
      </c>
      <c r="V43" s="18">
        <f>V7+V41</f>
        <v>3602.4</v>
      </c>
      <c r="W43" s="18">
        <f>W7+W41</f>
        <v>4795.900000000001</v>
      </c>
      <c r="X43" s="11">
        <f t="shared" si="25"/>
        <v>133.13069065067734</v>
      </c>
      <c r="Y43" s="18">
        <f>Y7+Y41</f>
        <v>-12957.000000000004</v>
      </c>
      <c r="Z43" s="18">
        <f>Z7+Z41</f>
        <v>41865.9</v>
      </c>
      <c r="AA43" s="11">
        <f t="shared" si="28"/>
        <v>-323.1141467932391</v>
      </c>
      <c r="AB43" s="18">
        <f>AB7+AB41</f>
        <v>12809.4</v>
      </c>
      <c r="AC43" s="18">
        <f>AC7+AC41</f>
        <v>-616.1</v>
      </c>
      <c r="AD43" s="11">
        <f t="shared" si="29"/>
        <v>-4.809749090511656</v>
      </c>
      <c r="AE43" s="18">
        <f>AE41+AE7</f>
        <v>21368.1</v>
      </c>
      <c r="AF43" s="18">
        <f>AF41+AF7</f>
        <v>19955.3</v>
      </c>
      <c r="AG43" s="11">
        <f>AF43/AE43*100</f>
        <v>93.38827504551178</v>
      </c>
      <c r="AH43" s="18">
        <f>AH41+AH7</f>
        <v>22585.4</v>
      </c>
      <c r="AI43" s="18">
        <f>AI41+AI7</f>
        <v>24029.5</v>
      </c>
      <c r="AJ43" s="18">
        <f>AJ7+AJ41</f>
        <v>56762.899999999994</v>
      </c>
      <c r="AK43" s="18">
        <f>AK7+AK41</f>
        <v>43368.7</v>
      </c>
      <c r="AL43" s="11">
        <f t="shared" si="31"/>
        <v>76.40324930544423</v>
      </c>
      <c r="AM43" s="18">
        <f>AM41+AM7</f>
        <v>19142.800000000003</v>
      </c>
      <c r="AN43" s="18">
        <f>AN41+AN7</f>
        <v>3085.4000000000005</v>
      </c>
      <c r="AO43" s="83">
        <f>AO7+AO41</f>
        <v>153615.2</v>
      </c>
      <c r="AP43" s="83">
        <f>AP7+AP41</f>
        <v>153681.6</v>
      </c>
      <c r="AQ43" s="11">
        <f>AP43/AO43*100</f>
        <v>100.04322488920367</v>
      </c>
      <c r="AR43" s="18">
        <f>AR7+AR41</f>
        <v>-66.39999999998327</v>
      </c>
      <c r="AS43" s="18">
        <f>AS7+AS41</f>
        <v>36500.900000000016</v>
      </c>
      <c r="AT43" s="48"/>
    </row>
    <row r="44" spans="3:45" ht="43.5" customHeight="1">
      <c r="C44" s="84"/>
      <c r="D44" s="40"/>
      <c r="E44" s="40"/>
      <c r="F44" s="28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25"/>
      <c r="AP44" s="25"/>
      <c r="AQ44" s="86"/>
      <c r="AR44" s="86"/>
      <c r="AS44" s="85"/>
    </row>
    <row r="45" spans="7:45" ht="1.5" customHeight="1"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34"/>
      <c r="AP45" s="34"/>
      <c r="AQ45" s="61"/>
      <c r="AR45" s="166" t="s">
        <v>137</v>
      </c>
      <c r="AS45" s="167"/>
    </row>
    <row r="46" spans="2:45" ht="45.75" customHeight="1" hidden="1">
      <c r="B46" s="165" t="s">
        <v>52</v>
      </c>
      <c r="C46" s="165"/>
      <c r="D46" s="165"/>
      <c r="E46" s="165"/>
      <c r="F46" s="165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40"/>
      <c r="AP46" s="40"/>
      <c r="AQ46" s="41"/>
      <c r="AS46" s="4" t="s">
        <v>135</v>
      </c>
    </row>
    <row r="47" spans="1:44" ht="12.75" customHeight="1" hidden="1">
      <c r="A47" s="146"/>
      <c r="B47" s="146"/>
      <c r="C47" s="39"/>
      <c r="D47" s="39"/>
      <c r="E47" s="39"/>
      <c r="F47" s="39"/>
      <c r="H47" s="12"/>
      <c r="I47" s="12" t="s">
        <v>53</v>
      </c>
      <c r="K47" s="12"/>
      <c r="L47" s="12" t="s">
        <v>53</v>
      </c>
      <c r="Q47" s="12"/>
      <c r="R47" s="12" t="s">
        <v>53</v>
      </c>
      <c r="T47" s="12"/>
      <c r="U47" s="12" t="s">
        <v>53</v>
      </c>
      <c r="AE47" s="28"/>
      <c r="AF47" s="28"/>
      <c r="AG47" s="28"/>
      <c r="AH47" s="28"/>
      <c r="AI47" s="28"/>
      <c r="AM47" s="28"/>
      <c r="AN47" s="28"/>
      <c r="AO47" s="12"/>
      <c r="AP47" s="12"/>
      <c r="AR47" s="12"/>
    </row>
    <row r="48" spans="1:45" s="38" customFormat="1" ht="96.75" customHeight="1">
      <c r="A48" s="33"/>
      <c r="B48" s="150" t="s">
        <v>136</v>
      </c>
      <c r="C48" s="150"/>
      <c r="D48" s="150"/>
      <c r="E48" s="150"/>
      <c r="F48" s="150"/>
      <c r="G48" s="2"/>
      <c r="H48" s="2"/>
      <c r="I48" s="12"/>
      <c r="J48" s="2"/>
      <c r="K48" s="2"/>
      <c r="L48" s="12"/>
      <c r="M48" s="12"/>
      <c r="N48" s="12"/>
      <c r="O48" s="12"/>
      <c r="P48" s="2"/>
      <c r="Q48" s="2"/>
      <c r="R48" s="12"/>
      <c r="S48" s="2"/>
      <c r="T48" s="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60"/>
      <c r="AF48" s="60"/>
      <c r="AG48" s="60"/>
      <c r="AH48" s="60"/>
      <c r="AI48" s="60"/>
      <c r="AJ48" s="12"/>
      <c r="AK48" s="12"/>
      <c r="AL48" s="12"/>
      <c r="AM48" s="60"/>
      <c r="AN48" s="60"/>
      <c r="AO48" s="2"/>
      <c r="AP48" s="2"/>
      <c r="AQ48" s="12"/>
      <c r="AR48" s="2"/>
      <c r="AS48" s="2"/>
    </row>
    <row r="49" spans="31:40" ht="18.75">
      <c r="AE49" s="61"/>
      <c r="AF49" s="61"/>
      <c r="AG49" s="61"/>
      <c r="AH49" s="61"/>
      <c r="AI49" s="61"/>
      <c r="AM49" s="61"/>
      <c r="AN49" s="61"/>
    </row>
    <row r="50" spans="3:45" ht="18.75">
      <c r="C50" s="87"/>
      <c r="D50" s="21"/>
      <c r="E50" s="21"/>
      <c r="F50" s="60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21"/>
      <c r="AP50" s="21"/>
      <c r="AQ50" s="60"/>
      <c r="AR50" s="21"/>
      <c r="AS50" s="21"/>
    </row>
    <row r="51" spans="3:45" ht="18.75">
      <c r="C51" s="87"/>
      <c r="D51" s="21"/>
      <c r="E51" s="21"/>
      <c r="F51" s="60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O51" s="21"/>
      <c r="AP51" s="21"/>
      <c r="AQ51" s="60"/>
      <c r="AR51" s="21"/>
      <c r="AS51" s="21"/>
    </row>
    <row r="52" spans="3:45" ht="18.75">
      <c r="C52" s="87"/>
      <c r="D52" s="21"/>
      <c r="E52" s="21"/>
      <c r="F52" s="60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O52" s="21"/>
      <c r="AP52" s="21"/>
      <c r="AQ52" s="60"/>
      <c r="AR52" s="21"/>
      <c r="AS52" s="21"/>
    </row>
    <row r="53" spans="7:45" ht="18.75"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O53" s="21"/>
      <c r="AP53" s="21"/>
      <c r="AQ53" s="60"/>
      <c r="AR53" s="21"/>
      <c r="AS53" s="21"/>
    </row>
    <row r="54" spans="3:45" ht="18.75">
      <c r="C54" s="87"/>
      <c r="D54" s="21"/>
      <c r="E54" s="21"/>
      <c r="F54" s="60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O54" s="21"/>
      <c r="AP54" s="21"/>
      <c r="AQ54" s="60"/>
      <c r="AR54" s="21"/>
      <c r="AS54" s="21"/>
    </row>
    <row r="55" spans="3:45" ht="18.75">
      <c r="C55" s="87"/>
      <c r="D55" s="21"/>
      <c r="E55" s="21"/>
      <c r="F55" s="60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O55" s="21"/>
      <c r="AP55" s="21"/>
      <c r="AQ55" s="60"/>
      <c r="AR55" s="21"/>
      <c r="AS55" s="21"/>
    </row>
    <row r="56" spans="3:45" ht="18.75">
      <c r="C56" s="87"/>
      <c r="D56" s="21"/>
      <c r="E56" s="21"/>
      <c r="F56" s="60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O56" s="21"/>
      <c r="AP56" s="21"/>
      <c r="AQ56" s="60"/>
      <c r="AR56" s="21"/>
      <c r="AS56" s="21"/>
    </row>
    <row r="57" spans="3:45" ht="18.75">
      <c r="C57" s="87"/>
      <c r="D57" s="21"/>
      <c r="E57" s="21"/>
      <c r="F57" s="60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O57" s="21"/>
      <c r="AP57" s="21"/>
      <c r="AQ57" s="60"/>
      <c r="AR57" s="21"/>
      <c r="AS57" s="21"/>
    </row>
    <row r="58" spans="3:45" ht="18.75">
      <c r="C58" s="87"/>
      <c r="D58" s="21"/>
      <c r="E58" s="21"/>
      <c r="F58" s="60"/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O58" s="21"/>
      <c r="AP58" s="21"/>
      <c r="AQ58" s="60"/>
      <c r="AR58" s="21"/>
      <c r="AS58" s="21"/>
    </row>
    <row r="59" spans="3:45" ht="18.75">
      <c r="C59" s="87"/>
      <c r="D59" s="21"/>
      <c r="E59" s="21"/>
      <c r="F59" s="60"/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O59" s="21"/>
      <c r="AP59" s="21"/>
      <c r="AQ59" s="60"/>
      <c r="AR59" s="21"/>
      <c r="AS59" s="21"/>
    </row>
    <row r="60" spans="3:45" ht="18.75">
      <c r="C60" s="87"/>
      <c r="D60" s="21"/>
      <c r="E60" s="21"/>
      <c r="F60" s="60"/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O60" s="21"/>
      <c r="AP60" s="21"/>
      <c r="AQ60" s="60"/>
      <c r="AR60" s="21"/>
      <c r="AS60" s="21"/>
    </row>
    <row r="61" spans="3:45" ht="18.75">
      <c r="C61" s="87"/>
      <c r="D61" s="21"/>
      <c r="E61" s="21"/>
      <c r="F61" s="60"/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O61" s="21"/>
      <c r="AP61" s="21"/>
      <c r="AQ61" s="60"/>
      <c r="AR61" s="21"/>
      <c r="AS61" s="21"/>
    </row>
    <row r="62" spans="3:45" ht="18.75">
      <c r="C62" s="87"/>
      <c r="D62" s="21"/>
      <c r="E62" s="21"/>
      <c r="F62" s="60"/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O62" s="21"/>
      <c r="AP62" s="21"/>
      <c r="AQ62" s="60"/>
      <c r="AR62" s="21"/>
      <c r="AS62" s="21"/>
    </row>
    <row r="63" spans="3:45" ht="18.75">
      <c r="C63" s="87"/>
      <c r="D63" s="21"/>
      <c r="E63" s="21"/>
      <c r="F63" s="60"/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O63" s="21"/>
      <c r="AP63" s="21"/>
      <c r="AQ63" s="60"/>
      <c r="AR63" s="21"/>
      <c r="AS63" s="21"/>
    </row>
    <row r="64" spans="3:45" ht="18.75">
      <c r="C64" s="87"/>
      <c r="D64" s="21"/>
      <c r="E64" s="21"/>
      <c r="F64" s="60"/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O64" s="21"/>
      <c r="AP64" s="21"/>
      <c r="AQ64" s="60"/>
      <c r="AR64" s="21"/>
      <c r="AS64" s="21"/>
    </row>
    <row r="65" spans="3:45" ht="18.75">
      <c r="C65" s="87"/>
      <c r="D65" s="21"/>
      <c r="E65" s="21"/>
      <c r="F65" s="60"/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O65" s="21"/>
      <c r="AP65" s="21"/>
      <c r="AQ65" s="60"/>
      <c r="AR65" s="21"/>
      <c r="AS65" s="21"/>
    </row>
    <row r="66" spans="3:45" ht="18.75">
      <c r="C66" s="87"/>
      <c r="D66" s="21"/>
      <c r="E66" s="21"/>
      <c r="F66" s="60"/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O66" s="21"/>
      <c r="AP66" s="21"/>
      <c r="AQ66" s="60"/>
      <c r="AR66" s="21"/>
      <c r="AS66" s="21"/>
    </row>
    <row r="67" spans="3:45" ht="18.75">
      <c r="C67" s="87"/>
      <c r="D67" s="21"/>
      <c r="E67" s="21"/>
      <c r="F67" s="60"/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O67" s="21"/>
      <c r="AP67" s="21"/>
      <c r="AQ67" s="60"/>
      <c r="AR67" s="21"/>
      <c r="AS67" s="21"/>
    </row>
    <row r="68" spans="3:45" ht="18.75">
      <c r="C68" s="87"/>
      <c r="D68" s="21"/>
      <c r="E68" s="21"/>
      <c r="F68" s="60"/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O68" s="21"/>
      <c r="AP68" s="21"/>
      <c r="AQ68" s="60"/>
      <c r="AR68" s="21"/>
      <c r="AS68" s="21"/>
    </row>
    <row r="69" spans="3:45" ht="18.75">
      <c r="C69" s="87"/>
      <c r="D69" s="21"/>
      <c r="E69" s="21"/>
      <c r="F69" s="60"/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O69" s="21"/>
      <c r="AP69" s="21"/>
      <c r="AQ69" s="60"/>
      <c r="AR69" s="21"/>
      <c r="AS69" s="21"/>
    </row>
    <row r="70" spans="3:45" ht="18.75">
      <c r="C70" s="87"/>
      <c r="D70" s="21"/>
      <c r="E70" s="21"/>
      <c r="F70" s="60"/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O70" s="21"/>
      <c r="AP70" s="21"/>
      <c r="AQ70" s="60"/>
      <c r="AR70" s="21"/>
      <c r="AS70" s="21"/>
    </row>
    <row r="71" spans="3:45" ht="18.75">
      <c r="C71" s="87"/>
      <c r="D71" s="21"/>
      <c r="E71" s="21"/>
      <c r="F71" s="60"/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O71" s="21"/>
      <c r="AP71" s="21"/>
      <c r="AQ71" s="60"/>
      <c r="AR71" s="21"/>
      <c r="AS71" s="21"/>
    </row>
    <row r="72" spans="3:45" ht="18.75">
      <c r="C72" s="87"/>
      <c r="D72" s="21"/>
      <c r="E72" s="21"/>
      <c r="F72" s="60"/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O72" s="21"/>
      <c r="AP72" s="21"/>
      <c r="AQ72" s="60"/>
      <c r="AR72" s="21"/>
      <c r="AS72" s="21"/>
    </row>
    <row r="73" spans="3:45" ht="18.75">
      <c r="C73" s="87"/>
      <c r="D73" s="21"/>
      <c r="E73" s="21"/>
      <c r="F73" s="60"/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O73" s="21"/>
      <c r="AP73" s="21"/>
      <c r="AQ73" s="60"/>
      <c r="AR73" s="21"/>
      <c r="AS73" s="21"/>
    </row>
    <row r="74" spans="3:45" ht="18.75">
      <c r="C74" s="87"/>
      <c r="D74" s="21"/>
      <c r="E74" s="21"/>
      <c r="F74" s="60"/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O74" s="21"/>
      <c r="AP74" s="21"/>
      <c r="AQ74" s="60"/>
      <c r="AR74" s="21"/>
      <c r="AS74" s="21"/>
    </row>
    <row r="75" spans="3:45" ht="18.75">
      <c r="C75" s="87"/>
      <c r="D75" s="21"/>
      <c r="E75" s="21"/>
      <c r="F75" s="60"/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O75" s="21"/>
      <c r="AP75" s="21"/>
      <c r="AQ75" s="60"/>
      <c r="AR75" s="21"/>
      <c r="AS75" s="21"/>
    </row>
    <row r="76" spans="3:45" ht="18.75">
      <c r="C76" s="87"/>
      <c r="D76" s="21"/>
      <c r="E76" s="21"/>
      <c r="F76" s="60"/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O76" s="21"/>
      <c r="AP76" s="21"/>
      <c r="AQ76" s="60"/>
      <c r="AR76" s="21"/>
      <c r="AS76" s="21"/>
    </row>
    <row r="77" spans="3:45" ht="18.75">
      <c r="C77" s="87"/>
      <c r="D77" s="21"/>
      <c r="E77" s="21"/>
      <c r="F77" s="60"/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O77" s="21"/>
      <c r="AP77" s="21"/>
      <c r="AQ77" s="60"/>
      <c r="AR77" s="21"/>
      <c r="AS77" s="21"/>
    </row>
    <row r="78" spans="3:45" ht="18.75">
      <c r="C78" s="87"/>
      <c r="D78" s="21"/>
      <c r="E78" s="21"/>
      <c r="F78" s="60"/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O78" s="21"/>
      <c r="AP78" s="21"/>
      <c r="AQ78" s="60"/>
      <c r="AR78" s="21"/>
      <c r="AS78" s="21"/>
    </row>
    <row r="79" spans="3:45" ht="18.75">
      <c r="C79" s="87"/>
      <c r="D79" s="21"/>
      <c r="E79" s="21"/>
      <c r="F79" s="60"/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O79" s="21"/>
      <c r="AP79" s="21"/>
      <c r="AQ79" s="60"/>
      <c r="AR79" s="21"/>
      <c r="AS79" s="21"/>
    </row>
    <row r="80" spans="3:45" ht="18.75">
      <c r="C80" s="87"/>
      <c r="D80" s="21"/>
      <c r="E80" s="21"/>
      <c r="F80" s="60"/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O80" s="21"/>
      <c r="AP80" s="21"/>
      <c r="AQ80" s="60"/>
      <c r="AR80" s="21"/>
      <c r="AS80" s="21"/>
    </row>
    <row r="81" spans="3:45" ht="18.75">
      <c r="C81" s="87"/>
      <c r="D81" s="21"/>
      <c r="E81" s="21"/>
      <c r="F81" s="60"/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O81" s="21"/>
      <c r="AP81" s="21"/>
      <c r="AQ81" s="60"/>
      <c r="AR81" s="21"/>
      <c r="AS81" s="21"/>
    </row>
    <row r="82" spans="3:45" ht="18.75">
      <c r="C82" s="87"/>
      <c r="D82" s="21"/>
      <c r="E82" s="21"/>
      <c r="F82" s="60"/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O82" s="21"/>
      <c r="AP82" s="21"/>
      <c r="AQ82" s="60"/>
      <c r="AR82" s="21"/>
      <c r="AS82" s="21"/>
    </row>
    <row r="83" spans="3:45" ht="18.75">
      <c r="C83" s="87"/>
      <c r="D83" s="21"/>
      <c r="E83" s="21"/>
      <c r="F83" s="60"/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O83" s="21"/>
      <c r="AP83" s="21"/>
      <c r="AQ83" s="60"/>
      <c r="AR83" s="21"/>
      <c r="AS83" s="21"/>
    </row>
    <row r="84" spans="3:45" ht="18.75">
      <c r="C84" s="87"/>
      <c r="D84" s="21"/>
      <c r="E84" s="21"/>
      <c r="F84" s="60"/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O84" s="21"/>
      <c r="AP84" s="21"/>
      <c r="AQ84" s="60"/>
      <c r="AR84" s="21"/>
      <c r="AS84" s="21"/>
    </row>
    <row r="85" spans="3:45" ht="18.75">
      <c r="C85" s="87"/>
      <c r="D85" s="21"/>
      <c r="E85" s="21"/>
      <c r="F85" s="60"/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O85" s="21"/>
      <c r="AP85" s="21"/>
      <c r="AQ85" s="60"/>
      <c r="AR85" s="21"/>
      <c r="AS85" s="21"/>
    </row>
    <row r="86" spans="3:45" ht="18.75">
      <c r="C86" s="87"/>
      <c r="D86" s="21"/>
      <c r="E86" s="21"/>
      <c r="F86" s="60"/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O86" s="21"/>
      <c r="AP86" s="21"/>
      <c r="AQ86" s="60"/>
      <c r="AR86" s="21"/>
      <c r="AS86" s="21"/>
    </row>
    <row r="87" spans="3:45" ht="18.75">
      <c r="C87" s="87"/>
      <c r="D87" s="21"/>
      <c r="E87" s="21"/>
      <c r="F87" s="60"/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O87" s="21"/>
      <c r="AP87" s="21"/>
      <c r="AQ87" s="60"/>
      <c r="AR87" s="21"/>
      <c r="AS87" s="21"/>
    </row>
    <row r="88" spans="3:45" ht="18.75">
      <c r="C88" s="87"/>
      <c r="D88" s="21"/>
      <c r="E88" s="21"/>
      <c r="F88" s="60"/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O88" s="21"/>
      <c r="AP88" s="21"/>
      <c r="AQ88" s="60"/>
      <c r="AR88" s="21"/>
      <c r="AS88" s="21"/>
    </row>
    <row r="89" spans="3:45" ht="18.75">
      <c r="C89" s="87"/>
      <c r="D89" s="21"/>
      <c r="E89" s="21"/>
      <c r="F89" s="60"/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O89" s="21"/>
      <c r="AP89" s="21"/>
      <c r="AQ89" s="60"/>
      <c r="AR89" s="21"/>
      <c r="AS89" s="21"/>
    </row>
    <row r="90" spans="3:45" ht="18.75">
      <c r="C90" s="87"/>
      <c r="D90" s="21"/>
      <c r="E90" s="21"/>
      <c r="F90" s="60"/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O90" s="21"/>
      <c r="AP90" s="21"/>
      <c r="AQ90" s="60"/>
      <c r="AR90" s="21"/>
      <c r="AS90" s="21"/>
    </row>
    <row r="91" spans="3:45" ht="18.75">
      <c r="C91" s="87"/>
      <c r="D91" s="21"/>
      <c r="E91" s="21"/>
      <c r="F91" s="60"/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O91" s="21"/>
      <c r="AP91" s="21"/>
      <c r="AQ91" s="60"/>
      <c r="AR91" s="21"/>
      <c r="AS91" s="21"/>
    </row>
    <row r="92" spans="3:45" ht="18.75">
      <c r="C92" s="87"/>
      <c r="D92" s="21"/>
      <c r="E92" s="21"/>
      <c r="F92" s="60"/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O92" s="21"/>
      <c r="AP92" s="21"/>
      <c r="AQ92" s="60"/>
      <c r="AR92" s="21"/>
      <c r="AS92" s="21"/>
    </row>
    <row r="93" spans="3:45" ht="18.75">
      <c r="C93" s="87"/>
      <c r="D93" s="21"/>
      <c r="E93" s="21"/>
      <c r="F93" s="60"/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O93" s="21"/>
      <c r="AP93" s="21"/>
      <c r="AQ93" s="60"/>
      <c r="AR93" s="21"/>
      <c r="AS93" s="21"/>
    </row>
    <row r="94" spans="3:45" ht="18.75">
      <c r="C94" s="87"/>
      <c r="D94" s="21"/>
      <c r="E94" s="21"/>
      <c r="F94" s="60"/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O94" s="21"/>
      <c r="AP94" s="21"/>
      <c r="AQ94" s="60"/>
      <c r="AR94" s="21"/>
      <c r="AS94" s="21"/>
    </row>
    <row r="95" spans="3:45" ht="18.75">
      <c r="C95" s="87"/>
      <c r="D95" s="21"/>
      <c r="E95" s="21"/>
      <c r="F95" s="60"/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O95" s="21"/>
      <c r="AP95" s="21"/>
      <c r="AQ95" s="60"/>
      <c r="AR95" s="21"/>
      <c r="AS95" s="21"/>
    </row>
    <row r="96" spans="3:6" ht="18.75">
      <c r="C96" s="87"/>
      <c r="D96" s="21"/>
      <c r="E96" s="21"/>
      <c r="F96" s="60"/>
    </row>
  </sheetData>
  <sheetProtection/>
  <mergeCells count="24">
    <mergeCell ref="B48:F48"/>
    <mergeCell ref="B46:F46"/>
    <mergeCell ref="AH5:AI5"/>
    <mergeCell ref="AM5:AN5"/>
    <mergeCell ref="AJ5:AL5"/>
    <mergeCell ref="AR45:AS45"/>
    <mergeCell ref="A47:B47"/>
    <mergeCell ref="J5:L5"/>
    <mergeCell ref="AE5:AG5"/>
    <mergeCell ref="AB5:AD5"/>
    <mergeCell ref="AR5:AR6"/>
    <mergeCell ref="G5:I5"/>
    <mergeCell ref="AO5:AQ5"/>
    <mergeCell ref="S5:U5"/>
    <mergeCell ref="M5:O5"/>
    <mergeCell ref="I1:AS1"/>
    <mergeCell ref="B2:AS2"/>
    <mergeCell ref="B3:AS3"/>
    <mergeCell ref="B4:F4"/>
    <mergeCell ref="D5:F5"/>
    <mergeCell ref="P5:R5"/>
    <mergeCell ref="V5:X5"/>
    <mergeCell ref="Y5:AA5"/>
    <mergeCell ref="AS5:AS6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E95"/>
  <sheetViews>
    <sheetView view="pageBreakPreview" zoomScale="75" zoomScaleNormal="50" zoomScaleSheetLayoutView="75" zoomScalePageLayoutView="0" workbookViewId="0" topLeftCell="A1">
      <pane xSplit="6" ySplit="8" topLeftCell="Y1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7" sqref="A17:IV17"/>
    </sheetView>
  </sheetViews>
  <sheetFormatPr defaultColWidth="6.75390625" defaultRowHeight="12.75"/>
  <cols>
    <col min="1" max="1" width="4.25390625" style="1" customWidth="1"/>
    <col min="2" max="2" width="54.125" style="2" customWidth="1"/>
    <col min="3" max="3" width="16.25390625" style="107" customWidth="1"/>
    <col min="4" max="4" width="21.00390625" style="2" hidden="1" customWidth="1"/>
    <col min="5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125" style="12" hidden="1" customWidth="1"/>
    <col min="23" max="23" width="14.75390625" style="12" hidden="1" customWidth="1"/>
    <col min="24" max="24" width="11.125" style="12" hidden="1" customWidth="1"/>
    <col min="25" max="25" width="13.625" style="12" customWidth="1"/>
    <col min="26" max="26" width="12.75390625" style="12" customWidth="1"/>
    <col min="27" max="27" width="11.125" style="12" customWidth="1"/>
    <col min="28" max="28" width="15.125" style="12" hidden="1" customWidth="1"/>
    <col min="29" max="29" width="14.7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25390625" style="12" hidden="1" customWidth="1"/>
    <col min="35" max="35" width="11.00390625" style="12" hidden="1" customWidth="1"/>
    <col min="36" max="36" width="13.625" style="12" customWidth="1"/>
    <col min="37" max="37" width="12.75390625" style="12" customWidth="1"/>
    <col min="38" max="38" width="11.125" style="12" customWidth="1"/>
    <col min="39" max="39" width="13.25390625" style="12" customWidth="1"/>
    <col min="40" max="40" width="11.00390625" style="12" customWidth="1"/>
    <col min="41" max="42" width="14.75390625" style="2" customWidth="1"/>
    <col min="43" max="43" width="11.125" style="12" customWidth="1"/>
    <col min="44" max="44" width="16.75390625" style="2" customWidth="1"/>
    <col min="45" max="45" width="18.25390625" style="2" customWidth="1"/>
    <col min="46" max="46" width="12.25390625" style="2" customWidth="1"/>
    <col min="47" max="47" width="10.125" style="2" customWidth="1"/>
    <col min="48" max="16384" width="6.75390625" style="2" customWidth="1"/>
  </cols>
  <sheetData>
    <row r="1" spans="9:45" ht="21" customHeight="1">
      <c r="I1" s="158" t="s">
        <v>50</v>
      </c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</row>
    <row r="2" spans="1:45" s="63" customFormat="1" ht="42" customHeight="1">
      <c r="A2" s="62"/>
      <c r="B2" s="159" t="s">
        <v>129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</row>
    <row r="3" spans="1:45" s="63" customFormat="1" ht="42" customHeight="1">
      <c r="A3" s="62"/>
      <c r="B3" s="159" t="s">
        <v>159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</row>
    <row r="4" spans="2:45" ht="18.75">
      <c r="B4" s="160"/>
      <c r="C4" s="160"/>
      <c r="D4" s="160"/>
      <c r="E4" s="160"/>
      <c r="F4" s="160"/>
      <c r="AE4" s="6"/>
      <c r="AF4" s="6"/>
      <c r="AG4" s="6"/>
      <c r="AH4" s="6"/>
      <c r="AI4" s="6"/>
      <c r="AM4" s="6"/>
      <c r="AN4" s="6"/>
      <c r="AS4" s="5" t="s">
        <v>7</v>
      </c>
    </row>
    <row r="5" spans="1:45" ht="58.5" customHeight="1">
      <c r="A5" s="50" t="s">
        <v>55</v>
      </c>
      <c r="B5" s="51"/>
      <c r="C5" s="52" t="s">
        <v>1</v>
      </c>
      <c r="D5" s="151" t="s">
        <v>142</v>
      </c>
      <c r="E5" s="152"/>
      <c r="F5" s="153"/>
      <c r="G5" s="154" t="s">
        <v>143</v>
      </c>
      <c r="H5" s="155"/>
      <c r="I5" s="156"/>
      <c r="J5" s="154" t="s">
        <v>147</v>
      </c>
      <c r="K5" s="155"/>
      <c r="L5" s="156"/>
      <c r="M5" s="154" t="s">
        <v>149</v>
      </c>
      <c r="N5" s="155"/>
      <c r="O5" s="156"/>
      <c r="P5" s="154" t="s">
        <v>148</v>
      </c>
      <c r="Q5" s="155"/>
      <c r="R5" s="156"/>
      <c r="S5" s="154" t="s">
        <v>150</v>
      </c>
      <c r="T5" s="155"/>
      <c r="U5" s="156"/>
      <c r="V5" s="154" t="s">
        <v>151</v>
      </c>
      <c r="W5" s="155"/>
      <c r="X5" s="156"/>
      <c r="Y5" s="154" t="s">
        <v>153</v>
      </c>
      <c r="Z5" s="155"/>
      <c r="AA5" s="156"/>
      <c r="AB5" s="154" t="s">
        <v>154</v>
      </c>
      <c r="AC5" s="155"/>
      <c r="AD5" s="156"/>
      <c r="AE5" s="154" t="s">
        <v>155</v>
      </c>
      <c r="AF5" s="155"/>
      <c r="AG5" s="156"/>
      <c r="AH5" s="154" t="s">
        <v>156</v>
      </c>
      <c r="AI5" s="156"/>
      <c r="AJ5" s="154" t="s">
        <v>157</v>
      </c>
      <c r="AK5" s="155"/>
      <c r="AL5" s="156"/>
      <c r="AM5" s="154" t="s">
        <v>158</v>
      </c>
      <c r="AN5" s="156"/>
      <c r="AO5" s="151" t="s">
        <v>144</v>
      </c>
      <c r="AP5" s="152"/>
      <c r="AQ5" s="153"/>
      <c r="AR5" s="161" t="s">
        <v>160</v>
      </c>
      <c r="AS5" s="161" t="s">
        <v>161</v>
      </c>
    </row>
    <row r="6" spans="1:45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8" t="s">
        <v>0</v>
      </c>
      <c r="AR6" s="162"/>
      <c r="AS6" s="162"/>
    </row>
    <row r="7" spans="1:47" s="12" customFormat="1" ht="36" customHeight="1">
      <c r="A7" s="8"/>
      <c r="B7" s="9" t="s">
        <v>89</v>
      </c>
      <c r="C7" s="67">
        <f>SUM(C8:C40)</f>
        <v>-59.400000000000006</v>
      </c>
      <c r="D7" s="11">
        <f>SUM(D8:D40)</f>
        <v>413.5999999999999</v>
      </c>
      <c r="E7" s="11">
        <f>SUM(E8:E40)</f>
        <v>97.7</v>
      </c>
      <c r="F7" s="11">
        <f>E7/D7*100</f>
        <v>23.621856866537723</v>
      </c>
      <c r="G7" s="11">
        <f>SUM(G8:G40)</f>
        <v>488.2999999999999</v>
      </c>
      <c r="H7" s="11">
        <f>SUM(H8:H40)</f>
        <v>180.6</v>
      </c>
      <c r="I7" s="11">
        <f aca="true" t="shared" si="0" ref="I7:I43">H7/G7*100</f>
        <v>36.985459758345286</v>
      </c>
      <c r="J7" s="11">
        <f>SUM(J8:J40)</f>
        <v>466.20000000000005</v>
      </c>
      <c r="K7" s="11">
        <f>SUM(K8:K40)</f>
        <v>759.1</v>
      </c>
      <c r="L7" s="11">
        <f>K7/J7*100</f>
        <v>162.8271128271128</v>
      </c>
      <c r="M7" s="11">
        <f>SUM(M8:M40)</f>
        <v>1368.1</v>
      </c>
      <c r="N7" s="11">
        <f>SUM(N8:N40)</f>
        <v>1037.4</v>
      </c>
      <c r="O7" s="11">
        <f>N7/M7*100</f>
        <v>75.82779036620131</v>
      </c>
      <c r="P7" s="11">
        <f>SUM(P8:P40)</f>
        <v>468</v>
      </c>
      <c r="Q7" s="11">
        <f>SUM(Q8:Q40)</f>
        <v>479.8</v>
      </c>
      <c r="R7" s="11">
        <f>Q7/P7*100</f>
        <v>102.52136752136754</v>
      </c>
      <c r="S7" s="11">
        <f>SUM(S8:S40)</f>
        <v>466.5</v>
      </c>
      <c r="T7" s="11">
        <f>SUM(T8:T40)</f>
        <v>195.8</v>
      </c>
      <c r="U7" s="11">
        <f>T7/S7*100</f>
        <v>41.97213290460879</v>
      </c>
      <c r="V7" s="11">
        <f>SUM(V8:V40)</f>
        <v>485</v>
      </c>
      <c r="W7" s="11">
        <f>SUM(W8:W40)</f>
        <v>268.09999999999997</v>
      </c>
      <c r="X7" s="11">
        <f>W7/V7*100</f>
        <v>55.27835051546391</v>
      </c>
      <c r="Y7" s="11">
        <f>SUM(Y8:Y40)</f>
        <v>1419.5000000000002</v>
      </c>
      <c r="Z7" s="11">
        <f>SUM(Z8:Z40)</f>
        <v>943.7000000000002</v>
      </c>
      <c r="AA7" s="11">
        <f>Z7/Y7*100</f>
        <v>66.48115533638605</v>
      </c>
      <c r="AB7" s="11">
        <f>SUM(AB8:AB40)</f>
        <v>446.40000000000003</v>
      </c>
      <c r="AC7" s="11">
        <f>SUM(AC8:AC40)</f>
        <v>276.09999999999997</v>
      </c>
      <c r="AD7" s="11">
        <f>AC7/AB7*100</f>
        <v>61.85035842293905</v>
      </c>
      <c r="AE7" s="11">
        <f>SUM(AE8:AE40)</f>
        <v>248.29999999999998</v>
      </c>
      <c r="AF7" s="11">
        <f>SUM(AF8:AF40)</f>
        <v>262.4</v>
      </c>
      <c r="AG7" s="11">
        <f>AF7/AE7*100</f>
        <v>105.67861457913814</v>
      </c>
      <c r="AH7" s="11">
        <f>SUM(AH8:AH40)</f>
        <v>262.1</v>
      </c>
      <c r="AI7" s="11">
        <f>SUM(AI8:AI40)</f>
        <v>967.3000000000001</v>
      </c>
      <c r="AJ7" s="11">
        <f>SUM(AJ8:AJ40)</f>
        <v>956.8000000000002</v>
      </c>
      <c r="AK7" s="11">
        <f>SUM(AK8:AK40)</f>
        <v>1505.7999999999997</v>
      </c>
      <c r="AL7" s="11">
        <f>AK7/AJ7*100</f>
        <v>157.37876254180597</v>
      </c>
      <c r="AM7" s="11">
        <f>SUM(AM8:AM40)</f>
        <v>276.8</v>
      </c>
      <c r="AN7" s="11">
        <f>SUM(AN8:AN40)</f>
        <v>213.8</v>
      </c>
      <c r="AO7" s="67">
        <f>SUM(AO8:AO40)</f>
        <v>4021.2</v>
      </c>
      <c r="AP7" s="67">
        <f>SUM(AP8:AP40)</f>
        <v>3700.7</v>
      </c>
      <c r="AQ7" s="11">
        <f aca="true" t="shared" si="1" ref="AQ7:AQ42">AP7/AO7*100</f>
        <v>92.02974236546304</v>
      </c>
      <c r="AR7" s="67">
        <f>SUM(AR8:AR40)</f>
        <v>320.50000000000006</v>
      </c>
      <c r="AS7" s="67">
        <f>SUM(AS8:AS40)</f>
        <v>261.1</v>
      </c>
      <c r="AT7" s="27">
        <f>SUM(AR8:AR40)</f>
        <v>320.50000000000006</v>
      </c>
      <c r="AU7" s="27">
        <f>SUM(AS8:AS40)</f>
        <v>261.1</v>
      </c>
    </row>
    <row r="8" spans="1:45" ht="24.75" customHeight="1">
      <c r="A8" s="13" t="s">
        <v>13</v>
      </c>
      <c r="B8" s="47" t="s">
        <v>91</v>
      </c>
      <c r="C8" s="108">
        <v>3.2</v>
      </c>
      <c r="D8" s="44">
        <v>20.7</v>
      </c>
      <c r="E8" s="44">
        <v>19.1</v>
      </c>
      <c r="F8" s="11">
        <f>E8/D8*100</f>
        <v>92.27053140096619</v>
      </c>
      <c r="G8" s="44">
        <v>22.9</v>
      </c>
      <c r="H8" s="44">
        <v>19.2</v>
      </c>
      <c r="I8" s="11">
        <f t="shared" si="0"/>
        <v>83.84279475982534</v>
      </c>
      <c r="J8" s="44">
        <v>23.3</v>
      </c>
      <c r="K8" s="44">
        <v>9.2</v>
      </c>
      <c r="L8" s="11">
        <f>K8/J8*100</f>
        <v>39.48497854077253</v>
      </c>
      <c r="M8" s="89">
        <f>D8+G8+J8</f>
        <v>66.89999999999999</v>
      </c>
      <c r="N8" s="89">
        <f>E8+H8+K8</f>
        <v>47.5</v>
      </c>
      <c r="O8" s="11">
        <f aca="true" t="shared" si="2" ref="O8:O43">N8/M8*100</f>
        <v>71.00149476831092</v>
      </c>
      <c r="P8" s="44">
        <v>22.8</v>
      </c>
      <c r="Q8" s="44">
        <v>26</v>
      </c>
      <c r="R8" s="11">
        <f>Q8/P8*100</f>
        <v>114.03508771929825</v>
      </c>
      <c r="S8" s="44">
        <v>20.9</v>
      </c>
      <c r="T8" s="44">
        <v>9.6</v>
      </c>
      <c r="U8" s="11">
        <f>T8/S8*100</f>
        <v>45.933014354066984</v>
      </c>
      <c r="V8" s="44">
        <v>19.4</v>
      </c>
      <c r="W8" s="44">
        <v>19</v>
      </c>
      <c r="X8" s="11">
        <f>W8/V8*100</f>
        <v>97.93814432989691</v>
      </c>
      <c r="Y8" s="89">
        <f>P8+S8+V8</f>
        <v>63.1</v>
      </c>
      <c r="Z8" s="89">
        <f>Q8+T8+W8</f>
        <v>54.6</v>
      </c>
      <c r="AA8" s="11">
        <f>Z8/Y8*100</f>
        <v>86.52931854199683</v>
      </c>
      <c r="AB8" s="44">
        <v>20.5</v>
      </c>
      <c r="AC8" s="44">
        <v>24</v>
      </c>
      <c r="AD8" s="11">
        <f>AC8/AB8*100</f>
        <v>117.07317073170731</v>
      </c>
      <c r="AE8" s="44">
        <v>21.5</v>
      </c>
      <c r="AF8" s="44">
        <v>22.2</v>
      </c>
      <c r="AG8" s="11">
        <f>AF8/AE8*100</f>
        <v>103.25581395348837</v>
      </c>
      <c r="AH8" s="44">
        <v>23.3</v>
      </c>
      <c r="AI8" s="44">
        <v>24.3</v>
      </c>
      <c r="AJ8" s="89">
        <f>AB8+AE8+AH8</f>
        <v>65.3</v>
      </c>
      <c r="AK8" s="89">
        <f>AC8+AF8+AI8</f>
        <v>70.5</v>
      </c>
      <c r="AL8" s="11">
        <f>AK8/AJ8*100</f>
        <v>107.96324655436447</v>
      </c>
      <c r="AM8" s="44">
        <v>23</v>
      </c>
      <c r="AN8" s="44">
        <v>20.1</v>
      </c>
      <c r="AO8" s="72">
        <f>M8+Y8+AJ8+AM8</f>
        <v>218.3</v>
      </c>
      <c r="AP8" s="72">
        <f>N8+Z8+AK8+AN8</f>
        <v>192.7</v>
      </c>
      <c r="AQ8" s="11">
        <f t="shared" si="1"/>
        <v>88.27301878149335</v>
      </c>
      <c r="AR8" s="72">
        <f>AO8-AP8</f>
        <v>25.600000000000023</v>
      </c>
      <c r="AS8" s="18">
        <f>C8+AO8-AP8</f>
        <v>28.80000000000001</v>
      </c>
    </row>
    <row r="9" spans="1:45" ht="24.75" customHeight="1">
      <c r="A9" s="13" t="s">
        <v>14</v>
      </c>
      <c r="B9" s="47" t="s">
        <v>92</v>
      </c>
      <c r="C9" s="108">
        <v>-12.4</v>
      </c>
      <c r="D9" s="44">
        <v>1.4</v>
      </c>
      <c r="E9" s="44">
        <v>0.6</v>
      </c>
      <c r="F9" s="11">
        <f>E9/D9*100</f>
        <v>42.85714285714286</v>
      </c>
      <c r="G9" s="44">
        <v>1.6</v>
      </c>
      <c r="H9" s="44">
        <v>0.9</v>
      </c>
      <c r="I9" s="11">
        <f t="shared" si="0"/>
        <v>56.25</v>
      </c>
      <c r="J9" s="44">
        <v>1.5</v>
      </c>
      <c r="K9" s="44">
        <v>1.5</v>
      </c>
      <c r="L9" s="11">
        <f>K9/J9*100</f>
        <v>100</v>
      </c>
      <c r="M9" s="89">
        <f aca="true" t="shared" si="3" ref="M9:M42">D9+G9+J9</f>
        <v>4.5</v>
      </c>
      <c r="N9" s="89">
        <f aca="true" t="shared" si="4" ref="N9:N42">E9+H9+K9</f>
        <v>3</v>
      </c>
      <c r="O9" s="11">
        <f t="shared" si="2"/>
        <v>66.66666666666666</v>
      </c>
      <c r="P9" s="44">
        <v>1.7</v>
      </c>
      <c r="Q9" s="44">
        <v>1.4</v>
      </c>
      <c r="R9" s="11">
        <f>Q9/P9*100</f>
        <v>82.35294117647058</v>
      </c>
      <c r="S9" s="44">
        <v>1.3</v>
      </c>
      <c r="T9" s="44">
        <v>1</v>
      </c>
      <c r="U9" s="11">
        <f>T9/S9*100</f>
        <v>76.92307692307692</v>
      </c>
      <c r="V9" s="44">
        <v>1.4</v>
      </c>
      <c r="W9" s="44">
        <v>1.7</v>
      </c>
      <c r="X9" s="11">
        <f>W9/V9*100</f>
        <v>121.42857142857144</v>
      </c>
      <c r="Y9" s="89">
        <f>P9+S9+V9</f>
        <v>4.4</v>
      </c>
      <c r="Z9" s="89">
        <f>Q9+T9+W9</f>
        <v>4.1</v>
      </c>
      <c r="AA9" s="11">
        <f>Z9/Y9*100</f>
        <v>93.18181818181816</v>
      </c>
      <c r="AB9" s="44">
        <v>1.5</v>
      </c>
      <c r="AC9" s="44">
        <v>1.2</v>
      </c>
      <c r="AD9" s="11">
        <f>AC9/AB9*100</f>
        <v>80</v>
      </c>
      <c r="AE9" s="44">
        <v>1.5</v>
      </c>
      <c r="AF9" s="44">
        <v>0.2</v>
      </c>
      <c r="AG9" s="11">
        <f>AF9/AE9*100</f>
        <v>13.333333333333334</v>
      </c>
      <c r="AH9" s="44">
        <v>1.5</v>
      </c>
      <c r="AI9" s="44">
        <f>0.6+0.2</f>
        <v>0.8</v>
      </c>
      <c r="AJ9" s="89">
        <f aca="true" t="shared" si="5" ref="AJ9:AJ40">AB9+AE9+AH9</f>
        <v>4.5</v>
      </c>
      <c r="AK9" s="89">
        <f aca="true" t="shared" si="6" ref="AK9:AK40">AC9+AF9+AI9</f>
        <v>2.2</v>
      </c>
      <c r="AL9" s="11">
        <f>AK9/AJ9*100</f>
        <v>48.88888888888889</v>
      </c>
      <c r="AM9" s="44">
        <v>1.5</v>
      </c>
      <c r="AN9" s="44">
        <v>0.9</v>
      </c>
      <c r="AO9" s="72">
        <f aca="true" t="shared" si="7" ref="AO9:AO40">M9+Y9+AJ9+AM9</f>
        <v>14.9</v>
      </c>
      <c r="AP9" s="72">
        <f aca="true" t="shared" si="8" ref="AP9:AP40">N9+Z9+AK9+AN9</f>
        <v>10.200000000000001</v>
      </c>
      <c r="AQ9" s="11">
        <f t="shared" si="1"/>
        <v>68.45637583892618</v>
      </c>
      <c r="AR9" s="72">
        <f aca="true" t="shared" si="9" ref="AR9:AR42">AO9-AP9</f>
        <v>4.699999999999999</v>
      </c>
      <c r="AS9" s="18">
        <f aca="true" t="shared" si="10" ref="AS9:AS42">C9+AO9-AP9</f>
        <v>-7.700000000000001</v>
      </c>
    </row>
    <row r="10" spans="1:45" ht="24.75" customHeight="1">
      <c r="A10" s="13" t="s">
        <v>15</v>
      </c>
      <c r="B10" s="15" t="s">
        <v>133</v>
      </c>
      <c r="C10" s="108"/>
      <c r="D10" s="44"/>
      <c r="E10" s="44"/>
      <c r="F10" s="11"/>
      <c r="G10" s="44"/>
      <c r="H10" s="44"/>
      <c r="I10" s="111"/>
      <c r="J10" s="44"/>
      <c r="K10" s="44"/>
      <c r="L10" s="111"/>
      <c r="M10" s="89"/>
      <c r="N10" s="89"/>
      <c r="O10" s="11"/>
      <c r="P10" s="44"/>
      <c r="Q10" s="44"/>
      <c r="R10" s="111"/>
      <c r="S10" s="44"/>
      <c r="T10" s="44"/>
      <c r="U10" s="111"/>
      <c r="V10" s="44"/>
      <c r="W10" s="44"/>
      <c r="X10" s="111"/>
      <c r="Y10" s="89"/>
      <c r="Z10" s="89"/>
      <c r="AA10" s="11"/>
      <c r="AB10" s="44"/>
      <c r="AC10" s="44"/>
      <c r="AD10" s="111"/>
      <c r="AE10" s="44"/>
      <c r="AF10" s="44"/>
      <c r="AG10" s="11" t="e">
        <f>AF10/AE10*100</f>
        <v>#DIV/0!</v>
      </c>
      <c r="AH10" s="44"/>
      <c r="AI10" s="44"/>
      <c r="AJ10" s="89"/>
      <c r="AK10" s="89"/>
      <c r="AL10" s="11"/>
      <c r="AM10" s="44"/>
      <c r="AN10" s="44"/>
      <c r="AO10" s="72">
        <f t="shared" si="7"/>
        <v>0</v>
      </c>
      <c r="AP10" s="72">
        <f t="shared" si="8"/>
        <v>0</v>
      </c>
      <c r="AQ10" s="111"/>
      <c r="AR10" s="72"/>
      <c r="AS10" s="18"/>
    </row>
    <row r="11" spans="1:45" ht="24.75" customHeight="1">
      <c r="A11" s="13" t="s">
        <v>16</v>
      </c>
      <c r="B11" s="47" t="s">
        <v>93</v>
      </c>
      <c r="C11" s="108">
        <v>-8.8</v>
      </c>
      <c r="D11" s="44">
        <v>2.2</v>
      </c>
      <c r="E11" s="44">
        <v>0.6</v>
      </c>
      <c r="F11" s="11">
        <f>E11/D11*100</f>
        <v>27.27272727272727</v>
      </c>
      <c r="G11" s="44">
        <v>6.1</v>
      </c>
      <c r="H11" s="44">
        <v>4.6</v>
      </c>
      <c r="I11" s="11">
        <f t="shared" si="0"/>
        <v>75.40983606557377</v>
      </c>
      <c r="J11" s="44">
        <v>5.5</v>
      </c>
      <c r="K11" s="44">
        <v>7.6</v>
      </c>
      <c r="L11" s="11">
        <f aca="true" t="shared" si="11" ref="L11:L19">K11/J11*100</f>
        <v>138.1818181818182</v>
      </c>
      <c r="M11" s="89">
        <f t="shared" si="3"/>
        <v>13.8</v>
      </c>
      <c r="N11" s="89">
        <f t="shared" si="4"/>
        <v>12.799999999999999</v>
      </c>
      <c r="O11" s="11">
        <f t="shared" si="2"/>
        <v>92.75362318840578</v>
      </c>
      <c r="P11" s="44">
        <v>6.2</v>
      </c>
      <c r="Q11" s="44">
        <v>6.8</v>
      </c>
      <c r="R11" s="11">
        <f aca="true" t="shared" si="12" ref="R11:R19">Q11/P11*100</f>
        <v>109.6774193548387</v>
      </c>
      <c r="S11" s="44">
        <v>3.7</v>
      </c>
      <c r="T11" s="44">
        <v>3.9</v>
      </c>
      <c r="U11" s="11">
        <f aca="true" t="shared" si="13" ref="U11:U19">T11/S11*100</f>
        <v>105.40540540540539</v>
      </c>
      <c r="V11" s="44">
        <v>6.2</v>
      </c>
      <c r="W11" s="44">
        <v>12.6</v>
      </c>
      <c r="X11" s="11">
        <f aca="true" t="shared" si="14" ref="X11:X19">W11/V11*100</f>
        <v>203.2258064516129</v>
      </c>
      <c r="Y11" s="89">
        <f aca="true" t="shared" si="15" ref="Y11:Y19">P11+S11+V11</f>
        <v>16.1</v>
      </c>
      <c r="Z11" s="89">
        <f aca="true" t="shared" si="16" ref="Z11:Z19">Q11+T11+W11</f>
        <v>23.299999999999997</v>
      </c>
      <c r="AA11" s="11">
        <f aca="true" t="shared" si="17" ref="AA11:AA19">Z11/Y11*100</f>
        <v>144.7204968944099</v>
      </c>
      <c r="AB11" s="44">
        <v>4.7</v>
      </c>
      <c r="AC11" s="44">
        <v>2.8</v>
      </c>
      <c r="AD11" s="11">
        <f aca="true" t="shared" si="18" ref="AD11:AD19">AC11/AB11*100</f>
        <v>59.57446808510638</v>
      </c>
      <c r="AE11" s="44">
        <v>6.5</v>
      </c>
      <c r="AF11" s="44">
        <v>7.6</v>
      </c>
      <c r="AG11" s="11">
        <f>AF11/AE11*100</f>
        <v>116.9230769230769</v>
      </c>
      <c r="AH11" s="44">
        <v>8.2</v>
      </c>
      <c r="AI11" s="44">
        <v>3.7</v>
      </c>
      <c r="AJ11" s="89">
        <f t="shared" si="5"/>
        <v>19.4</v>
      </c>
      <c r="AK11" s="89">
        <f t="shared" si="6"/>
        <v>14.099999999999998</v>
      </c>
      <c r="AL11" s="11">
        <f aca="true" t="shared" si="19" ref="AL11:AL19">AK11/AJ11*100</f>
        <v>72.68041237113401</v>
      </c>
      <c r="AM11" s="44">
        <v>7.6</v>
      </c>
      <c r="AN11" s="44">
        <v>6.6</v>
      </c>
      <c r="AO11" s="72">
        <f t="shared" si="7"/>
        <v>56.9</v>
      </c>
      <c r="AP11" s="72">
        <f t="shared" si="8"/>
        <v>56.79999999999999</v>
      </c>
      <c r="AQ11" s="11">
        <f t="shared" si="1"/>
        <v>99.82425307557116</v>
      </c>
      <c r="AR11" s="72">
        <f t="shared" si="9"/>
        <v>0.10000000000000853</v>
      </c>
      <c r="AS11" s="18">
        <f t="shared" si="10"/>
        <v>-8.699999999999996</v>
      </c>
    </row>
    <row r="12" spans="1:45" ht="24.75" customHeight="1">
      <c r="A12" s="13" t="s">
        <v>17</v>
      </c>
      <c r="B12" s="47" t="s">
        <v>94</v>
      </c>
      <c r="C12" s="108">
        <v>-0.9</v>
      </c>
      <c r="D12" s="44">
        <v>8.7</v>
      </c>
      <c r="E12" s="44">
        <v>1.4</v>
      </c>
      <c r="F12" s="67">
        <f>E12/D12*100</f>
        <v>16.091954022988507</v>
      </c>
      <c r="G12" s="44">
        <v>8.9</v>
      </c>
      <c r="H12" s="44">
        <v>8.9</v>
      </c>
      <c r="I12" s="11">
        <f t="shared" si="0"/>
        <v>100</v>
      </c>
      <c r="J12" s="44">
        <v>8.9</v>
      </c>
      <c r="K12" s="44">
        <v>15.7</v>
      </c>
      <c r="L12" s="11">
        <f t="shared" si="11"/>
        <v>176.40449438202245</v>
      </c>
      <c r="M12" s="89">
        <f t="shared" si="3"/>
        <v>26.5</v>
      </c>
      <c r="N12" s="89">
        <f t="shared" si="4"/>
        <v>26</v>
      </c>
      <c r="O12" s="11">
        <f t="shared" si="2"/>
        <v>98.11320754716981</v>
      </c>
      <c r="P12" s="44">
        <v>8.9</v>
      </c>
      <c r="Q12" s="44">
        <v>3.1</v>
      </c>
      <c r="R12" s="11">
        <f t="shared" si="12"/>
        <v>34.831460674157306</v>
      </c>
      <c r="S12" s="44">
        <v>8.7</v>
      </c>
      <c r="T12" s="44">
        <v>2.2</v>
      </c>
      <c r="U12" s="11">
        <f t="shared" si="13"/>
        <v>25.287356321839084</v>
      </c>
      <c r="V12" s="44">
        <v>9.4</v>
      </c>
      <c r="W12" s="44">
        <v>21.5</v>
      </c>
      <c r="X12" s="11">
        <f t="shared" si="14"/>
        <v>228.72340425531914</v>
      </c>
      <c r="Y12" s="89">
        <f t="shared" si="15"/>
        <v>27</v>
      </c>
      <c r="Z12" s="89">
        <f t="shared" si="16"/>
        <v>26.8</v>
      </c>
      <c r="AA12" s="11">
        <f t="shared" si="17"/>
        <v>99.25925925925925</v>
      </c>
      <c r="AB12" s="44">
        <v>8.9</v>
      </c>
      <c r="AC12" s="44">
        <v>2.4</v>
      </c>
      <c r="AD12" s="11">
        <f t="shared" si="18"/>
        <v>26.96629213483146</v>
      </c>
      <c r="AE12" s="44">
        <v>8.9</v>
      </c>
      <c r="AF12" s="44">
        <v>5.4</v>
      </c>
      <c r="AG12" s="141">
        <f aca="true" t="shared" si="20" ref="AG12:AG24">AF12/AE12*100</f>
        <v>60.67415730337079</v>
      </c>
      <c r="AH12" s="44">
        <v>8.7</v>
      </c>
      <c r="AI12" s="44">
        <v>11.9</v>
      </c>
      <c r="AJ12" s="89">
        <f t="shared" si="5"/>
        <v>26.5</v>
      </c>
      <c r="AK12" s="89">
        <f t="shared" si="6"/>
        <v>19.700000000000003</v>
      </c>
      <c r="AL12" s="11">
        <f t="shared" si="19"/>
        <v>74.33962264150944</v>
      </c>
      <c r="AM12" s="44">
        <v>9.3</v>
      </c>
      <c r="AN12" s="44">
        <v>9.8</v>
      </c>
      <c r="AO12" s="72">
        <f t="shared" si="7"/>
        <v>89.3</v>
      </c>
      <c r="AP12" s="72">
        <f t="shared" si="8"/>
        <v>82.3</v>
      </c>
      <c r="AQ12" s="11">
        <f t="shared" si="1"/>
        <v>92.1612541993281</v>
      </c>
      <c r="AR12" s="72">
        <f t="shared" si="9"/>
        <v>7</v>
      </c>
      <c r="AS12" s="18">
        <f t="shared" si="10"/>
        <v>6.099999999999994</v>
      </c>
    </row>
    <row r="13" spans="1:45" ht="24.75" customHeight="1">
      <c r="A13" s="13" t="s">
        <v>18</v>
      </c>
      <c r="B13" s="47" t="s">
        <v>95</v>
      </c>
      <c r="C13" s="108">
        <v>7.9</v>
      </c>
      <c r="D13" s="44">
        <v>6.4</v>
      </c>
      <c r="E13" s="44">
        <v>4</v>
      </c>
      <c r="F13" s="11">
        <f aca="true" t="shared" si="21" ref="F13:F18">E13/D13*100</f>
        <v>62.5</v>
      </c>
      <c r="G13" s="44">
        <v>6.5</v>
      </c>
      <c r="H13" s="44">
        <v>6.3</v>
      </c>
      <c r="I13" s="11">
        <f t="shared" si="0"/>
        <v>96.92307692307692</v>
      </c>
      <c r="J13" s="44">
        <v>6.7</v>
      </c>
      <c r="K13" s="44">
        <v>7.4</v>
      </c>
      <c r="L13" s="11">
        <f t="shared" si="11"/>
        <v>110.44776119402985</v>
      </c>
      <c r="M13" s="89">
        <f t="shared" si="3"/>
        <v>19.6</v>
      </c>
      <c r="N13" s="89">
        <f t="shared" si="4"/>
        <v>17.700000000000003</v>
      </c>
      <c r="O13" s="11">
        <f t="shared" si="2"/>
        <v>90.3061224489796</v>
      </c>
      <c r="P13" s="44">
        <v>6.8</v>
      </c>
      <c r="Q13" s="44">
        <v>5</v>
      </c>
      <c r="R13" s="11">
        <f t="shared" si="12"/>
        <v>73.52941176470588</v>
      </c>
      <c r="S13" s="44">
        <v>7.8</v>
      </c>
      <c r="T13" s="44">
        <v>5.6</v>
      </c>
      <c r="U13" s="11">
        <f t="shared" si="13"/>
        <v>71.7948717948718</v>
      </c>
      <c r="V13" s="44">
        <v>7.1</v>
      </c>
      <c r="W13" s="44">
        <v>6.8</v>
      </c>
      <c r="X13" s="11">
        <f t="shared" si="14"/>
        <v>95.77464788732395</v>
      </c>
      <c r="Y13" s="89">
        <f t="shared" si="15"/>
        <v>21.7</v>
      </c>
      <c r="Z13" s="89">
        <f t="shared" si="16"/>
        <v>17.4</v>
      </c>
      <c r="AA13" s="11">
        <f t="shared" si="17"/>
        <v>80.18433179723502</v>
      </c>
      <c r="AB13" s="44">
        <v>7.3</v>
      </c>
      <c r="AC13" s="44">
        <v>11.7</v>
      </c>
      <c r="AD13" s="11">
        <f t="shared" si="18"/>
        <v>160.27397260273972</v>
      </c>
      <c r="AE13" s="44">
        <v>6.4</v>
      </c>
      <c r="AF13" s="44">
        <v>7.6</v>
      </c>
      <c r="AG13" s="11">
        <f t="shared" si="20"/>
        <v>118.74999999999997</v>
      </c>
      <c r="AH13" s="44">
        <v>9.1</v>
      </c>
      <c r="AI13" s="44">
        <v>5.2</v>
      </c>
      <c r="AJ13" s="89">
        <f t="shared" si="5"/>
        <v>22.799999999999997</v>
      </c>
      <c r="AK13" s="89">
        <f t="shared" si="6"/>
        <v>24.499999999999996</v>
      </c>
      <c r="AL13" s="11">
        <f t="shared" si="19"/>
        <v>107.45614035087718</v>
      </c>
      <c r="AM13" s="44">
        <v>7</v>
      </c>
      <c r="AN13" s="44">
        <v>10.1</v>
      </c>
      <c r="AO13" s="72">
        <f t="shared" si="7"/>
        <v>71.1</v>
      </c>
      <c r="AP13" s="72">
        <f t="shared" si="8"/>
        <v>69.69999999999999</v>
      </c>
      <c r="AQ13" s="11">
        <f t="shared" si="1"/>
        <v>98.03094233473979</v>
      </c>
      <c r="AR13" s="72">
        <f t="shared" si="9"/>
        <v>1.4000000000000057</v>
      </c>
      <c r="AS13" s="18">
        <f t="shared" si="10"/>
        <v>9.300000000000011</v>
      </c>
    </row>
    <row r="14" spans="1:45" ht="24.75" customHeight="1">
      <c r="A14" s="13" t="s">
        <v>19</v>
      </c>
      <c r="B14" s="47" t="s">
        <v>96</v>
      </c>
      <c r="C14" s="108">
        <v>-3.7</v>
      </c>
      <c r="D14" s="44">
        <v>0.4</v>
      </c>
      <c r="E14" s="44">
        <v>0</v>
      </c>
      <c r="F14" s="11">
        <f t="shared" si="21"/>
        <v>0</v>
      </c>
      <c r="G14" s="44">
        <v>3.2</v>
      </c>
      <c r="H14" s="44">
        <v>3.3</v>
      </c>
      <c r="I14" s="11">
        <f t="shared" si="0"/>
        <v>103.12499999999997</v>
      </c>
      <c r="J14" s="44">
        <v>3.9</v>
      </c>
      <c r="K14" s="44">
        <v>6.4</v>
      </c>
      <c r="L14" s="11">
        <f t="shared" si="11"/>
        <v>164.10256410256412</v>
      </c>
      <c r="M14" s="89">
        <f t="shared" si="3"/>
        <v>7.5</v>
      </c>
      <c r="N14" s="89">
        <f t="shared" si="4"/>
        <v>9.7</v>
      </c>
      <c r="O14" s="11">
        <f t="shared" si="2"/>
        <v>129.33333333333331</v>
      </c>
      <c r="P14" s="44">
        <v>0.5</v>
      </c>
      <c r="Q14" s="44">
        <v>0.5</v>
      </c>
      <c r="R14" s="11">
        <f t="shared" si="12"/>
        <v>100</v>
      </c>
      <c r="S14" s="44">
        <v>3.5</v>
      </c>
      <c r="T14" s="44">
        <v>1.3</v>
      </c>
      <c r="U14" s="11">
        <f t="shared" si="13"/>
        <v>37.142857142857146</v>
      </c>
      <c r="V14" s="44">
        <v>3.2</v>
      </c>
      <c r="W14" s="44">
        <v>6.3</v>
      </c>
      <c r="X14" s="11">
        <f t="shared" si="14"/>
        <v>196.87499999999997</v>
      </c>
      <c r="Y14" s="89">
        <f t="shared" si="15"/>
        <v>7.2</v>
      </c>
      <c r="Z14" s="89">
        <f t="shared" si="16"/>
        <v>8.1</v>
      </c>
      <c r="AA14" s="11">
        <f t="shared" si="17"/>
        <v>112.5</v>
      </c>
      <c r="AB14" s="44">
        <v>3.2</v>
      </c>
      <c r="AC14" s="44">
        <v>0.4</v>
      </c>
      <c r="AD14" s="11">
        <f t="shared" si="18"/>
        <v>12.5</v>
      </c>
      <c r="AE14" s="44">
        <v>3.3</v>
      </c>
      <c r="AF14" s="44">
        <v>0.5</v>
      </c>
      <c r="AG14" s="11">
        <f t="shared" si="20"/>
        <v>15.151515151515152</v>
      </c>
      <c r="AH14" s="44">
        <v>3.1</v>
      </c>
      <c r="AI14" s="44">
        <v>4.6</v>
      </c>
      <c r="AJ14" s="89">
        <f t="shared" si="5"/>
        <v>9.6</v>
      </c>
      <c r="AK14" s="89">
        <f t="shared" si="6"/>
        <v>5.5</v>
      </c>
      <c r="AL14" s="11">
        <f t="shared" si="19"/>
        <v>57.29166666666667</v>
      </c>
      <c r="AM14" s="44">
        <v>3.4</v>
      </c>
      <c r="AN14" s="44">
        <v>3.6</v>
      </c>
      <c r="AO14" s="72">
        <f t="shared" si="7"/>
        <v>27.699999999999996</v>
      </c>
      <c r="AP14" s="72">
        <f t="shared" si="8"/>
        <v>26.9</v>
      </c>
      <c r="AQ14" s="11">
        <f t="shared" si="1"/>
        <v>97.11191335740074</v>
      </c>
      <c r="AR14" s="72">
        <f t="shared" si="9"/>
        <v>0.7999999999999972</v>
      </c>
      <c r="AS14" s="18">
        <f t="shared" si="10"/>
        <v>-2.900000000000002</v>
      </c>
    </row>
    <row r="15" spans="1:45" ht="24.75" customHeight="1">
      <c r="A15" s="13" t="s">
        <v>20</v>
      </c>
      <c r="B15" s="47" t="s">
        <v>97</v>
      </c>
      <c r="C15" s="108">
        <v>4.5</v>
      </c>
      <c r="D15" s="44">
        <v>4.5</v>
      </c>
      <c r="E15" s="44">
        <v>0.4</v>
      </c>
      <c r="F15" s="11">
        <f t="shared" si="21"/>
        <v>8.88888888888889</v>
      </c>
      <c r="G15" s="44">
        <v>8.2</v>
      </c>
      <c r="H15" s="44">
        <v>8.5</v>
      </c>
      <c r="I15" s="11">
        <f t="shared" si="0"/>
        <v>103.65853658536585</v>
      </c>
      <c r="J15" s="44">
        <v>9.1</v>
      </c>
      <c r="K15" s="44">
        <v>14.4</v>
      </c>
      <c r="L15" s="11">
        <f t="shared" si="11"/>
        <v>158.24175824175825</v>
      </c>
      <c r="M15" s="89">
        <f t="shared" si="3"/>
        <v>21.799999999999997</v>
      </c>
      <c r="N15" s="89">
        <f t="shared" si="4"/>
        <v>23.3</v>
      </c>
      <c r="O15" s="11">
        <f t="shared" si="2"/>
        <v>106.88073394495414</v>
      </c>
      <c r="P15" s="44">
        <v>6.4</v>
      </c>
      <c r="Q15" s="44">
        <v>7.6</v>
      </c>
      <c r="R15" s="11">
        <f t="shared" si="12"/>
        <v>118.74999999999997</v>
      </c>
      <c r="S15" s="44">
        <v>12.6</v>
      </c>
      <c r="T15" s="44">
        <v>8.2</v>
      </c>
      <c r="U15" s="11">
        <f t="shared" si="13"/>
        <v>65.07936507936508</v>
      </c>
      <c r="V15" s="44">
        <v>13.9</v>
      </c>
      <c r="W15" s="44">
        <v>15.8</v>
      </c>
      <c r="X15" s="11">
        <f t="shared" si="14"/>
        <v>113.66906474820144</v>
      </c>
      <c r="Y15" s="89">
        <f t="shared" si="15"/>
        <v>32.9</v>
      </c>
      <c r="Z15" s="89">
        <f t="shared" si="16"/>
        <v>31.6</v>
      </c>
      <c r="AA15" s="11">
        <f t="shared" si="17"/>
        <v>96.048632218845</v>
      </c>
      <c r="AB15" s="44">
        <v>11.2</v>
      </c>
      <c r="AC15" s="44">
        <v>12.2</v>
      </c>
      <c r="AD15" s="11">
        <f t="shared" si="18"/>
        <v>108.92857142857142</v>
      </c>
      <c r="AE15" s="44">
        <v>8.9</v>
      </c>
      <c r="AF15" s="44">
        <v>6.1</v>
      </c>
      <c r="AG15" s="11">
        <f t="shared" si="20"/>
        <v>68.53932584269661</v>
      </c>
      <c r="AH15" s="44">
        <v>8.9</v>
      </c>
      <c r="AI15" s="44">
        <v>8.2</v>
      </c>
      <c r="AJ15" s="89">
        <f t="shared" si="5"/>
        <v>29</v>
      </c>
      <c r="AK15" s="89">
        <f t="shared" si="6"/>
        <v>26.499999999999996</v>
      </c>
      <c r="AL15" s="11">
        <f t="shared" si="19"/>
        <v>91.37931034482757</v>
      </c>
      <c r="AM15" s="44">
        <v>10.7</v>
      </c>
      <c r="AN15" s="44">
        <v>24.1</v>
      </c>
      <c r="AO15" s="72">
        <f t="shared" si="7"/>
        <v>94.39999999999999</v>
      </c>
      <c r="AP15" s="72">
        <f t="shared" si="8"/>
        <v>105.5</v>
      </c>
      <c r="AQ15" s="11">
        <f t="shared" si="1"/>
        <v>111.7584745762712</v>
      </c>
      <c r="AR15" s="72">
        <f t="shared" si="9"/>
        <v>-11.100000000000009</v>
      </c>
      <c r="AS15" s="18">
        <f t="shared" si="10"/>
        <v>-6.6000000000000085</v>
      </c>
    </row>
    <row r="16" spans="1:45" ht="24.75" customHeight="1">
      <c r="A16" s="13" t="s">
        <v>21</v>
      </c>
      <c r="B16" s="47" t="s">
        <v>98</v>
      </c>
      <c r="C16" s="117">
        <v>0</v>
      </c>
      <c r="D16" s="44">
        <v>1.1</v>
      </c>
      <c r="E16" s="44">
        <v>0.2</v>
      </c>
      <c r="F16" s="11">
        <f t="shared" si="21"/>
        <v>18.181818181818183</v>
      </c>
      <c r="G16" s="44">
        <v>1.3</v>
      </c>
      <c r="H16" s="44">
        <v>0.9</v>
      </c>
      <c r="I16" s="11">
        <f t="shared" si="0"/>
        <v>69.23076923076923</v>
      </c>
      <c r="J16" s="44">
        <v>1.2</v>
      </c>
      <c r="K16" s="44">
        <v>1.6</v>
      </c>
      <c r="L16" s="11">
        <f t="shared" si="11"/>
        <v>133.33333333333334</v>
      </c>
      <c r="M16" s="89">
        <f t="shared" si="3"/>
        <v>3.6000000000000005</v>
      </c>
      <c r="N16" s="89">
        <f t="shared" si="4"/>
        <v>2.7</v>
      </c>
      <c r="O16" s="11">
        <f t="shared" si="2"/>
        <v>74.99999999999999</v>
      </c>
      <c r="P16" s="44">
        <v>1.3</v>
      </c>
      <c r="Q16" s="44">
        <v>1.1</v>
      </c>
      <c r="R16" s="11">
        <f t="shared" si="12"/>
        <v>84.61538461538461</v>
      </c>
      <c r="S16" s="44">
        <v>1.3</v>
      </c>
      <c r="T16" s="44">
        <v>1</v>
      </c>
      <c r="U16" s="11">
        <f t="shared" si="13"/>
        <v>76.92307692307692</v>
      </c>
      <c r="V16" s="44">
        <v>1.2</v>
      </c>
      <c r="W16" s="44">
        <v>1.4</v>
      </c>
      <c r="X16" s="11">
        <f t="shared" si="14"/>
        <v>116.66666666666667</v>
      </c>
      <c r="Y16" s="89">
        <f t="shared" si="15"/>
        <v>3.8</v>
      </c>
      <c r="Z16" s="89">
        <f t="shared" si="16"/>
        <v>3.5</v>
      </c>
      <c r="AA16" s="11">
        <f t="shared" si="17"/>
        <v>92.10526315789474</v>
      </c>
      <c r="AB16" s="44">
        <v>0.9</v>
      </c>
      <c r="AC16" s="44">
        <v>1</v>
      </c>
      <c r="AD16" s="11">
        <f t="shared" si="18"/>
        <v>111.11111111111111</v>
      </c>
      <c r="AE16" s="44">
        <v>0.9</v>
      </c>
      <c r="AF16" s="44">
        <v>0.8</v>
      </c>
      <c r="AG16" s="11">
        <f t="shared" si="20"/>
        <v>88.8888888888889</v>
      </c>
      <c r="AH16" s="44">
        <v>1</v>
      </c>
      <c r="AI16" s="44">
        <v>0.8</v>
      </c>
      <c r="AJ16" s="89">
        <f t="shared" si="5"/>
        <v>2.8</v>
      </c>
      <c r="AK16" s="89">
        <f t="shared" si="6"/>
        <v>2.6</v>
      </c>
      <c r="AL16" s="11">
        <f t="shared" si="19"/>
        <v>92.85714285714288</v>
      </c>
      <c r="AM16" s="44">
        <v>1.2</v>
      </c>
      <c r="AN16" s="44">
        <v>1.1</v>
      </c>
      <c r="AO16" s="72">
        <f t="shared" si="7"/>
        <v>11.399999999999999</v>
      </c>
      <c r="AP16" s="72">
        <f t="shared" si="8"/>
        <v>9.9</v>
      </c>
      <c r="AQ16" s="11">
        <f t="shared" si="1"/>
        <v>86.8421052631579</v>
      </c>
      <c r="AR16" s="72">
        <f t="shared" si="9"/>
        <v>1.4999999999999982</v>
      </c>
      <c r="AS16" s="18">
        <f t="shared" si="10"/>
        <v>1.4999999999999982</v>
      </c>
    </row>
    <row r="17" spans="1:45" ht="24.75" customHeight="1">
      <c r="A17" s="13" t="s">
        <v>22</v>
      </c>
      <c r="B17" s="15" t="s">
        <v>99</v>
      </c>
      <c r="C17" s="117">
        <f>-0.1</f>
        <v>-0.1</v>
      </c>
      <c r="D17" s="44">
        <f>0.2+0.1</f>
        <v>0.30000000000000004</v>
      </c>
      <c r="E17" s="44">
        <f>0.2+0.1</f>
        <v>0.30000000000000004</v>
      </c>
      <c r="F17" s="67">
        <f t="shared" si="21"/>
        <v>100</v>
      </c>
      <c r="G17" s="44">
        <f>0.6+0.2</f>
        <v>0.8</v>
      </c>
      <c r="H17" s="44">
        <v>0.6</v>
      </c>
      <c r="I17" s="11">
        <f t="shared" si="0"/>
        <v>74.99999999999999</v>
      </c>
      <c r="J17" s="44">
        <v>0.7</v>
      </c>
      <c r="K17" s="44">
        <f>0.2+0.6</f>
        <v>0.8</v>
      </c>
      <c r="L17" s="11">
        <f t="shared" si="11"/>
        <v>114.2857142857143</v>
      </c>
      <c r="M17" s="89">
        <f t="shared" si="3"/>
        <v>1.8</v>
      </c>
      <c r="N17" s="89">
        <f t="shared" si="4"/>
        <v>1.7000000000000002</v>
      </c>
      <c r="O17" s="11">
        <f t="shared" si="2"/>
        <v>94.44444444444446</v>
      </c>
      <c r="P17" s="44">
        <f>0.6+0.1</f>
        <v>0.7</v>
      </c>
      <c r="Q17" s="44">
        <f>0.6+0.1</f>
        <v>0.7</v>
      </c>
      <c r="R17" s="11">
        <f t="shared" si="12"/>
        <v>100</v>
      </c>
      <c r="S17" s="44">
        <v>0.7</v>
      </c>
      <c r="T17" s="44">
        <v>0.7</v>
      </c>
      <c r="U17" s="11">
        <f t="shared" si="13"/>
        <v>100</v>
      </c>
      <c r="V17" s="44">
        <v>0.7</v>
      </c>
      <c r="W17" s="44">
        <v>0.7</v>
      </c>
      <c r="X17" s="11">
        <f t="shared" si="14"/>
        <v>100</v>
      </c>
      <c r="Y17" s="89">
        <f t="shared" si="15"/>
        <v>2.0999999999999996</v>
      </c>
      <c r="Z17" s="89">
        <f t="shared" si="16"/>
        <v>2.0999999999999996</v>
      </c>
      <c r="AA17" s="11">
        <f t="shared" si="17"/>
        <v>100</v>
      </c>
      <c r="AB17" s="44">
        <f>0.6+0.2</f>
        <v>0.8</v>
      </c>
      <c r="AC17" s="44">
        <v>0.6</v>
      </c>
      <c r="AD17" s="11">
        <f t="shared" si="18"/>
        <v>74.99999999999999</v>
      </c>
      <c r="AE17" s="44">
        <f>0.6+0.1</f>
        <v>0.7</v>
      </c>
      <c r="AF17" s="44">
        <v>0.6</v>
      </c>
      <c r="AG17" s="11">
        <f t="shared" si="20"/>
        <v>85.71428571428572</v>
      </c>
      <c r="AH17" s="44">
        <f>0.6+0.1</f>
        <v>0.7</v>
      </c>
      <c r="AI17" s="44">
        <v>0.6</v>
      </c>
      <c r="AJ17" s="89">
        <f t="shared" si="5"/>
        <v>2.2</v>
      </c>
      <c r="AK17" s="89">
        <f t="shared" si="6"/>
        <v>1.7999999999999998</v>
      </c>
      <c r="AL17" s="11">
        <f t="shared" si="19"/>
        <v>81.8181818181818</v>
      </c>
      <c r="AM17" s="44">
        <f>0.6+0.1</f>
        <v>0.7</v>
      </c>
      <c r="AN17" s="44">
        <f>0.6+0.1</f>
        <v>0.7</v>
      </c>
      <c r="AO17" s="72">
        <f t="shared" si="7"/>
        <v>6.8</v>
      </c>
      <c r="AP17" s="72">
        <f t="shared" si="8"/>
        <v>6.3</v>
      </c>
      <c r="AQ17" s="11">
        <f t="shared" si="1"/>
        <v>92.64705882352942</v>
      </c>
      <c r="AR17" s="72">
        <f t="shared" si="9"/>
        <v>0.5</v>
      </c>
      <c r="AS17" s="18">
        <f t="shared" si="10"/>
        <v>0.40000000000000036</v>
      </c>
    </row>
    <row r="18" spans="1:45" s="138" customFormat="1" ht="24.75" customHeight="1">
      <c r="A18" s="131" t="s">
        <v>23</v>
      </c>
      <c r="B18" s="132" t="s">
        <v>100</v>
      </c>
      <c r="C18" s="133">
        <v>1.5</v>
      </c>
      <c r="D18" s="134">
        <v>2.8</v>
      </c>
      <c r="E18" s="134">
        <v>1.4</v>
      </c>
      <c r="F18" s="135">
        <f t="shared" si="21"/>
        <v>50</v>
      </c>
      <c r="G18" s="134">
        <v>3.4</v>
      </c>
      <c r="H18" s="134">
        <v>1.3</v>
      </c>
      <c r="I18" s="135">
        <f t="shared" si="0"/>
        <v>38.235294117647065</v>
      </c>
      <c r="J18" s="134">
        <v>3.6</v>
      </c>
      <c r="K18" s="134">
        <v>6.5</v>
      </c>
      <c r="L18" s="135">
        <f t="shared" si="11"/>
        <v>180.55555555555557</v>
      </c>
      <c r="M18" s="89">
        <f t="shared" si="3"/>
        <v>9.799999999999999</v>
      </c>
      <c r="N18" s="89">
        <f t="shared" si="4"/>
        <v>9.2</v>
      </c>
      <c r="O18" s="11">
        <f t="shared" si="2"/>
        <v>93.87755102040816</v>
      </c>
      <c r="P18" s="134">
        <v>3</v>
      </c>
      <c r="Q18" s="134">
        <v>2.8</v>
      </c>
      <c r="R18" s="135">
        <f t="shared" si="12"/>
        <v>93.33333333333333</v>
      </c>
      <c r="S18" s="134">
        <v>3.5</v>
      </c>
      <c r="T18" s="134">
        <v>3.9</v>
      </c>
      <c r="U18" s="135">
        <f t="shared" si="13"/>
        <v>111.42857142857143</v>
      </c>
      <c r="V18" s="134">
        <v>2.5</v>
      </c>
      <c r="W18" s="134">
        <v>2.8</v>
      </c>
      <c r="X18" s="135">
        <f t="shared" si="14"/>
        <v>111.99999999999999</v>
      </c>
      <c r="Y18" s="89">
        <f t="shared" si="15"/>
        <v>9</v>
      </c>
      <c r="Z18" s="89">
        <f t="shared" si="16"/>
        <v>9.5</v>
      </c>
      <c r="AA18" s="11">
        <f t="shared" si="17"/>
        <v>105.55555555555556</v>
      </c>
      <c r="AB18" s="134">
        <v>3.3</v>
      </c>
      <c r="AC18" s="134">
        <v>2.7</v>
      </c>
      <c r="AD18" s="135">
        <f t="shared" si="18"/>
        <v>81.81818181818183</v>
      </c>
      <c r="AE18" s="44">
        <v>3.1</v>
      </c>
      <c r="AF18" s="44">
        <v>3</v>
      </c>
      <c r="AG18" s="11">
        <f t="shared" si="20"/>
        <v>96.77419354838709</v>
      </c>
      <c r="AH18" s="44">
        <v>2.8</v>
      </c>
      <c r="AI18" s="44">
        <v>1.9</v>
      </c>
      <c r="AJ18" s="89">
        <f t="shared" si="5"/>
        <v>9.2</v>
      </c>
      <c r="AK18" s="89">
        <f t="shared" si="6"/>
        <v>7.6</v>
      </c>
      <c r="AL18" s="11">
        <f t="shared" si="19"/>
        <v>82.6086956521739</v>
      </c>
      <c r="AM18" s="44">
        <v>2.9</v>
      </c>
      <c r="AN18" s="44">
        <v>3.6</v>
      </c>
      <c r="AO18" s="72">
        <f t="shared" si="7"/>
        <v>30.899999999999995</v>
      </c>
      <c r="AP18" s="72">
        <f t="shared" si="8"/>
        <v>29.9</v>
      </c>
      <c r="AQ18" s="135">
        <f t="shared" si="1"/>
        <v>96.76375404530746</v>
      </c>
      <c r="AR18" s="136">
        <f t="shared" si="9"/>
        <v>0.9999999999999964</v>
      </c>
      <c r="AS18" s="137">
        <f t="shared" si="10"/>
        <v>2.499999999999993</v>
      </c>
    </row>
    <row r="19" spans="1:45" ht="25.5" customHeight="1">
      <c r="A19" s="13" t="s">
        <v>24</v>
      </c>
      <c r="B19" s="47" t="s">
        <v>101</v>
      </c>
      <c r="C19" s="108">
        <v>1.8</v>
      </c>
      <c r="D19" s="44">
        <v>4.2</v>
      </c>
      <c r="E19" s="44">
        <v>0.5</v>
      </c>
      <c r="F19" s="67">
        <f>E19/D19*100</f>
        <v>11.904761904761903</v>
      </c>
      <c r="G19" s="44">
        <v>4.7</v>
      </c>
      <c r="H19" s="44">
        <v>2.7</v>
      </c>
      <c r="I19" s="75">
        <f t="shared" si="0"/>
        <v>57.446808510638306</v>
      </c>
      <c r="J19" s="44">
        <v>4.1</v>
      </c>
      <c r="K19" s="44">
        <v>6.2</v>
      </c>
      <c r="L19" s="75">
        <f t="shared" si="11"/>
        <v>151.21951219512198</v>
      </c>
      <c r="M19" s="89">
        <f t="shared" si="3"/>
        <v>13</v>
      </c>
      <c r="N19" s="89">
        <f t="shared" si="4"/>
        <v>9.4</v>
      </c>
      <c r="O19" s="11">
        <f t="shared" si="2"/>
        <v>72.3076923076923</v>
      </c>
      <c r="P19" s="44">
        <v>4.3</v>
      </c>
      <c r="Q19" s="44">
        <v>4.2</v>
      </c>
      <c r="R19" s="140">
        <f t="shared" si="12"/>
        <v>97.67441860465117</v>
      </c>
      <c r="S19" s="44">
        <v>4.8</v>
      </c>
      <c r="T19" s="44">
        <v>5</v>
      </c>
      <c r="U19" s="140">
        <f t="shared" si="13"/>
        <v>104.16666666666667</v>
      </c>
      <c r="V19" s="44">
        <v>7.5</v>
      </c>
      <c r="W19" s="44">
        <v>5.1</v>
      </c>
      <c r="X19" s="140">
        <f t="shared" si="14"/>
        <v>68</v>
      </c>
      <c r="Y19" s="89">
        <f t="shared" si="15"/>
        <v>16.6</v>
      </c>
      <c r="Z19" s="89">
        <f t="shared" si="16"/>
        <v>14.299999999999999</v>
      </c>
      <c r="AA19" s="11">
        <f t="shared" si="17"/>
        <v>86.14457831325299</v>
      </c>
      <c r="AB19" s="44">
        <v>6.7</v>
      </c>
      <c r="AC19" s="44">
        <v>6.1</v>
      </c>
      <c r="AD19" s="140">
        <f t="shared" si="18"/>
        <v>91.04477611940298</v>
      </c>
      <c r="AE19" s="44">
        <v>5</v>
      </c>
      <c r="AF19" s="44">
        <v>4.4</v>
      </c>
      <c r="AG19" s="141">
        <f t="shared" si="20"/>
        <v>88.00000000000001</v>
      </c>
      <c r="AH19" s="44">
        <v>8.7</v>
      </c>
      <c r="AI19" s="44">
        <v>5.8</v>
      </c>
      <c r="AJ19" s="89">
        <f t="shared" si="5"/>
        <v>20.4</v>
      </c>
      <c r="AK19" s="89">
        <f t="shared" si="6"/>
        <v>16.3</v>
      </c>
      <c r="AL19" s="11">
        <f t="shared" si="19"/>
        <v>79.90196078431373</v>
      </c>
      <c r="AM19" s="44">
        <v>6.7</v>
      </c>
      <c r="AN19" s="44">
        <v>4.1</v>
      </c>
      <c r="AO19" s="72">
        <f t="shared" si="7"/>
        <v>56.7</v>
      </c>
      <c r="AP19" s="72">
        <f t="shared" si="8"/>
        <v>44.1</v>
      </c>
      <c r="AQ19" s="11">
        <f t="shared" si="1"/>
        <v>77.77777777777779</v>
      </c>
      <c r="AR19" s="72">
        <f t="shared" si="9"/>
        <v>12.600000000000001</v>
      </c>
      <c r="AS19" s="18">
        <f t="shared" si="10"/>
        <v>14.399999999999999</v>
      </c>
    </row>
    <row r="20" spans="1:45" ht="24.75" customHeight="1">
      <c r="A20" s="13" t="s">
        <v>25</v>
      </c>
      <c r="B20" s="15" t="s">
        <v>102</v>
      </c>
      <c r="C20" s="118"/>
      <c r="D20" s="44"/>
      <c r="E20" s="44"/>
      <c r="F20" s="94"/>
      <c r="G20" s="44"/>
      <c r="H20" s="44"/>
      <c r="I20" s="111"/>
      <c r="J20" s="44"/>
      <c r="K20" s="44"/>
      <c r="L20" s="111"/>
      <c r="M20" s="89"/>
      <c r="N20" s="89"/>
      <c r="O20" s="11"/>
      <c r="P20" s="44"/>
      <c r="Q20" s="44"/>
      <c r="R20" s="140"/>
      <c r="S20" s="44"/>
      <c r="T20" s="44"/>
      <c r="U20" s="140"/>
      <c r="V20" s="44"/>
      <c r="W20" s="44"/>
      <c r="X20" s="140"/>
      <c r="Y20" s="89"/>
      <c r="Z20" s="89"/>
      <c r="AA20" s="11"/>
      <c r="AB20" s="44"/>
      <c r="AC20" s="44"/>
      <c r="AD20" s="140"/>
      <c r="AE20" s="44"/>
      <c r="AF20" s="44"/>
      <c r="AG20" s="11" t="e">
        <f t="shared" si="20"/>
        <v>#DIV/0!</v>
      </c>
      <c r="AH20" s="44"/>
      <c r="AI20" s="44"/>
      <c r="AJ20" s="89"/>
      <c r="AK20" s="89"/>
      <c r="AL20" s="11"/>
      <c r="AM20" s="44"/>
      <c r="AN20" s="44"/>
      <c r="AO20" s="72">
        <f t="shared" si="7"/>
        <v>0</v>
      </c>
      <c r="AP20" s="72">
        <f t="shared" si="8"/>
        <v>0</v>
      </c>
      <c r="AQ20" s="111"/>
      <c r="AR20" s="72"/>
      <c r="AS20" s="18"/>
    </row>
    <row r="21" spans="1:45" ht="24.75" customHeight="1">
      <c r="A21" s="13" t="s">
        <v>26</v>
      </c>
      <c r="B21" s="56" t="s">
        <v>103</v>
      </c>
      <c r="C21" s="114">
        <v>0</v>
      </c>
      <c r="D21" s="44">
        <v>0.3</v>
      </c>
      <c r="E21" s="44">
        <v>0.1</v>
      </c>
      <c r="F21" s="67">
        <f aca="true" t="shared" si="22" ref="F21:F28">E21/D21*100</f>
        <v>33.333333333333336</v>
      </c>
      <c r="G21" s="44">
        <v>0.2</v>
      </c>
      <c r="H21" s="44">
        <v>0.4</v>
      </c>
      <c r="I21" s="75">
        <f t="shared" si="0"/>
        <v>200</v>
      </c>
      <c r="J21" s="44">
        <v>0.2</v>
      </c>
      <c r="K21" s="44">
        <v>0.2</v>
      </c>
      <c r="L21" s="75">
        <f>K21/J21*100</f>
        <v>100</v>
      </c>
      <c r="M21" s="89">
        <f t="shared" si="3"/>
        <v>0.7</v>
      </c>
      <c r="N21" s="89">
        <f t="shared" si="4"/>
        <v>0.7</v>
      </c>
      <c r="O21" s="11">
        <f t="shared" si="2"/>
        <v>100</v>
      </c>
      <c r="P21" s="44">
        <v>0.2</v>
      </c>
      <c r="Q21" s="44">
        <v>0.2</v>
      </c>
      <c r="R21" s="140">
        <f>Q21/P21*100</f>
        <v>100</v>
      </c>
      <c r="S21" s="44">
        <v>1</v>
      </c>
      <c r="T21" s="44">
        <v>1</v>
      </c>
      <c r="U21" s="140">
        <f>T21/S21*100</f>
        <v>100</v>
      </c>
      <c r="V21" s="44">
        <v>0.3</v>
      </c>
      <c r="W21" s="44">
        <v>0.3</v>
      </c>
      <c r="X21" s="140">
        <f>W21/V21*100</f>
        <v>100</v>
      </c>
      <c r="Y21" s="89">
        <f aca="true" t="shared" si="23" ref="Y21:Z25">P21+S21+V21</f>
        <v>1.5</v>
      </c>
      <c r="Z21" s="89">
        <f t="shared" si="23"/>
        <v>1.5</v>
      </c>
      <c r="AA21" s="11">
        <f>Z21/Y21*100</f>
        <v>100</v>
      </c>
      <c r="AB21" s="44">
        <v>0.6</v>
      </c>
      <c r="AC21" s="44">
        <v>0.6</v>
      </c>
      <c r="AD21" s="140">
        <f>AC21/AB21*100</f>
        <v>100</v>
      </c>
      <c r="AE21" s="44">
        <v>0.3</v>
      </c>
      <c r="AF21" s="44">
        <v>0.3</v>
      </c>
      <c r="AG21" s="11">
        <f t="shared" si="20"/>
        <v>100</v>
      </c>
      <c r="AH21" s="44">
        <v>0.2</v>
      </c>
      <c r="AI21" s="44">
        <v>0.2</v>
      </c>
      <c r="AJ21" s="89">
        <f t="shared" si="5"/>
        <v>1.0999999999999999</v>
      </c>
      <c r="AK21" s="89">
        <f t="shared" si="6"/>
        <v>1.0999999999999999</v>
      </c>
      <c r="AL21" s="11">
        <f>AK21/AJ21*100</f>
        <v>100</v>
      </c>
      <c r="AM21" s="44">
        <v>0.3</v>
      </c>
      <c r="AN21" s="44">
        <v>0.3</v>
      </c>
      <c r="AO21" s="72">
        <f t="shared" si="7"/>
        <v>3.5999999999999996</v>
      </c>
      <c r="AP21" s="72">
        <f t="shared" si="8"/>
        <v>3.5999999999999996</v>
      </c>
      <c r="AQ21" s="11">
        <f t="shared" si="1"/>
        <v>100</v>
      </c>
      <c r="AR21" s="72">
        <f t="shared" si="9"/>
        <v>0</v>
      </c>
      <c r="AS21" s="18">
        <f t="shared" si="10"/>
        <v>0</v>
      </c>
    </row>
    <row r="22" spans="1:45" ht="24.75" customHeight="1">
      <c r="A22" s="13" t="s">
        <v>27</v>
      </c>
      <c r="B22" s="15" t="s">
        <v>104</v>
      </c>
      <c r="C22" s="119">
        <v>0</v>
      </c>
      <c r="D22" s="44">
        <v>1.3</v>
      </c>
      <c r="E22" s="44">
        <v>1.3</v>
      </c>
      <c r="F22" s="11">
        <f t="shared" si="22"/>
        <v>100</v>
      </c>
      <c r="G22" s="44">
        <v>7.4</v>
      </c>
      <c r="H22" s="44">
        <v>7.4</v>
      </c>
      <c r="I22" s="75">
        <f t="shared" si="0"/>
        <v>100</v>
      </c>
      <c r="J22" s="44">
        <v>3.5</v>
      </c>
      <c r="K22" s="44">
        <v>3.5</v>
      </c>
      <c r="L22" s="75">
        <f>K22/J22*100</f>
        <v>100</v>
      </c>
      <c r="M22" s="89">
        <f t="shared" si="3"/>
        <v>12.200000000000001</v>
      </c>
      <c r="N22" s="89">
        <f t="shared" si="4"/>
        <v>12.200000000000001</v>
      </c>
      <c r="O22" s="11">
        <f t="shared" si="2"/>
        <v>100</v>
      </c>
      <c r="P22" s="44">
        <v>8.1</v>
      </c>
      <c r="Q22" s="44">
        <v>8.1</v>
      </c>
      <c r="R22" s="140">
        <f>Q22/P22*100</f>
        <v>100</v>
      </c>
      <c r="S22" s="44">
        <v>4.5</v>
      </c>
      <c r="T22" s="44">
        <v>1.4</v>
      </c>
      <c r="U22" s="140">
        <f>T22/S22*100</f>
        <v>31.11111111111111</v>
      </c>
      <c r="V22" s="44">
        <v>0.3</v>
      </c>
      <c r="W22" s="44">
        <v>3.1</v>
      </c>
      <c r="X22" s="140">
        <f>W22/V22*100</f>
        <v>1033.3333333333335</v>
      </c>
      <c r="Y22" s="89">
        <f t="shared" si="23"/>
        <v>12.9</v>
      </c>
      <c r="Z22" s="89">
        <f t="shared" si="23"/>
        <v>12.6</v>
      </c>
      <c r="AA22" s="11">
        <f>Z22/Y22*100</f>
        <v>97.67441860465115</v>
      </c>
      <c r="AB22" s="44">
        <v>3.7</v>
      </c>
      <c r="AC22" s="44">
        <v>4</v>
      </c>
      <c r="AD22" s="140">
        <f>AC22/AB22*100</f>
        <v>108.1081081081081</v>
      </c>
      <c r="AE22" s="44">
        <v>0.5</v>
      </c>
      <c r="AF22" s="44">
        <v>0</v>
      </c>
      <c r="AG22" s="142">
        <f t="shared" si="20"/>
        <v>0</v>
      </c>
      <c r="AH22" s="44">
        <v>9.8</v>
      </c>
      <c r="AI22" s="44">
        <v>9.3</v>
      </c>
      <c r="AJ22" s="89">
        <f t="shared" si="5"/>
        <v>14</v>
      </c>
      <c r="AK22" s="89">
        <f t="shared" si="6"/>
        <v>13.3</v>
      </c>
      <c r="AL22" s="11">
        <f>AK22/AJ22*100</f>
        <v>95</v>
      </c>
      <c r="AM22" s="44">
        <v>3.1</v>
      </c>
      <c r="AN22" s="44">
        <v>1.4</v>
      </c>
      <c r="AO22" s="72">
        <f t="shared" si="7"/>
        <v>42.2</v>
      </c>
      <c r="AP22" s="72">
        <f t="shared" si="8"/>
        <v>39.5</v>
      </c>
      <c r="AQ22" s="11">
        <f t="shared" si="1"/>
        <v>93.60189573459715</v>
      </c>
      <c r="AR22" s="72">
        <f t="shared" si="9"/>
        <v>2.700000000000003</v>
      </c>
      <c r="AS22" s="18">
        <f t="shared" si="10"/>
        <v>2.700000000000003</v>
      </c>
    </row>
    <row r="23" spans="1:45" ht="24.75" customHeight="1">
      <c r="A23" s="13" t="s">
        <v>28</v>
      </c>
      <c r="B23" s="15" t="s">
        <v>125</v>
      </c>
      <c r="C23" s="108">
        <v>0</v>
      </c>
      <c r="D23" s="44">
        <v>0.7</v>
      </c>
      <c r="E23" s="44">
        <v>0.1</v>
      </c>
      <c r="F23" s="96">
        <f t="shared" si="22"/>
        <v>14.285714285714288</v>
      </c>
      <c r="G23" s="44">
        <v>1</v>
      </c>
      <c r="H23" s="44">
        <v>0.5</v>
      </c>
      <c r="I23" s="11">
        <f t="shared" si="0"/>
        <v>50</v>
      </c>
      <c r="J23" s="44">
        <v>0.8</v>
      </c>
      <c r="K23" s="44">
        <v>1.9</v>
      </c>
      <c r="L23" s="11">
        <f>K23/J23*100</f>
        <v>237.49999999999994</v>
      </c>
      <c r="M23" s="89">
        <f t="shared" si="3"/>
        <v>2.5</v>
      </c>
      <c r="N23" s="89">
        <f t="shared" si="4"/>
        <v>2.5</v>
      </c>
      <c r="O23" s="11">
        <f t="shared" si="2"/>
        <v>100</v>
      </c>
      <c r="P23" s="44">
        <v>0.8</v>
      </c>
      <c r="Q23" s="44">
        <v>0.2</v>
      </c>
      <c r="R23" s="11">
        <f>Q23/P23*100</f>
        <v>25</v>
      </c>
      <c r="S23" s="44">
        <v>0.8</v>
      </c>
      <c r="T23" s="44">
        <v>1.4</v>
      </c>
      <c r="U23" s="11">
        <f>T23/S23*100</f>
        <v>174.99999999999997</v>
      </c>
      <c r="V23" s="44">
        <v>0.8</v>
      </c>
      <c r="W23" s="44">
        <v>0.8</v>
      </c>
      <c r="X23" s="11">
        <f>W23/V23*100</f>
        <v>100</v>
      </c>
      <c r="Y23" s="89">
        <f t="shared" si="23"/>
        <v>2.4000000000000004</v>
      </c>
      <c r="Z23" s="89">
        <f t="shared" si="23"/>
        <v>2.4</v>
      </c>
      <c r="AA23" s="11">
        <f>Z23/Y23*100</f>
        <v>99.99999999999997</v>
      </c>
      <c r="AB23" s="44">
        <v>0.8</v>
      </c>
      <c r="AC23" s="44">
        <v>0.5</v>
      </c>
      <c r="AD23" s="11">
        <f>AC23/AB23*100</f>
        <v>62.5</v>
      </c>
      <c r="AE23" s="44">
        <v>0.9</v>
      </c>
      <c r="AF23" s="44">
        <v>0.4</v>
      </c>
      <c r="AG23" s="142">
        <f t="shared" si="20"/>
        <v>44.44444444444445</v>
      </c>
      <c r="AH23" s="44">
        <v>0.8</v>
      </c>
      <c r="AI23" s="44">
        <v>0.5</v>
      </c>
      <c r="AJ23" s="89">
        <f t="shared" si="5"/>
        <v>2.5</v>
      </c>
      <c r="AK23" s="89">
        <f t="shared" si="6"/>
        <v>1.4</v>
      </c>
      <c r="AL23" s="11">
        <f>AK23/AJ23*100</f>
        <v>55.99999999999999</v>
      </c>
      <c r="AM23" s="44">
        <v>1.2</v>
      </c>
      <c r="AN23" s="44">
        <v>1.2</v>
      </c>
      <c r="AO23" s="72">
        <f t="shared" si="7"/>
        <v>8.6</v>
      </c>
      <c r="AP23" s="72">
        <f t="shared" si="8"/>
        <v>7.500000000000001</v>
      </c>
      <c r="AQ23" s="11">
        <f t="shared" si="1"/>
        <v>87.2093023255814</v>
      </c>
      <c r="AR23" s="72">
        <f t="shared" si="9"/>
        <v>1.0999999999999988</v>
      </c>
      <c r="AS23" s="18">
        <f t="shared" si="10"/>
        <v>1.0999999999999988</v>
      </c>
    </row>
    <row r="24" spans="1:45" ht="24.75" customHeight="1">
      <c r="A24" s="13" t="s">
        <v>29</v>
      </c>
      <c r="B24" s="15" t="s">
        <v>105</v>
      </c>
      <c r="C24" s="108">
        <v>0.3</v>
      </c>
      <c r="D24" s="44">
        <v>7.4</v>
      </c>
      <c r="E24" s="44">
        <v>4.9</v>
      </c>
      <c r="F24" s="11">
        <f t="shared" si="22"/>
        <v>66.21621621621621</v>
      </c>
      <c r="G24" s="44">
        <v>10.2</v>
      </c>
      <c r="H24" s="44">
        <v>3.3</v>
      </c>
      <c r="I24" s="11">
        <f t="shared" si="0"/>
        <v>32.35294117647059</v>
      </c>
      <c r="J24" s="44">
        <v>9</v>
      </c>
      <c r="K24" s="44">
        <v>15.3</v>
      </c>
      <c r="L24" s="11">
        <f>K24/J24*100</f>
        <v>170.00000000000003</v>
      </c>
      <c r="M24" s="89">
        <f t="shared" si="3"/>
        <v>26.6</v>
      </c>
      <c r="N24" s="89">
        <f t="shared" si="4"/>
        <v>23.5</v>
      </c>
      <c r="O24" s="11">
        <f t="shared" si="2"/>
        <v>88.34586466165413</v>
      </c>
      <c r="P24" s="44">
        <v>7.9</v>
      </c>
      <c r="Q24" s="44">
        <v>8.8</v>
      </c>
      <c r="R24" s="11">
        <f>Q24/P24*100</f>
        <v>111.39240506329114</v>
      </c>
      <c r="S24" s="44">
        <v>7.6</v>
      </c>
      <c r="T24" s="44">
        <v>6.6</v>
      </c>
      <c r="U24" s="11">
        <f>T24/S24*100</f>
        <v>86.8421052631579</v>
      </c>
      <c r="V24" s="44">
        <v>10.8</v>
      </c>
      <c r="W24" s="44">
        <v>11</v>
      </c>
      <c r="X24" s="11">
        <f>W24/V24*100</f>
        <v>101.85185185185183</v>
      </c>
      <c r="Y24" s="89">
        <f t="shared" si="23"/>
        <v>26.3</v>
      </c>
      <c r="Z24" s="89">
        <f t="shared" si="23"/>
        <v>26.4</v>
      </c>
      <c r="AA24" s="11">
        <f>Z24/Y24*100</f>
        <v>100.38022813688212</v>
      </c>
      <c r="AB24" s="44">
        <v>7.5</v>
      </c>
      <c r="AC24" s="44">
        <v>7.3</v>
      </c>
      <c r="AD24" s="11">
        <f>AC24/AB24*100</f>
        <v>97.33333333333333</v>
      </c>
      <c r="AE24" s="44">
        <v>7.1</v>
      </c>
      <c r="AF24" s="44">
        <v>5.6</v>
      </c>
      <c r="AG24" s="142">
        <f t="shared" si="20"/>
        <v>78.87323943661971</v>
      </c>
      <c r="AH24" s="44">
        <v>8.7</v>
      </c>
      <c r="AI24" s="44">
        <v>8.7</v>
      </c>
      <c r="AJ24" s="89">
        <f t="shared" si="5"/>
        <v>23.299999999999997</v>
      </c>
      <c r="AK24" s="89">
        <f t="shared" si="6"/>
        <v>21.599999999999998</v>
      </c>
      <c r="AL24" s="11">
        <f>AK24/AJ24*100</f>
        <v>92.7038626609442</v>
      </c>
      <c r="AM24" s="44">
        <v>11.6</v>
      </c>
      <c r="AN24" s="44">
        <v>11</v>
      </c>
      <c r="AO24" s="72">
        <f t="shared" si="7"/>
        <v>87.8</v>
      </c>
      <c r="AP24" s="72">
        <f t="shared" si="8"/>
        <v>82.5</v>
      </c>
      <c r="AQ24" s="11">
        <f t="shared" si="1"/>
        <v>93.96355353075171</v>
      </c>
      <c r="AR24" s="72">
        <f t="shared" si="9"/>
        <v>5.299999999999997</v>
      </c>
      <c r="AS24" s="18">
        <f t="shared" si="10"/>
        <v>5.599999999999994</v>
      </c>
    </row>
    <row r="25" spans="1:45" ht="24.75" customHeight="1">
      <c r="A25" s="13" t="s">
        <v>30</v>
      </c>
      <c r="B25" s="47" t="s">
        <v>106</v>
      </c>
      <c r="C25" s="108">
        <v>1.5</v>
      </c>
      <c r="D25" s="44">
        <v>4.4</v>
      </c>
      <c r="E25" s="44">
        <v>1.2</v>
      </c>
      <c r="F25" s="11">
        <f t="shared" si="22"/>
        <v>27.27272727272727</v>
      </c>
      <c r="G25" s="44">
        <v>5.6</v>
      </c>
      <c r="H25" s="44">
        <v>2.7</v>
      </c>
      <c r="I25" s="11">
        <f t="shared" si="0"/>
        <v>48.21428571428572</v>
      </c>
      <c r="J25" s="44">
        <v>6.2</v>
      </c>
      <c r="K25" s="44">
        <v>5.4</v>
      </c>
      <c r="L25" s="11">
        <f>K25/J25*100</f>
        <v>87.09677419354838</v>
      </c>
      <c r="M25" s="89">
        <f t="shared" si="3"/>
        <v>16.2</v>
      </c>
      <c r="N25" s="89">
        <f t="shared" si="4"/>
        <v>9.3</v>
      </c>
      <c r="O25" s="11">
        <f t="shared" si="2"/>
        <v>57.40740740740742</v>
      </c>
      <c r="P25" s="44">
        <v>5</v>
      </c>
      <c r="Q25" s="44">
        <v>3.1</v>
      </c>
      <c r="R25" s="11">
        <f>Q25/P25*100</f>
        <v>62</v>
      </c>
      <c r="S25" s="44">
        <v>7.2</v>
      </c>
      <c r="T25" s="44">
        <v>8.6</v>
      </c>
      <c r="U25" s="11">
        <f>T25/S25*100</f>
        <v>119.44444444444444</v>
      </c>
      <c r="V25" s="44">
        <v>8.8</v>
      </c>
      <c r="W25" s="44">
        <v>8.2</v>
      </c>
      <c r="X25" s="11">
        <f>W25/V25*100</f>
        <v>93.18181818181816</v>
      </c>
      <c r="Y25" s="89">
        <f t="shared" si="23"/>
        <v>21</v>
      </c>
      <c r="Z25" s="89">
        <f t="shared" si="23"/>
        <v>19.9</v>
      </c>
      <c r="AA25" s="11">
        <f>Z25/Y25*100</f>
        <v>94.76190476190476</v>
      </c>
      <c r="AB25" s="44">
        <v>7.1</v>
      </c>
      <c r="AC25" s="44">
        <v>9.5</v>
      </c>
      <c r="AD25" s="11">
        <f>AC25/AB25*100</f>
        <v>133.80281690140845</v>
      </c>
      <c r="AE25" s="44">
        <v>7.3</v>
      </c>
      <c r="AF25" s="44">
        <v>7.2</v>
      </c>
      <c r="AG25" s="11">
        <f>AF25/AE25*100</f>
        <v>98.63013698630138</v>
      </c>
      <c r="AH25" s="44">
        <v>6.6</v>
      </c>
      <c r="AI25" s="44">
        <v>8.4</v>
      </c>
      <c r="AJ25" s="89">
        <f t="shared" si="5"/>
        <v>21</v>
      </c>
      <c r="AK25" s="89">
        <f t="shared" si="6"/>
        <v>25.1</v>
      </c>
      <c r="AL25" s="11">
        <f>AK25/AJ25*100</f>
        <v>119.52380952380952</v>
      </c>
      <c r="AM25" s="44">
        <v>6.3</v>
      </c>
      <c r="AN25" s="44">
        <v>7.2</v>
      </c>
      <c r="AO25" s="72">
        <f t="shared" si="7"/>
        <v>64.5</v>
      </c>
      <c r="AP25" s="72">
        <f t="shared" si="8"/>
        <v>61.5</v>
      </c>
      <c r="AQ25" s="11">
        <f t="shared" si="1"/>
        <v>95.34883720930233</v>
      </c>
      <c r="AR25" s="72">
        <f t="shared" si="9"/>
        <v>3</v>
      </c>
      <c r="AS25" s="18">
        <f t="shared" si="10"/>
        <v>4.5</v>
      </c>
    </row>
    <row r="26" spans="1:45" ht="24.75" customHeight="1">
      <c r="A26" s="13" t="s">
        <v>31</v>
      </c>
      <c r="B26" s="15" t="s">
        <v>107</v>
      </c>
      <c r="C26" s="108"/>
      <c r="D26" s="44"/>
      <c r="E26" s="44"/>
      <c r="F26" s="113"/>
      <c r="G26" s="44"/>
      <c r="H26" s="44"/>
      <c r="I26" s="11"/>
      <c r="J26" s="44"/>
      <c r="K26" s="44"/>
      <c r="L26" s="111"/>
      <c r="M26" s="89"/>
      <c r="N26" s="89"/>
      <c r="O26" s="11"/>
      <c r="P26" s="44"/>
      <c r="Q26" s="44"/>
      <c r="R26" s="111"/>
      <c r="S26" s="44"/>
      <c r="T26" s="44"/>
      <c r="U26" s="111"/>
      <c r="V26" s="44"/>
      <c r="W26" s="44"/>
      <c r="X26" s="111"/>
      <c r="Y26" s="89"/>
      <c r="Z26" s="89"/>
      <c r="AA26" s="11"/>
      <c r="AB26" s="44"/>
      <c r="AC26" s="44"/>
      <c r="AD26" s="111"/>
      <c r="AE26" s="44"/>
      <c r="AF26" s="44"/>
      <c r="AG26" s="11" t="e">
        <f>AF26/AE26*100</f>
        <v>#DIV/0!</v>
      </c>
      <c r="AH26" s="44"/>
      <c r="AI26" s="44"/>
      <c r="AJ26" s="89"/>
      <c r="AK26" s="89"/>
      <c r="AL26" s="11"/>
      <c r="AM26" s="44"/>
      <c r="AN26" s="44"/>
      <c r="AO26" s="72">
        <f t="shared" si="7"/>
        <v>0</v>
      </c>
      <c r="AP26" s="72">
        <f t="shared" si="8"/>
        <v>0</v>
      </c>
      <c r="AQ26" s="111"/>
      <c r="AR26" s="72"/>
      <c r="AS26" s="18"/>
    </row>
    <row r="27" spans="1:45" ht="24.75" customHeight="1">
      <c r="A27" s="13" t="s">
        <v>32</v>
      </c>
      <c r="B27" s="15" t="s">
        <v>108</v>
      </c>
      <c r="C27" s="14"/>
      <c r="D27" s="44"/>
      <c r="E27" s="44"/>
      <c r="F27" s="111"/>
      <c r="G27" s="44"/>
      <c r="H27" s="44"/>
      <c r="I27" s="11"/>
      <c r="J27" s="44"/>
      <c r="K27" s="44"/>
      <c r="L27" s="113"/>
      <c r="M27" s="89"/>
      <c r="N27" s="89"/>
      <c r="O27" s="11"/>
      <c r="P27" s="44"/>
      <c r="Q27" s="44"/>
      <c r="R27" s="113"/>
      <c r="S27" s="44"/>
      <c r="T27" s="44"/>
      <c r="U27" s="113"/>
      <c r="V27" s="44"/>
      <c r="W27" s="44"/>
      <c r="X27" s="113"/>
      <c r="Y27" s="89"/>
      <c r="Z27" s="89"/>
      <c r="AA27" s="11"/>
      <c r="AB27" s="44"/>
      <c r="AC27" s="44"/>
      <c r="AD27" s="113"/>
      <c r="AE27" s="44"/>
      <c r="AF27" s="44"/>
      <c r="AG27" s="11" t="e">
        <f>AF27/AE27*100</f>
        <v>#DIV/0!</v>
      </c>
      <c r="AH27" s="44"/>
      <c r="AI27" s="44"/>
      <c r="AJ27" s="89"/>
      <c r="AK27" s="89"/>
      <c r="AL27" s="11"/>
      <c r="AM27" s="44"/>
      <c r="AN27" s="44"/>
      <c r="AO27" s="72">
        <f t="shared" si="7"/>
        <v>0</v>
      </c>
      <c r="AP27" s="72">
        <f t="shared" si="8"/>
        <v>0</v>
      </c>
      <c r="AQ27" s="11"/>
      <c r="AR27" s="72"/>
      <c r="AS27" s="18"/>
    </row>
    <row r="28" spans="1:45" ht="24.75" customHeight="1">
      <c r="A28" s="13" t="s">
        <v>33</v>
      </c>
      <c r="B28" s="47" t="s">
        <v>109</v>
      </c>
      <c r="C28" s="118">
        <v>1.7</v>
      </c>
      <c r="D28" s="44">
        <v>2.6</v>
      </c>
      <c r="E28" s="44">
        <v>0.8</v>
      </c>
      <c r="F28" s="11">
        <f t="shared" si="22"/>
        <v>30.76923076923077</v>
      </c>
      <c r="G28" s="44">
        <v>4.1</v>
      </c>
      <c r="H28" s="44">
        <v>6.2</v>
      </c>
      <c r="I28" s="11">
        <f t="shared" si="0"/>
        <v>151.21951219512198</v>
      </c>
      <c r="J28" s="44">
        <v>6.8</v>
      </c>
      <c r="K28" s="44">
        <v>3.2</v>
      </c>
      <c r="L28" s="75">
        <f aca="true" t="shared" si="24" ref="L28:L43">K28/J28*100</f>
        <v>47.05882352941177</v>
      </c>
      <c r="M28" s="89">
        <f t="shared" si="3"/>
        <v>13.5</v>
      </c>
      <c r="N28" s="89">
        <f t="shared" si="4"/>
        <v>10.2</v>
      </c>
      <c r="O28" s="11">
        <f t="shared" si="2"/>
        <v>75.55555555555556</v>
      </c>
      <c r="P28" s="44">
        <v>4.4</v>
      </c>
      <c r="Q28" s="44">
        <v>6.2</v>
      </c>
      <c r="R28" s="140">
        <f>Q28/P28*100</f>
        <v>140.9090909090909</v>
      </c>
      <c r="S28" s="44">
        <v>4</v>
      </c>
      <c r="T28" s="44">
        <v>3</v>
      </c>
      <c r="U28" s="140">
        <f>T28/S28*100</f>
        <v>75</v>
      </c>
      <c r="V28" s="44">
        <v>5</v>
      </c>
      <c r="W28" s="44">
        <v>6.6</v>
      </c>
      <c r="X28" s="140">
        <f>W28/V28*100</f>
        <v>131.99999999999997</v>
      </c>
      <c r="Y28" s="89">
        <f>P28+S28+V28</f>
        <v>13.4</v>
      </c>
      <c r="Z28" s="89">
        <f>Q28+T28+W28</f>
        <v>15.799999999999999</v>
      </c>
      <c r="AA28" s="11">
        <f>Z28/Y28*100</f>
        <v>117.91044776119402</v>
      </c>
      <c r="AB28" s="44">
        <v>4.7</v>
      </c>
      <c r="AC28" s="44">
        <v>1.3</v>
      </c>
      <c r="AD28" s="140">
        <f>AC28/AB28*100</f>
        <v>27.659574468085108</v>
      </c>
      <c r="AE28" s="44">
        <v>4.9</v>
      </c>
      <c r="AF28" s="99">
        <v>5.4</v>
      </c>
      <c r="AG28" s="94">
        <f>AF28/AE28*100</f>
        <v>110.20408163265304</v>
      </c>
      <c r="AH28" s="44"/>
      <c r="AI28" s="99"/>
      <c r="AJ28" s="89">
        <f t="shared" si="5"/>
        <v>9.600000000000001</v>
      </c>
      <c r="AK28" s="89">
        <f t="shared" si="6"/>
        <v>6.7</v>
      </c>
      <c r="AL28" s="11">
        <f>AK28/AJ28*100</f>
        <v>69.79166666666666</v>
      </c>
      <c r="AM28" s="44">
        <v>5.5</v>
      </c>
      <c r="AN28" s="99">
        <v>3.8</v>
      </c>
      <c r="AO28" s="72">
        <f t="shared" si="7"/>
        <v>42</v>
      </c>
      <c r="AP28" s="72">
        <f t="shared" si="8"/>
        <v>36.5</v>
      </c>
      <c r="AQ28" s="11">
        <f t="shared" si="1"/>
        <v>86.90476190476191</v>
      </c>
      <c r="AR28" s="72">
        <f t="shared" si="9"/>
        <v>5.5</v>
      </c>
      <c r="AS28" s="18">
        <f t="shared" si="10"/>
        <v>7.200000000000003</v>
      </c>
    </row>
    <row r="29" spans="1:45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5"/>
      <c r="M29" s="89"/>
      <c r="N29" s="89"/>
      <c r="O29" s="11"/>
      <c r="P29" s="77"/>
      <c r="Q29" s="77"/>
      <c r="R29" s="75"/>
      <c r="S29" s="77"/>
      <c r="T29" s="77"/>
      <c r="U29" s="75"/>
      <c r="V29" s="77"/>
      <c r="W29" s="77"/>
      <c r="X29" s="75"/>
      <c r="Y29" s="89"/>
      <c r="Z29" s="89"/>
      <c r="AA29" s="11"/>
      <c r="AB29" s="77"/>
      <c r="AC29" s="77"/>
      <c r="AD29" s="75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72">
        <f t="shared" si="7"/>
        <v>0</v>
      </c>
      <c r="AP29" s="72">
        <f t="shared" si="8"/>
        <v>0</v>
      </c>
      <c r="AQ29" s="77"/>
      <c r="AR29" s="77"/>
      <c r="AS29" s="77"/>
    </row>
    <row r="30" spans="1:45" ht="24.75" customHeight="1">
      <c r="A30" s="13" t="s">
        <v>35</v>
      </c>
      <c r="B30" s="15" t="s">
        <v>111</v>
      </c>
      <c r="C30" s="120">
        <v>-2.2</v>
      </c>
      <c r="D30" s="44">
        <v>1.1</v>
      </c>
      <c r="E30" s="44">
        <v>0.6</v>
      </c>
      <c r="F30" s="96">
        <f>E30/D30*100</f>
        <v>54.54545454545454</v>
      </c>
      <c r="G30" s="44">
        <v>1.5</v>
      </c>
      <c r="H30" s="44">
        <v>0.7</v>
      </c>
      <c r="I30" s="75">
        <f t="shared" si="0"/>
        <v>46.666666666666664</v>
      </c>
      <c r="J30" s="44">
        <v>1.8</v>
      </c>
      <c r="K30" s="44">
        <v>1.8</v>
      </c>
      <c r="L30" s="75">
        <f t="shared" si="24"/>
        <v>100</v>
      </c>
      <c r="M30" s="89">
        <f t="shared" si="3"/>
        <v>4.4</v>
      </c>
      <c r="N30" s="89">
        <f t="shared" si="4"/>
        <v>3.0999999999999996</v>
      </c>
      <c r="O30" s="11">
        <f t="shared" si="2"/>
        <v>70.45454545454544</v>
      </c>
      <c r="P30" s="44">
        <v>2.4</v>
      </c>
      <c r="Q30" s="44">
        <v>1.7</v>
      </c>
      <c r="R30" s="140">
        <f aca="true" t="shared" si="25" ref="R30:R43">Q30/P30*100</f>
        <v>70.83333333333334</v>
      </c>
      <c r="S30" s="44">
        <v>1.8</v>
      </c>
      <c r="T30" s="44">
        <v>1</v>
      </c>
      <c r="U30" s="140">
        <f aca="true" t="shared" si="26" ref="U30:U43">T30/S30*100</f>
        <v>55.55555555555556</v>
      </c>
      <c r="V30" s="44">
        <v>2.3</v>
      </c>
      <c r="W30" s="44">
        <v>1.8</v>
      </c>
      <c r="X30" s="140">
        <f aca="true" t="shared" si="27" ref="X30:X43">W30/V30*100</f>
        <v>78.26086956521739</v>
      </c>
      <c r="Y30" s="89">
        <f aca="true" t="shared" si="28" ref="Y30:Y40">P30+S30+V30</f>
        <v>6.5</v>
      </c>
      <c r="Z30" s="89">
        <f aca="true" t="shared" si="29" ref="Z30:Z40">Q30+T30+W30</f>
        <v>4.5</v>
      </c>
      <c r="AA30" s="11">
        <f aca="true" t="shared" si="30" ref="AA30:AA43">Z30/Y30*100</f>
        <v>69.23076923076923</v>
      </c>
      <c r="AB30" s="44">
        <v>2.2</v>
      </c>
      <c r="AC30" s="44">
        <v>2.2</v>
      </c>
      <c r="AD30" s="140">
        <f aca="true" t="shared" si="31" ref="AD30:AD43">AC30/AB30*100</f>
        <v>100</v>
      </c>
      <c r="AE30" s="44">
        <v>2.6</v>
      </c>
      <c r="AF30" s="44">
        <v>2.2</v>
      </c>
      <c r="AG30" s="141">
        <f aca="true" t="shared" si="32" ref="AG30:AG41">AF30/AE30*100</f>
        <v>84.61538461538461</v>
      </c>
      <c r="AH30" s="44">
        <v>1.5</v>
      </c>
      <c r="AI30" s="44">
        <v>1.8</v>
      </c>
      <c r="AJ30" s="89">
        <f t="shared" si="5"/>
        <v>6.300000000000001</v>
      </c>
      <c r="AK30" s="89">
        <f t="shared" si="6"/>
        <v>6.2</v>
      </c>
      <c r="AL30" s="11">
        <f aca="true" t="shared" si="33" ref="AL30:AL43">AK30/AJ30*100</f>
        <v>98.4126984126984</v>
      </c>
      <c r="AM30" s="44">
        <v>3.8</v>
      </c>
      <c r="AN30" s="44">
        <v>2</v>
      </c>
      <c r="AO30" s="72">
        <f t="shared" si="7"/>
        <v>21.000000000000004</v>
      </c>
      <c r="AP30" s="72">
        <f t="shared" si="8"/>
        <v>15.8</v>
      </c>
      <c r="AQ30" s="11">
        <f t="shared" si="1"/>
        <v>75.23809523809523</v>
      </c>
      <c r="AR30" s="72">
        <f t="shared" si="9"/>
        <v>5.200000000000003</v>
      </c>
      <c r="AS30" s="18">
        <f t="shared" si="10"/>
        <v>3.0000000000000036</v>
      </c>
    </row>
    <row r="31" spans="1:45" ht="24.75" customHeight="1">
      <c r="A31" s="13" t="s">
        <v>36</v>
      </c>
      <c r="B31" s="15" t="s">
        <v>112</v>
      </c>
      <c r="C31" s="108">
        <v>-0.2</v>
      </c>
      <c r="D31" s="44">
        <v>1.3</v>
      </c>
      <c r="E31" s="44">
        <v>0.5</v>
      </c>
      <c r="F31" s="11">
        <f>E31/D31*100</f>
        <v>38.46153846153846</v>
      </c>
      <c r="G31" s="44">
        <v>1.7</v>
      </c>
      <c r="H31" s="44">
        <v>1.1</v>
      </c>
      <c r="I31" s="11">
        <f t="shared" si="0"/>
        <v>64.70588235294117</v>
      </c>
      <c r="J31" s="44">
        <v>2</v>
      </c>
      <c r="K31" s="44">
        <v>3</v>
      </c>
      <c r="L31" s="11">
        <f t="shared" si="24"/>
        <v>150</v>
      </c>
      <c r="M31" s="89">
        <f t="shared" si="3"/>
        <v>5</v>
      </c>
      <c r="N31" s="89">
        <f t="shared" si="4"/>
        <v>4.6</v>
      </c>
      <c r="O31" s="11">
        <f t="shared" si="2"/>
        <v>92</v>
      </c>
      <c r="P31" s="44">
        <v>1.5</v>
      </c>
      <c r="Q31" s="44">
        <v>1.8</v>
      </c>
      <c r="R31" s="11">
        <f t="shared" si="25"/>
        <v>120</v>
      </c>
      <c r="S31" s="44">
        <v>1.3</v>
      </c>
      <c r="T31" s="44">
        <v>1.5</v>
      </c>
      <c r="U31" s="11">
        <f t="shared" si="26"/>
        <v>115.38461538461537</v>
      </c>
      <c r="V31" s="44">
        <v>1.3</v>
      </c>
      <c r="W31" s="44">
        <v>1.8</v>
      </c>
      <c r="X31" s="11">
        <f t="shared" si="27"/>
        <v>138.46153846153845</v>
      </c>
      <c r="Y31" s="89">
        <f t="shared" si="28"/>
        <v>4.1</v>
      </c>
      <c r="Z31" s="89">
        <f t="shared" si="29"/>
        <v>5.1</v>
      </c>
      <c r="AA31" s="11">
        <f t="shared" si="30"/>
        <v>124.39024390243902</v>
      </c>
      <c r="AB31" s="44">
        <v>1.2</v>
      </c>
      <c r="AC31" s="44">
        <v>1.3</v>
      </c>
      <c r="AD31" s="11">
        <f t="shared" si="31"/>
        <v>108.33333333333334</v>
      </c>
      <c r="AE31" s="44">
        <v>1.1</v>
      </c>
      <c r="AF31" s="44">
        <v>0.7</v>
      </c>
      <c r="AG31" s="141">
        <f t="shared" si="32"/>
        <v>63.636363636363626</v>
      </c>
      <c r="AH31" s="44">
        <v>1.2</v>
      </c>
      <c r="AI31" s="44">
        <v>1.1</v>
      </c>
      <c r="AJ31" s="89">
        <f t="shared" si="5"/>
        <v>3.5</v>
      </c>
      <c r="AK31" s="89">
        <f t="shared" si="6"/>
        <v>3.1</v>
      </c>
      <c r="AL31" s="11">
        <f t="shared" si="33"/>
        <v>88.57142857142858</v>
      </c>
      <c r="AM31" s="44">
        <v>0.9</v>
      </c>
      <c r="AN31" s="44">
        <v>1</v>
      </c>
      <c r="AO31" s="72">
        <f t="shared" si="7"/>
        <v>13.5</v>
      </c>
      <c r="AP31" s="72">
        <f t="shared" si="8"/>
        <v>13.799999999999999</v>
      </c>
      <c r="AQ31" s="11">
        <f t="shared" si="1"/>
        <v>102.22222222222221</v>
      </c>
      <c r="AR31" s="72">
        <f t="shared" si="9"/>
        <v>-0.29999999999999893</v>
      </c>
      <c r="AS31" s="18">
        <f t="shared" si="10"/>
        <v>-0.4999999999999982</v>
      </c>
    </row>
    <row r="32" spans="1:45" ht="24.75" customHeight="1">
      <c r="A32" s="13" t="s">
        <v>37</v>
      </c>
      <c r="B32" s="15" t="s">
        <v>113</v>
      </c>
      <c r="C32" s="108">
        <v>-3.6</v>
      </c>
      <c r="D32" s="44">
        <v>221.7</v>
      </c>
      <c r="E32" s="44">
        <v>7.2</v>
      </c>
      <c r="F32" s="67">
        <f>E32/D32*100</f>
        <v>3.247631935047362</v>
      </c>
      <c r="G32" s="44">
        <v>245.6</v>
      </c>
      <c r="H32" s="44">
        <v>13.9</v>
      </c>
      <c r="I32" s="11">
        <f t="shared" si="0"/>
        <v>5.659609120521173</v>
      </c>
      <c r="J32" s="44">
        <v>236</v>
      </c>
      <c r="K32" s="44">
        <v>460.7</v>
      </c>
      <c r="L32" s="11">
        <f t="shared" si="24"/>
        <v>195.21186440677965</v>
      </c>
      <c r="M32" s="89">
        <f t="shared" si="3"/>
        <v>703.3</v>
      </c>
      <c r="N32" s="89">
        <f t="shared" si="4"/>
        <v>481.8</v>
      </c>
      <c r="O32" s="11">
        <f t="shared" si="2"/>
        <v>68.50561637992323</v>
      </c>
      <c r="P32" s="44">
        <v>229.6</v>
      </c>
      <c r="Q32" s="44">
        <v>234.4</v>
      </c>
      <c r="R32" s="11">
        <f t="shared" si="25"/>
        <v>102.09059233449477</v>
      </c>
      <c r="S32" s="44">
        <v>214</v>
      </c>
      <c r="T32" s="44">
        <v>21.3</v>
      </c>
      <c r="U32" s="11">
        <f t="shared" si="26"/>
        <v>9.953271028037383</v>
      </c>
      <c r="V32" s="44">
        <v>197.6</v>
      </c>
      <c r="W32" s="44">
        <v>19.8</v>
      </c>
      <c r="X32" s="11">
        <f t="shared" si="27"/>
        <v>10.020242914979757</v>
      </c>
      <c r="Y32" s="89">
        <f t="shared" si="28"/>
        <v>641.2</v>
      </c>
      <c r="Z32" s="89">
        <f t="shared" si="29"/>
        <v>275.5</v>
      </c>
      <c r="AA32" s="11">
        <f t="shared" si="30"/>
        <v>42.96631316281971</v>
      </c>
      <c r="AB32" s="44">
        <v>176.6</v>
      </c>
      <c r="AC32" s="44">
        <v>42.4</v>
      </c>
      <c r="AD32" s="11">
        <f t="shared" si="31"/>
        <v>24.009060022650054</v>
      </c>
      <c r="AE32" s="44">
        <v>19.9</v>
      </c>
      <c r="AF32" s="44">
        <v>17.9</v>
      </c>
      <c r="AG32" s="11">
        <f t="shared" si="32"/>
        <v>89.9497487437186</v>
      </c>
      <c r="AH32" s="44">
        <v>4.1</v>
      </c>
      <c r="AI32" s="44">
        <v>721.7</v>
      </c>
      <c r="AJ32" s="89">
        <f t="shared" si="5"/>
        <v>200.6</v>
      </c>
      <c r="AK32" s="89">
        <f t="shared" si="6"/>
        <v>782</v>
      </c>
      <c r="AL32" s="11">
        <f t="shared" si="33"/>
        <v>389.8305084745763</v>
      </c>
      <c r="AM32" s="44">
        <v>3.5</v>
      </c>
      <c r="AN32" s="44">
        <v>1.6</v>
      </c>
      <c r="AO32" s="72">
        <f t="shared" si="7"/>
        <v>1548.6</v>
      </c>
      <c r="AP32" s="72">
        <f t="shared" si="8"/>
        <v>1540.8999999999999</v>
      </c>
      <c r="AQ32" s="11">
        <f t="shared" si="1"/>
        <v>99.50277670153686</v>
      </c>
      <c r="AR32" s="72">
        <f t="shared" si="9"/>
        <v>7.7000000000000455</v>
      </c>
      <c r="AS32" s="18">
        <f t="shared" si="10"/>
        <v>4.100000000000136</v>
      </c>
    </row>
    <row r="33" spans="1:45" ht="24.75" customHeight="1">
      <c r="A33" s="13" t="s">
        <v>38</v>
      </c>
      <c r="B33" s="15" t="s">
        <v>114</v>
      </c>
      <c r="C33" s="108">
        <v>10.6</v>
      </c>
      <c r="D33" s="121">
        <v>2.6</v>
      </c>
      <c r="E33" s="122">
        <v>13.2</v>
      </c>
      <c r="F33" s="64">
        <f>E33/D33*100</f>
        <v>507.6923076923077</v>
      </c>
      <c r="G33" s="44">
        <v>5.3</v>
      </c>
      <c r="H33" s="44">
        <v>5.3</v>
      </c>
      <c r="I33" s="11">
        <f t="shared" si="0"/>
        <v>100</v>
      </c>
      <c r="J33" s="44">
        <v>6.1</v>
      </c>
      <c r="K33" s="44">
        <v>6.1</v>
      </c>
      <c r="L33" s="11">
        <f t="shared" si="24"/>
        <v>100</v>
      </c>
      <c r="M33" s="89">
        <f t="shared" si="3"/>
        <v>14</v>
      </c>
      <c r="N33" s="89">
        <f t="shared" si="4"/>
        <v>24.6</v>
      </c>
      <c r="O33" s="11">
        <f t="shared" si="2"/>
        <v>175.71428571428572</v>
      </c>
      <c r="P33" s="44">
        <v>7.7</v>
      </c>
      <c r="Q33" s="44">
        <v>7.7</v>
      </c>
      <c r="R33" s="11">
        <f t="shared" si="25"/>
        <v>100</v>
      </c>
      <c r="S33" s="44">
        <v>8.4</v>
      </c>
      <c r="T33" s="44">
        <v>8.4</v>
      </c>
      <c r="U33" s="11">
        <f t="shared" si="26"/>
        <v>100</v>
      </c>
      <c r="V33" s="44">
        <v>10.6</v>
      </c>
      <c r="W33" s="44">
        <v>0</v>
      </c>
      <c r="X33" s="11">
        <f t="shared" si="27"/>
        <v>0</v>
      </c>
      <c r="Y33" s="89">
        <f t="shared" si="28"/>
        <v>26.700000000000003</v>
      </c>
      <c r="Z33" s="89">
        <f t="shared" si="29"/>
        <v>16.1</v>
      </c>
      <c r="AA33" s="11">
        <f t="shared" si="30"/>
        <v>60.2996254681648</v>
      </c>
      <c r="AB33" s="44">
        <v>5.3</v>
      </c>
      <c r="AC33" s="44">
        <v>0</v>
      </c>
      <c r="AD33" s="11">
        <f t="shared" si="31"/>
        <v>0</v>
      </c>
      <c r="AE33" s="44">
        <v>4.2</v>
      </c>
      <c r="AF33" s="44">
        <v>0</v>
      </c>
      <c r="AG33" s="11">
        <f t="shared" si="32"/>
        <v>0</v>
      </c>
      <c r="AH33" s="44">
        <v>7.6</v>
      </c>
      <c r="AI33" s="44">
        <v>20.1</v>
      </c>
      <c r="AJ33" s="89">
        <f t="shared" si="5"/>
        <v>17.1</v>
      </c>
      <c r="AK33" s="89">
        <f t="shared" si="6"/>
        <v>20.1</v>
      </c>
      <c r="AL33" s="11">
        <f t="shared" si="33"/>
        <v>117.5438596491228</v>
      </c>
      <c r="AM33" s="44">
        <v>7.6</v>
      </c>
      <c r="AN33" s="44">
        <v>7.6</v>
      </c>
      <c r="AO33" s="72">
        <f t="shared" si="7"/>
        <v>65.4</v>
      </c>
      <c r="AP33" s="72">
        <f t="shared" si="8"/>
        <v>68.4</v>
      </c>
      <c r="AQ33" s="11">
        <f t="shared" si="1"/>
        <v>104.58715596330275</v>
      </c>
      <c r="AR33" s="72">
        <f t="shared" si="9"/>
        <v>-3</v>
      </c>
      <c r="AS33" s="18">
        <f t="shared" si="10"/>
        <v>7.599999999999994</v>
      </c>
    </row>
    <row r="34" spans="1:45" ht="24.75" customHeight="1">
      <c r="A34" s="13" t="s">
        <v>39</v>
      </c>
      <c r="B34" s="47" t="s">
        <v>115</v>
      </c>
      <c r="C34" s="117">
        <v>1.1</v>
      </c>
      <c r="D34" s="79">
        <v>1.4</v>
      </c>
      <c r="E34" s="79">
        <v>0.2</v>
      </c>
      <c r="F34" s="11">
        <f>E34/D34*100</f>
        <v>14.285714285714288</v>
      </c>
      <c r="G34" s="44">
        <v>1.7</v>
      </c>
      <c r="H34" s="44">
        <v>2</v>
      </c>
      <c r="I34" s="75">
        <f t="shared" si="0"/>
        <v>117.64705882352942</v>
      </c>
      <c r="J34" s="44">
        <v>1.5</v>
      </c>
      <c r="K34" s="44">
        <v>2.4</v>
      </c>
      <c r="L34" s="75">
        <f t="shared" si="24"/>
        <v>160</v>
      </c>
      <c r="M34" s="89">
        <f t="shared" si="3"/>
        <v>4.6</v>
      </c>
      <c r="N34" s="89">
        <f t="shared" si="4"/>
        <v>4.6</v>
      </c>
      <c r="O34" s="11">
        <f t="shared" si="2"/>
        <v>100</v>
      </c>
      <c r="P34" s="44">
        <v>1.6</v>
      </c>
      <c r="Q34" s="44">
        <v>0.6</v>
      </c>
      <c r="R34" s="140">
        <f t="shared" si="25"/>
        <v>37.49999999999999</v>
      </c>
      <c r="S34" s="44">
        <v>2.1</v>
      </c>
      <c r="T34" s="44">
        <v>2</v>
      </c>
      <c r="U34" s="140">
        <f t="shared" si="26"/>
        <v>95.23809523809523</v>
      </c>
      <c r="V34" s="44">
        <v>2.7</v>
      </c>
      <c r="W34" s="44">
        <v>3</v>
      </c>
      <c r="X34" s="140">
        <f t="shared" si="27"/>
        <v>111.1111111111111</v>
      </c>
      <c r="Y34" s="89">
        <f t="shared" si="28"/>
        <v>6.4</v>
      </c>
      <c r="Z34" s="89">
        <f t="shared" si="29"/>
        <v>5.6</v>
      </c>
      <c r="AA34" s="11">
        <f t="shared" si="30"/>
        <v>87.49999999999999</v>
      </c>
      <c r="AB34" s="44">
        <v>0.8</v>
      </c>
      <c r="AC34" s="44">
        <v>0.9</v>
      </c>
      <c r="AD34" s="140">
        <f t="shared" si="31"/>
        <v>112.5</v>
      </c>
      <c r="AE34" s="44">
        <v>0</v>
      </c>
      <c r="AF34" s="44">
        <v>0.6</v>
      </c>
      <c r="AG34" s="11" t="e">
        <f t="shared" si="32"/>
        <v>#DIV/0!</v>
      </c>
      <c r="AH34" s="44">
        <v>0</v>
      </c>
      <c r="AI34" s="44">
        <v>0</v>
      </c>
      <c r="AJ34" s="89">
        <f t="shared" si="5"/>
        <v>0.8</v>
      </c>
      <c r="AK34" s="89">
        <f t="shared" si="6"/>
        <v>1.5</v>
      </c>
      <c r="AL34" s="11">
        <f t="shared" si="33"/>
        <v>187.5</v>
      </c>
      <c r="AM34" s="44">
        <v>0</v>
      </c>
      <c r="AN34" s="44">
        <v>0</v>
      </c>
      <c r="AO34" s="72">
        <f t="shared" si="7"/>
        <v>11.8</v>
      </c>
      <c r="AP34" s="72">
        <f t="shared" si="8"/>
        <v>11.7</v>
      </c>
      <c r="AQ34" s="11">
        <f t="shared" si="1"/>
        <v>99.15254237288134</v>
      </c>
      <c r="AR34" s="72">
        <f t="shared" si="9"/>
        <v>0.10000000000000142</v>
      </c>
      <c r="AS34" s="18">
        <f t="shared" si="10"/>
        <v>1.200000000000001</v>
      </c>
    </row>
    <row r="35" spans="1:45" ht="24.75" customHeight="1">
      <c r="A35" s="13" t="s">
        <v>40</v>
      </c>
      <c r="B35" s="15" t="s">
        <v>116</v>
      </c>
      <c r="C35" s="108">
        <v>-30.1</v>
      </c>
      <c r="D35" s="44">
        <v>24.2</v>
      </c>
      <c r="E35" s="44">
        <v>1.7</v>
      </c>
      <c r="F35" s="11">
        <f aca="true" t="shared" si="34" ref="F35:F42">E35/D35*100</f>
        <v>7.024793388429752</v>
      </c>
      <c r="G35" s="44">
        <v>27.4</v>
      </c>
      <c r="H35" s="44">
        <v>14.8</v>
      </c>
      <c r="I35" s="11">
        <f t="shared" si="0"/>
        <v>54.01459854014598</v>
      </c>
      <c r="J35" s="44">
        <v>25.2</v>
      </c>
      <c r="K35" s="44">
        <v>45.4</v>
      </c>
      <c r="L35" s="11">
        <f t="shared" si="24"/>
        <v>180.15873015873015</v>
      </c>
      <c r="M35" s="89">
        <f t="shared" si="3"/>
        <v>76.8</v>
      </c>
      <c r="N35" s="89">
        <f t="shared" si="4"/>
        <v>61.9</v>
      </c>
      <c r="O35" s="11">
        <f t="shared" si="2"/>
        <v>80.59895833333334</v>
      </c>
      <c r="P35" s="44">
        <v>24.6</v>
      </c>
      <c r="Q35" s="44">
        <v>16.8</v>
      </c>
      <c r="R35" s="11">
        <f t="shared" si="25"/>
        <v>68.29268292682926</v>
      </c>
      <c r="S35" s="44">
        <v>37.4</v>
      </c>
      <c r="T35" s="44">
        <v>37.6</v>
      </c>
      <c r="U35" s="11">
        <f t="shared" si="26"/>
        <v>100.53475935828877</v>
      </c>
      <c r="V35" s="44">
        <v>29.2</v>
      </c>
      <c r="W35" s="44">
        <v>29.3</v>
      </c>
      <c r="X35" s="11">
        <f t="shared" si="27"/>
        <v>100.34246575342468</v>
      </c>
      <c r="Y35" s="89">
        <f t="shared" si="28"/>
        <v>91.2</v>
      </c>
      <c r="Z35" s="89">
        <f t="shared" si="29"/>
        <v>83.7</v>
      </c>
      <c r="AA35" s="11">
        <f t="shared" si="30"/>
        <v>91.77631578947368</v>
      </c>
      <c r="AB35" s="44">
        <v>26.6</v>
      </c>
      <c r="AC35" s="44">
        <v>29.6</v>
      </c>
      <c r="AD35" s="11">
        <f t="shared" si="31"/>
        <v>111.27819548872179</v>
      </c>
      <c r="AE35" s="44">
        <v>26.6</v>
      </c>
      <c r="AF35" s="44">
        <v>20.5</v>
      </c>
      <c r="AG35" s="11">
        <f t="shared" si="32"/>
        <v>77.06766917293233</v>
      </c>
      <c r="AH35" s="44">
        <v>25.1</v>
      </c>
      <c r="AI35" s="44">
        <v>25.1</v>
      </c>
      <c r="AJ35" s="89">
        <f t="shared" si="5"/>
        <v>78.30000000000001</v>
      </c>
      <c r="AK35" s="89">
        <f t="shared" si="6"/>
        <v>75.2</v>
      </c>
      <c r="AL35" s="11">
        <f t="shared" si="33"/>
        <v>96.04086845466155</v>
      </c>
      <c r="AM35" s="44">
        <v>31.4</v>
      </c>
      <c r="AN35" s="44">
        <v>27.6</v>
      </c>
      <c r="AO35" s="72">
        <f t="shared" si="7"/>
        <v>277.7</v>
      </c>
      <c r="AP35" s="72">
        <f t="shared" si="8"/>
        <v>248.4</v>
      </c>
      <c r="AQ35" s="11">
        <f t="shared" si="1"/>
        <v>89.44904573280519</v>
      </c>
      <c r="AR35" s="72">
        <f t="shared" si="9"/>
        <v>29.299999999999983</v>
      </c>
      <c r="AS35" s="18">
        <f t="shared" si="10"/>
        <v>-0.8000000000000114</v>
      </c>
    </row>
    <row r="36" spans="1:45" ht="24.75" customHeight="1">
      <c r="A36" s="13" t="s">
        <v>41</v>
      </c>
      <c r="B36" s="15" t="s">
        <v>117</v>
      </c>
      <c r="C36" s="108">
        <f>-10.8</f>
        <v>-10.8</v>
      </c>
      <c r="D36" s="44">
        <v>12.8</v>
      </c>
      <c r="E36" s="44">
        <v>2.4</v>
      </c>
      <c r="F36" s="11">
        <f t="shared" si="34"/>
        <v>18.749999999999996</v>
      </c>
      <c r="G36" s="44">
        <v>27.7</v>
      </c>
      <c r="H36" s="44">
        <v>23</v>
      </c>
      <c r="I36" s="11">
        <f t="shared" si="0"/>
        <v>83.03249097472924</v>
      </c>
      <c r="J36" s="44">
        <v>21</v>
      </c>
      <c r="K36" s="44">
        <v>32.2</v>
      </c>
      <c r="L36" s="11">
        <f t="shared" si="24"/>
        <v>153.33333333333334</v>
      </c>
      <c r="M36" s="89">
        <f t="shared" si="3"/>
        <v>61.5</v>
      </c>
      <c r="N36" s="89">
        <f t="shared" si="4"/>
        <v>57.6</v>
      </c>
      <c r="O36" s="11">
        <f t="shared" si="2"/>
        <v>93.65853658536587</v>
      </c>
      <c r="P36" s="44">
        <v>20.4</v>
      </c>
      <c r="Q36" s="44">
        <v>16.2</v>
      </c>
      <c r="R36" s="11">
        <f t="shared" si="25"/>
        <v>79.41176470588236</v>
      </c>
      <c r="S36" s="44">
        <v>24.8</v>
      </c>
      <c r="T36" s="44">
        <v>22.6</v>
      </c>
      <c r="U36" s="11">
        <f t="shared" si="26"/>
        <v>91.12903225806453</v>
      </c>
      <c r="V36" s="44">
        <v>25</v>
      </c>
      <c r="W36" s="44">
        <v>34</v>
      </c>
      <c r="X36" s="11">
        <f t="shared" si="27"/>
        <v>136</v>
      </c>
      <c r="Y36" s="89">
        <f t="shared" si="28"/>
        <v>70.2</v>
      </c>
      <c r="Z36" s="89">
        <f t="shared" si="29"/>
        <v>72.8</v>
      </c>
      <c r="AA36" s="11">
        <f t="shared" si="30"/>
        <v>103.7037037037037</v>
      </c>
      <c r="AB36" s="44">
        <v>24.8</v>
      </c>
      <c r="AC36" s="44">
        <v>19.5</v>
      </c>
      <c r="AD36" s="11">
        <f t="shared" si="31"/>
        <v>78.62903225806451</v>
      </c>
      <c r="AE36" s="44">
        <v>22</v>
      </c>
      <c r="AF36" s="44">
        <v>21.6</v>
      </c>
      <c r="AG36" s="11">
        <f t="shared" si="32"/>
        <v>98.18181818181819</v>
      </c>
      <c r="AH36" s="44">
        <v>18.3</v>
      </c>
      <c r="AI36" s="44">
        <v>16.2</v>
      </c>
      <c r="AJ36" s="89">
        <f t="shared" si="5"/>
        <v>65.1</v>
      </c>
      <c r="AK36" s="89">
        <f t="shared" si="6"/>
        <v>57.3</v>
      </c>
      <c r="AL36" s="11">
        <f t="shared" si="33"/>
        <v>88.01843317972352</v>
      </c>
      <c r="AM36" s="44">
        <v>23.5</v>
      </c>
      <c r="AN36" s="44">
        <v>22.6</v>
      </c>
      <c r="AO36" s="72">
        <f t="shared" si="7"/>
        <v>220.29999999999998</v>
      </c>
      <c r="AP36" s="72">
        <f t="shared" si="8"/>
        <v>210.29999999999998</v>
      </c>
      <c r="AQ36" s="11">
        <f t="shared" si="1"/>
        <v>95.46073536087154</v>
      </c>
      <c r="AR36" s="72">
        <f t="shared" si="9"/>
        <v>10</v>
      </c>
      <c r="AS36" s="18">
        <f t="shared" si="10"/>
        <v>-0.8000000000000114</v>
      </c>
    </row>
    <row r="37" spans="1:45" ht="24.75" customHeight="1">
      <c r="A37" s="13" t="s">
        <v>42</v>
      </c>
      <c r="B37" s="15" t="s">
        <v>118</v>
      </c>
      <c r="C37" s="108">
        <v>-17.5</v>
      </c>
      <c r="D37" s="44">
        <v>17.9</v>
      </c>
      <c r="E37" s="44">
        <v>1</v>
      </c>
      <c r="F37" s="11">
        <f t="shared" si="34"/>
        <v>5.5865921787709505</v>
      </c>
      <c r="G37" s="44">
        <v>24.4</v>
      </c>
      <c r="H37" s="44">
        <v>6</v>
      </c>
      <c r="I37" s="11">
        <f t="shared" si="0"/>
        <v>24.590163934426233</v>
      </c>
      <c r="J37" s="44">
        <v>18.3</v>
      </c>
      <c r="K37" s="44">
        <v>20.1</v>
      </c>
      <c r="L37" s="11">
        <f t="shared" si="24"/>
        <v>109.8360655737705</v>
      </c>
      <c r="M37" s="89">
        <f t="shared" si="3"/>
        <v>60.599999999999994</v>
      </c>
      <c r="N37" s="89">
        <f t="shared" si="4"/>
        <v>27.1</v>
      </c>
      <c r="O37" s="11">
        <f t="shared" si="2"/>
        <v>44.71947194719473</v>
      </c>
      <c r="P37" s="44">
        <v>21</v>
      </c>
      <c r="Q37" s="44">
        <v>22.5</v>
      </c>
      <c r="R37" s="11">
        <f t="shared" si="25"/>
        <v>107.14285714285714</v>
      </c>
      <c r="S37" s="44">
        <v>23.9</v>
      </c>
      <c r="T37" s="44">
        <v>6.4</v>
      </c>
      <c r="U37" s="140">
        <f t="shared" si="26"/>
        <v>26.77824267782427</v>
      </c>
      <c r="V37" s="44">
        <v>25.6</v>
      </c>
      <c r="W37" s="44">
        <v>33.6</v>
      </c>
      <c r="X37" s="140">
        <f t="shared" si="27"/>
        <v>131.25</v>
      </c>
      <c r="Y37" s="89">
        <f t="shared" si="28"/>
        <v>70.5</v>
      </c>
      <c r="Z37" s="89">
        <f t="shared" si="29"/>
        <v>62.5</v>
      </c>
      <c r="AA37" s="11">
        <f t="shared" si="30"/>
        <v>88.65248226950354</v>
      </c>
      <c r="AB37" s="44">
        <v>39</v>
      </c>
      <c r="AC37" s="44">
        <v>19.1</v>
      </c>
      <c r="AD37" s="140">
        <f t="shared" si="31"/>
        <v>48.97435897435898</v>
      </c>
      <c r="AE37" s="44">
        <v>21.7</v>
      </c>
      <c r="AF37" s="44">
        <v>0.4</v>
      </c>
      <c r="AG37" s="11">
        <f t="shared" si="32"/>
        <v>1.8433179723502304</v>
      </c>
      <c r="AH37" s="44">
        <v>34</v>
      </c>
      <c r="AI37" s="44">
        <v>0.9</v>
      </c>
      <c r="AJ37" s="89">
        <f t="shared" si="5"/>
        <v>94.7</v>
      </c>
      <c r="AK37" s="89">
        <f t="shared" si="6"/>
        <v>20.4</v>
      </c>
      <c r="AL37" s="11">
        <f t="shared" si="33"/>
        <v>21.54171066525871</v>
      </c>
      <c r="AM37" s="44">
        <v>31.4</v>
      </c>
      <c r="AN37" s="44">
        <v>17.1</v>
      </c>
      <c r="AO37" s="72">
        <f t="shared" si="7"/>
        <v>257.2</v>
      </c>
      <c r="AP37" s="72">
        <f t="shared" si="8"/>
        <v>127.1</v>
      </c>
      <c r="AQ37" s="11">
        <f t="shared" si="1"/>
        <v>49.41679626749611</v>
      </c>
      <c r="AR37" s="72">
        <f t="shared" si="9"/>
        <v>130.1</v>
      </c>
      <c r="AS37" s="18">
        <f t="shared" si="10"/>
        <v>112.6</v>
      </c>
    </row>
    <row r="38" spans="1:45" ht="24.75" customHeight="1">
      <c r="A38" s="13" t="s">
        <v>43</v>
      </c>
      <c r="B38" s="15" t="s">
        <v>126</v>
      </c>
      <c r="C38" s="108">
        <v>-4.8</v>
      </c>
      <c r="D38" s="44">
        <v>7.4</v>
      </c>
      <c r="E38" s="44">
        <v>0.4</v>
      </c>
      <c r="F38" s="11">
        <f t="shared" si="34"/>
        <v>5.405405405405405</v>
      </c>
      <c r="G38" s="44">
        <v>8.5</v>
      </c>
      <c r="H38" s="44">
        <v>7.7</v>
      </c>
      <c r="I38" s="11">
        <f t="shared" si="0"/>
        <v>90.58823529411765</v>
      </c>
      <c r="J38" s="44">
        <v>9</v>
      </c>
      <c r="K38" s="44">
        <v>11.6</v>
      </c>
      <c r="L38" s="11">
        <f t="shared" si="24"/>
        <v>128.88888888888889</v>
      </c>
      <c r="M38" s="89">
        <f t="shared" si="3"/>
        <v>24.9</v>
      </c>
      <c r="N38" s="89">
        <f t="shared" si="4"/>
        <v>19.7</v>
      </c>
      <c r="O38" s="11">
        <f t="shared" si="2"/>
        <v>79.11646586345383</v>
      </c>
      <c r="P38" s="44">
        <v>12</v>
      </c>
      <c r="Q38" s="44">
        <v>5.6</v>
      </c>
      <c r="R38" s="11">
        <f t="shared" si="25"/>
        <v>46.666666666666664</v>
      </c>
      <c r="S38" s="44">
        <v>5.6</v>
      </c>
      <c r="T38" s="44">
        <v>12.4</v>
      </c>
      <c r="U38" s="11">
        <f t="shared" si="26"/>
        <v>221.42857142857144</v>
      </c>
      <c r="V38" s="44">
        <v>9.8</v>
      </c>
      <c r="W38" s="44">
        <v>6.7</v>
      </c>
      <c r="X38" s="11">
        <f t="shared" si="27"/>
        <v>68.36734693877551</v>
      </c>
      <c r="Y38" s="89">
        <f t="shared" si="28"/>
        <v>27.400000000000002</v>
      </c>
      <c r="Z38" s="89">
        <f t="shared" si="29"/>
        <v>24.7</v>
      </c>
      <c r="AA38" s="11">
        <f t="shared" si="30"/>
        <v>90.14598540145985</v>
      </c>
      <c r="AB38" s="44">
        <v>8.8</v>
      </c>
      <c r="AC38" s="44">
        <v>5.7</v>
      </c>
      <c r="AD38" s="11">
        <f t="shared" si="31"/>
        <v>64.77272727272727</v>
      </c>
      <c r="AE38" s="44">
        <v>6.5</v>
      </c>
      <c r="AF38" s="44">
        <v>6.6</v>
      </c>
      <c r="AG38" s="11">
        <f t="shared" si="32"/>
        <v>101.53846153846153</v>
      </c>
      <c r="AH38" s="44">
        <v>10</v>
      </c>
      <c r="AI38" s="44">
        <v>9</v>
      </c>
      <c r="AJ38" s="89">
        <f t="shared" si="5"/>
        <v>25.3</v>
      </c>
      <c r="AK38" s="89">
        <f t="shared" si="6"/>
        <v>21.3</v>
      </c>
      <c r="AL38" s="11">
        <f t="shared" si="33"/>
        <v>84.18972332015811</v>
      </c>
      <c r="AM38" s="44">
        <v>9.4</v>
      </c>
      <c r="AN38" s="44">
        <v>10.1</v>
      </c>
      <c r="AO38" s="72">
        <f t="shared" si="7"/>
        <v>87</v>
      </c>
      <c r="AP38" s="72">
        <f t="shared" si="8"/>
        <v>75.8</v>
      </c>
      <c r="AQ38" s="11">
        <f t="shared" si="1"/>
        <v>87.1264367816092</v>
      </c>
      <c r="AR38" s="72">
        <f t="shared" si="9"/>
        <v>11.200000000000003</v>
      </c>
      <c r="AS38" s="18">
        <f t="shared" si="10"/>
        <v>6.400000000000006</v>
      </c>
    </row>
    <row r="39" spans="1:45" ht="24.75" customHeight="1">
      <c r="A39" s="13" t="s">
        <v>44</v>
      </c>
      <c r="B39" s="47" t="s">
        <v>127</v>
      </c>
      <c r="C39" s="117">
        <v>-2.2</v>
      </c>
      <c r="D39" s="44">
        <v>4.9</v>
      </c>
      <c r="E39" s="44">
        <v>1.1</v>
      </c>
      <c r="F39" s="11">
        <f t="shared" si="34"/>
        <v>22.448979591836736</v>
      </c>
      <c r="G39" s="44">
        <v>4.5</v>
      </c>
      <c r="H39" s="44">
        <v>3.1</v>
      </c>
      <c r="I39" s="75">
        <f t="shared" si="0"/>
        <v>68.88888888888889</v>
      </c>
      <c r="J39" s="44">
        <v>5.1</v>
      </c>
      <c r="K39" s="44">
        <v>8.7</v>
      </c>
      <c r="L39" s="75">
        <f t="shared" si="24"/>
        <v>170.58823529411765</v>
      </c>
      <c r="M39" s="89">
        <f t="shared" si="3"/>
        <v>14.5</v>
      </c>
      <c r="N39" s="89">
        <f t="shared" si="4"/>
        <v>12.899999999999999</v>
      </c>
      <c r="O39" s="11">
        <f t="shared" si="2"/>
        <v>88.9655172413793</v>
      </c>
      <c r="P39" s="44">
        <v>5.9</v>
      </c>
      <c r="Q39" s="44">
        <v>2.9</v>
      </c>
      <c r="R39" s="140">
        <f t="shared" si="25"/>
        <v>49.15254237288135</v>
      </c>
      <c r="S39" s="44">
        <v>6.1</v>
      </c>
      <c r="T39" s="44">
        <v>9.7</v>
      </c>
      <c r="U39" s="140">
        <f t="shared" si="26"/>
        <v>159.01639344262296</v>
      </c>
      <c r="V39" s="44">
        <v>7</v>
      </c>
      <c r="W39" s="44">
        <v>6.6</v>
      </c>
      <c r="X39" s="140">
        <f t="shared" si="27"/>
        <v>94.28571428571428</v>
      </c>
      <c r="Y39" s="89">
        <f t="shared" si="28"/>
        <v>19</v>
      </c>
      <c r="Z39" s="89">
        <f t="shared" si="29"/>
        <v>19.2</v>
      </c>
      <c r="AA39" s="11">
        <f t="shared" si="30"/>
        <v>101.05263157894737</v>
      </c>
      <c r="AB39" s="44">
        <v>5.9</v>
      </c>
      <c r="AC39" s="44">
        <v>2.7</v>
      </c>
      <c r="AD39" s="140">
        <f t="shared" si="31"/>
        <v>45.76271186440678</v>
      </c>
      <c r="AE39" s="44">
        <v>6</v>
      </c>
      <c r="AF39" s="44">
        <v>6.1</v>
      </c>
      <c r="AG39" s="11">
        <f t="shared" si="32"/>
        <v>101.66666666666666</v>
      </c>
      <c r="AH39" s="44">
        <v>7.8</v>
      </c>
      <c r="AI39" s="44">
        <v>7.3</v>
      </c>
      <c r="AJ39" s="89">
        <f t="shared" si="5"/>
        <v>19.7</v>
      </c>
      <c r="AK39" s="89">
        <f t="shared" si="6"/>
        <v>16.1</v>
      </c>
      <c r="AL39" s="11">
        <f t="shared" si="33"/>
        <v>81.72588832487311</v>
      </c>
      <c r="AM39" s="44">
        <v>10.4</v>
      </c>
      <c r="AN39" s="44">
        <v>8.3</v>
      </c>
      <c r="AO39" s="72">
        <f t="shared" si="7"/>
        <v>63.6</v>
      </c>
      <c r="AP39" s="72">
        <f t="shared" si="8"/>
        <v>56.5</v>
      </c>
      <c r="AQ39" s="11">
        <f t="shared" si="1"/>
        <v>88.83647798742138</v>
      </c>
      <c r="AR39" s="72">
        <f t="shared" si="9"/>
        <v>7.100000000000001</v>
      </c>
      <c r="AS39" s="18">
        <f t="shared" si="10"/>
        <v>4.899999999999999</v>
      </c>
    </row>
    <row r="40" spans="1:45" ht="24.75" customHeight="1">
      <c r="A40" s="13" t="s">
        <v>45</v>
      </c>
      <c r="B40" s="15" t="s">
        <v>119</v>
      </c>
      <c r="C40" s="108">
        <v>3.8</v>
      </c>
      <c r="D40" s="44">
        <v>48.9</v>
      </c>
      <c r="E40" s="44">
        <v>32.5</v>
      </c>
      <c r="F40" s="11">
        <f t="shared" si="34"/>
        <v>66.46216768916156</v>
      </c>
      <c r="G40" s="44">
        <v>43.9</v>
      </c>
      <c r="H40" s="44">
        <v>25.3</v>
      </c>
      <c r="I40" s="75">
        <f t="shared" si="0"/>
        <v>57.63097949886106</v>
      </c>
      <c r="J40" s="44">
        <v>45.2</v>
      </c>
      <c r="K40" s="44">
        <v>60.3</v>
      </c>
      <c r="L40" s="75">
        <f t="shared" si="24"/>
        <v>133.40707964601768</v>
      </c>
      <c r="M40" s="89">
        <f t="shared" si="3"/>
        <v>138</v>
      </c>
      <c r="N40" s="89">
        <f t="shared" si="4"/>
        <v>118.1</v>
      </c>
      <c r="O40" s="11">
        <f t="shared" si="2"/>
        <v>85.57971014492753</v>
      </c>
      <c r="P40" s="44">
        <v>52.3</v>
      </c>
      <c r="Q40" s="44">
        <v>83.8</v>
      </c>
      <c r="R40" s="140">
        <f t="shared" si="25"/>
        <v>160.22944550669217</v>
      </c>
      <c r="S40" s="44">
        <v>47.2</v>
      </c>
      <c r="T40" s="44">
        <v>8.5</v>
      </c>
      <c r="U40" s="140">
        <f t="shared" si="26"/>
        <v>18.008474576271187</v>
      </c>
      <c r="V40" s="44">
        <v>75.4</v>
      </c>
      <c r="W40" s="44">
        <v>7.8</v>
      </c>
      <c r="X40" s="140">
        <f t="shared" si="27"/>
        <v>10.344827586206895</v>
      </c>
      <c r="Y40" s="89">
        <f t="shared" si="28"/>
        <v>174.9</v>
      </c>
      <c r="Z40" s="89">
        <f t="shared" si="29"/>
        <v>100.1</v>
      </c>
      <c r="AA40" s="11">
        <f t="shared" si="30"/>
        <v>57.23270440251572</v>
      </c>
      <c r="AB40" s="44">
        <v>61.8</v>
      </c>
      <c r="AC40" s="44">
        <v>64.4</v>
      </c>
      <c r="AD40" s="140">
        <f t="shared" si="31"/>
        <v>104.20711974110033</v>
      </c>
      <c r="AE40" s="44">
        <v>50</v>
      </c>
      <c r="AF40" s="44">
        <v>108.5</v>
      </c>
      <c r="AG40" s="11">
        <f t="shared" si="32"/>
        <v>217</v>
      </c>
      <c r="AH40" s="44">
        <v>50.4</v>
      </c>
      <c r="AI40" s="44">
        <v>69.2</v>
      </c>
      <c r="AJ40" s="89">
        <f t="shared" si="5"/>
        <v>162.2</v>
      </c>
      <c r="AK40" s="89">
        <f t="shared" si="6"/>
        <v>242.10000000000002</v>
      </c>
      <c r="AL40" s="11">
        <f t="shared" si="33"/>
        <v>149.2601726263872</v>
      </c>
      <c r="AM40" s="44">
        <v>52.9</v>
      </c>
      <c r="AN40" s="44">
        <v>6.3</v>
      </c>
      <c r="AO40" s="72">
        <f t="shared" si="7"/>
        <v>528</v>
      </c>
      <c r="AP40" s="72">
        <f t="shared" si="8"/>
        <v>466.6</v>
      </c>
      <c r="AQ40" s="11">
        <f t="shared" si="1"/>
        <v>88.37121212121212</v>
      </c>
      <c r="AR40" s="72">
        <f t="shared" si="9"/>
        <v>61.39999999999998</v>
      </c>
      <c r="AS40" s="18">
        <f t="shared" si="10"/>
        <v>65.19999999999993</v>
      </c>
    </row>
    <row r="41" spans="1:45" s="12" customFormat="1" ht="24.75" customHeight="1">
      <c r="A41" s="13" t="s">
        <v>46</v>
      </c>
      <c r="B41" s="16" t="s">
        <v>120</v>
      </c>
      <c r="C41" s="83">
        <f>SUM(C42:C42)</f>
        <v>-527.6</v>
      </c>
      <c r="D41" s="18">
        <f>SUM(D42:D42)</f>
        <v>5616.2</v>
      </c>
      <c r="E41" s="18">
        <f>SUM(E42:E42)</f>
        <v>614.5</v>
      </c>
      <c r="F41" s="11">
        <f t="shared" si="34"/>
        <v>10.941561910188383</v>
      </c>
      <c r="G41" s="18">
        <f>SUM(G42:G42)</f>
        <v>5730.5</v>
      </c>
      <c r="H41" s="18">
        <f>SUM(H42:H42)</f>
        <v>2454.2</v>
      </c>
      <c r="I41" s="11">
        <f t="shared" si="0"/>
        <v>42.82697844865195</v>
      </c>
      <c r="J41" s="18">
        <f>SUM(J42:J42)</f>
        <v>5978.8</v>
      </c>
      <c r="K41" s="18">
        <f>SUM(K42:K42)</f>
        <v>8766.9</v>
      </c>
      <c r="L41" s="75">
        <f t="shared" si="24"/>
        <v>146.63310363283603</v>
      </c>
      <c r="M41" s="18">
        <f>SUM(M42:M42)</f>
        <v>17325.5</v>
      </c>
      <c r="N41" s="18">
        <f>SUM(N42:N42)</f>
        <v>11835.599999999999</v>
      </c>
      <c r="O41" s="11">
        <f t="shared" si="2"/>
        <v>68.31317999480534</v>
      </c>
      <c r="P41" s="18">
        <f>SUM(P42:P42)</f>
        <v>5794.7</v>
      </c>
      <c r="Q41" s="18">
        <f>SUM(Q42:Q42)</f>
        <v>4724.3</v>
      </c>
      <c r="R41" s="11">
        <f t="shared" si="25"/>
        <v>81.5279479524393</v>
      </c>
      <c r="S41" s="18">
        <f>SUM(S42:S42)</f>
        <v>5503.8</v>
      </c>
      <c r="T41" s="18">
        <f>SUM(T42:T42)</f>
        <v>5497.9</v>
      </c>
      <c r="U41" s="11">
        <f t="shared" si="26"/>
        <v>99.89280133725788</v>
      </c>
      <c r="V41" s="18">
        <f>SUM(V42:V42)</f>
        <v>5490.6</v>
      </c>
      <c r="W41" s="18">
        <f>SUM(W42:W42)</f>
        <v>5359</v>
      </c>
      <c r="X41" s="11">
        <f t="shared" si="27"/>
        <v>97.60317633774086</v>
      </c>
      <c r="Y41" s="18">
        <f>SUM(Y42:Y42)</f>
        <v>16789.1</v>
      </c>
      <c r="Z41" s="18">
        <f>SUM(Z42:Z42)</f>
        <v>15581.2</v>
      </c>
      <c r="AA41" s="11">
        <f t="shared" si="30"/>
        <v>92.80545115580944</v>
      </c>
      <c r="AB41" s="18">
        <f>SUM(AB42:AB42)</f>
        <v>4410.7</v>
      </c>
      <c r="AC41" s="18">
        <f>SUM(AC42:AC42)</f>
        <v>4633.6</v>
      </c>
      <c r="AD41" s="11">
        <f t="shared" si="31"/>
        <v>105.05361960686514</v>
      </c>
      <c r="AE41" s="18">
        <f>SUM(AE42:AE42)</f>
        <v>4119.9</v>
      </c>
      <c r="AF41" s="18">
        <f>SUM(AF42:AF42)</f>
        <v>5015.1</v>
      </c>
      <c r="AG41" s="11">
        <f t="shared" si="32"/>
        <v>121.72868273501787</v>
      </c>
      <c r="AH41" s="18">
        <f>SUM(AH42:AH42)</f>
        <v>5405.2</v>
      </c>
      <c r="AI41" s="18">
        <f>SUM(AI42:AI42)</f>
        <v>5856</v>
      </c>
      <c r="AJ41" s="18">
        <f>SUM(AJ42:AJ42)</f>
        <v>13935.8</v>
      </c>
      <c r="AK41" s="18">
        <f>SUM(AK42:AK42)</f>
        <v>15504.7</v>
      </c>
      <c r="AL41" s="11">
        <f t="shared" si="33"/>
        <v>111.25805479412736</v>
      </c>
      <c r="AM41" s="18">
        <f>SUM(AM42:AM42)</f>
        <v>5877</v>
      </c>
      <c r="AN41" s="18">
        <f>SUM(AN42:AN42)</f>
        <v>5085.9</v>
      </c>
      <c r="AO41" s="140">
        <f>AO42</f>
        <v>53927.399999999994</v>
      </c>
      <c r="AP41" s="140">
        <f>AP42</f>
        <v>48007.4</v>
      </c>
      <c r="AQ41" s="11">
        <f t="shared" si="1"/>
        <v>89.0222780998157</v>
      </c>
      <c r="AR41" s="18">
        <f>SUM(AR42:AR42)</f>
        <v>5919.999999999993</v>
      </c>
      <c r="AS41" s="18">
        <f>SUM(AS42:AS42)</f>
        <v>5392.399999999994</v>
      </c>
    </row>
    <row r="42" spans="1:45" s="12" customFormat="1" ht="24.75" customHeight="1">
      <c r="A42" s="8"/>
      <c r="B42" s="47" t="s">
        <v>121</v>
      </c>
      <c r="C42" s="108">
        <v>-527.6</v>
      </c>
      <c r="D42" s="44">
        <v>5616.2</v>
      </c>
      <c r="E42" s="82">
        <v>614.5</v>
      </c>
      <c r="F42" s="11">
        <f t="shared" si="34"/>
        <v>10.941561910188383</v>
      </c>
      <c r="G42" s="44">
        <v>5730.5</v>
      </c>
      <c r="H42" s="44">
        <v>2454.2</v>
      </c>
      <c r="I42" s="11">
        <f t="shared" si="0"/>
        <v>42.82697844865195</v>
      </c>
      <c r="J42" s="44">
        <v>5978.8</v>
      </c>
      <c r="K42" s="44">
        <v>8766.9</v>
      </c>
      <c r="L42" s="11">
        <f t="shared" si="24"/>
        <v>146.63310363283603</v>
      </c>
      <c r="M42" s="89">
        <f t="shared" si="3"/>
        <v>17325.5</v>
      </c>
      <c r="N42" s="89">
        <f t="shared" si="4"/>
        <v>11835.599999999999</v>
      </c>
      <c r="O42" s="11">
        <f t="shared" si="2"/>
        <v>68.31317999480534</v>
      </c>
      <c r="P42" s="44">
        <v>5794.7</v>
      </c>
      <c r="Q42" s="44">
        <v>4724.3</v>
      </c>
      <c r="R42" s="11">
        <f t="shared" si="25"/>
        <v>81.5279479524393</v>
      </c>
      <c r="S42" s="44">
        <v>5503.8</v>
      </c>
      <c r="T42" s="44">
        <v>5497.9</v>
      </c>
      <c r="U42" s="11">
        <f t="shared" si="26"/>
        <v>99.89280133725788</v>
      </c>
      <c r="V42" s="44">
        <v>5490.6</v>
      </c>
      <c r="W42" s="44">
        <v>5359</v>
      </c>
      <c r="X42" s="11">
        <f t="shared" si="27"/>
        <v>97.60317633774086</v>
      </c>
      <c r="Y42" s="89">
        <f>P42+S42+V42</f>
        <v>16789.1</v>
      </c>
      <c r="Z42" s="89">
        <f>Q42+T42+W42</f>
        <v>15581.2</v>
      </c>
      <c r="AA42" s="11">
        <f t="shared" si="30"/>
        <v>92.80545115580944</v>
      </c>
      <c r="AB42" s="44">
        <v>4410.7</v>
      </c>
      <c r="AC42" s="44">
        <v>4633.6</v>
      </c>
      <c r="AD42" s="11">
        <f t="shared" si="31"/>
        <v>105.05361960686514</v>
      </c>
      <c r="AE42" s="44">
        <v>4119.9</v>
      </c>
      <c r="AF42" s="44">
        <v>5015.1</v>
      </c>
      <c r="AG42" s="11">
        <f>AF42/AE42*100</f>
        <v>121.72868273501787</v>
      </c>
      <c r="AH42" s="44">
        <v>5405.2</v>
      </c>
      <c r="AI42" s="44">
        <v>5856</v>
      </c>
      <c r="AJ42" s="89">
        <f>AB42+AE42+AH42</f>
        <v>13935.8</v>
      </c>
      <c r="AK42" s="89">
        <f>AC42+AF42+AI42</f>
        <v>15504.7</v>
      </c>
      <c r="AL42" s="11">
        <f t="shared" si="33"/>
        <v>111.25805479412736</v>
      </c>
      <c r="AM42" s="44">
        <v>5877</v>
      </c>
      <c r="AN42" s="44">
        <v>5085.9</v>
      </c>
      <c r="AO42" s="72">
        <f>M42+Y42+AJ42+AM42</f>
        <v>53927.399999999994</v>
      </c>
      <c r="AP42" s="72">
        <f>N42+Z42+AK42+AN42</f>
        <v>48007.4</v>
      </c>
      <c r="AQ42" s="11">
        <f t="shared" si="1"/>
        <v>89.0222780998157</v>
      </c>
      <c r="AR42" s="72">
        <f t="shared" si="9"/>
        <v>5919.999999999993</v>
      </c>
      <c r="AS42" s="14">
        <f t="shared" si="10"/>
        <v>5392.399999999994</v>
      </c>
    </row>
    <row r="43" spans="1:45" ht="31.5" customHeight="1">
      <c r="A43" s="13"/>
      <c r="B43" s="16" t="s">
        <v>122</v>
      </c>
      <c r="C43" s="83">
        <f>C41+C7</f>
        <v>-587</v>
      </c>
      <c r="D43" s="18">
        <f>D41+D7</f>
        <v>6029.799999999999</v>
      </c>
      <c r="E43" s="18">
        <f>E41+E7</f>
        <v>712.2</v>
      </c>
      <c r="F43" s="11">
        <f>E43/D43*100</f>
        <v>11.811337026103686</v>
      </c>
      <c r="G43" s="18">
        <f>G7+G41</f>
        <v>6218.8</v>
      </c>
      <c r="H43" s="18">
        <f>H7+H41</f>
        <v>2634.7999999999997</v>
      </c>
      <c r="I43" s="11">
        <f t="shared" si="0"/>
        <v>42.36830256641152</v>
      </c>
      <c r="J43" s="18">
        <f>J7+J41</f>
        <v>6445</v>
      </c>
      <c r="K43" s="18">
        <f>K7+K41</f>
        <v>9526</v>
      </c>
      <c r="L43" s="11">
        <f t="shared" si="24"/>
        <v>147.8044996121024</v>
      </c>
      <c r="M43" s="18">
        <f>M7+M41</f>
        <v>18693.6</v>
      </c>
      <c r="N43" s="18">
        <f>N7+N41</f>
        <v>12872.999999999998</v>
      </c>
      <c r="O43" s="11">
        <f t="shared" si="2"/>
        <v>68.8631403261009</v>
      </c>
      <c r="P43" s="18">
        <f>P7+P41</f>
        <v>6262.7</v>
      </c>
      <c r="Q43" s="18">
        <f>Q7+Q41</f>
        <v>5204.1</v>
      </c>
      <c r="R43" s="11">
        <f t="shared" si="25"/>
        <v>83.09674740926438</v>
      </c>
      <c r="S43" s="18">
        <f>S7+S41</f>
        <v>5970.3</v>
      </c>
      <c r="T43" s="18">
        <f>T7+T41</f>
        <v>5693.7</v>
      </c>
      <c r="U43" s="11">
        <f t="shared" si="26"/>
        <v>95.36706698155871</v>
      </c>
      <c r="V43" s="18">
        <f>V7+V41</f>
        <v>5975.6</v>
      </c>
      <c r="W43" s="18">
        <f>W7+W41</f>
        <v>5627.1</v>
      </c>
      <c r="X43" s="11">
        <f t="shared" si="27"/>
        <v>94.16794966195863</v>
      </c>
      <c r="Y43" s="18">
        <f>Y7+Y41</f>
        <v>18208.6</v>
      </c>
      <c r="Z43" s="18">
        <f>Z7+Z41</f>
        <v>16524.9</v>
      </c>
      <c r="AA43" s="11">
        <f t="shared" si="30"/>
        <v>90.75327043265273</v>
      </c>
      <c r="AB43" s="18">
        <f>AB7+AB41</f>
        <v>4857.099999999999</v>
      </c>
      <c r="AC43" s="18">
        <f>AC7+AC41</f>
        <v>4909.700000000001</v>
      </c>
      <c r="AD43" s="11">
        <f t="shared" si="31"/>
        <v>101.08295073191825</v>
      </c>
      <c r="AE43" s="18">
        <f>AE41+AE7</f>
        <v>4368.2</v>
      </c>
      <c r="AF43" s="18">
        <f>AF41+AF7</f>
        <v>5277.5</v>
      </c>
      <c r="AG43" s="11">
        <f>AF43/AE43*100</f>
        <v>120.81635456252005</v>
      </c>
      <c r="AH43" s="18">
        <f>AH41+AH7</f>
        <v>5667.3</v>
      </c>
      <c r="AI43" s="18">
        <f>AI41+AI7</f>
        <v>6823.3</v>
      </c>
      <c r="AJ43" s="18">
        <f>AJ7+AJ41</f>
        <v>14892.599999999999</v>
      </c>
      <c r="AK43" s="18">
        <f>AK7+AK41</f>
        <v>17010.5</v>
      </c>
      <c r="AL43" s="11">
        <f t="shared" si="33"/>
        <v>114.2211568161369</v>
      </c>
      <c r="AM43" s="18">
        <f>AM41+AM7</f>
        <v>6153.8</v>
      </c>
      <c r="AN43" s="18">
        <f>AN41+AN7</f>
        <v>5299.7</v>
      </c>
      <c r="AO43" s="83">
        <f>AO7+AO41</f>
        <v>57948.59999999999</v>
      </c>
      <c r="AP43" s="83">
        <f>AP7+AP41</f>
        <v>51708.1</v>
      </c>
      <c r="AQ43" s="11">
        <f>AP43/AO43*100</f>
        <v>89.23097365596408</v>
      </c>
      <c r="AR43" s="18">
        <f>AR7+AR41</f>
        <v>6240.499999999993</v>
      </c>
      <c r="AS43" s="18">
        <f>AS7+AS41</f>
        <v>5653.4999999999945</v>
      </c>
    </row>
    <row r="44" spans="1:57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25"/>
      <c r="AP44" s="25"/>
      <c r="AQ44" s="86"/>
      <c r="AR44" s="86"/>
      <c r="AS44" s="85"/>
      <c r="AT44" s="85"/>
      <c r="AU44" s="85"/>
      <c r="AV44" s="85"/>
      <c r="AW44" s="85"/>
      <c r="AX44" s="85"/>
      <c r="AY44" s="85"/>
      <c r="AZ44" s="85"/>
      <c r="BA44" s="85"/>
      <c r="BB44" s="46"/>
      <c r="BC44" s="46"/>
      <c r="BD44" s="46"/>
      <c r="BE44" s="46"/>
    </row>
    <row r="45" spans="1:57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34"/>
      <c r="AP45" s="34"/>
      <c r="AQ45" s="61"/>
      <c r="AR45" s="166" t="s">
        <v>137</v>
      </c>
      <c r="AS45" s="167"/>
      <c r="AT45" s="28"/>
      <c r="AU45" s="28"/>
      <c r="AV45" s="28"/>
      <c r="AW45" s="28"/>
      <c r="AX45" s="28"/>
      <c r="AY45" s="27"/>
      <c r="AZ45" s="6"/>
      <c r="BA45" s="6"/>
      <c r="BB45" s="29"/>
      <c r="BC45" s="6"/>
      <c r="BE45" s="6"/>
    </row>
    <row r="46" spans="1:57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40"/>
      <c r="AP46" s="40"/>
      <c r="AQ46" s="41"/>
      <c r="AR46" s="2"/>
      <c r="AS46" s="4" t="s">
        <v>135</v>
      </c>
      <c r="AT46" s="28"/>
      <c r="AU46" s="28"/>
      <c r="AV46" s="28"/>
      <c r="AW46" s="28"/>
      <c r="AX46" s="28"/>
      <c r="AY46" s="27"/>
      <c r="AZ46" s="6"/>
      <c r="BA46" s="6"/>
      <c r="BB46" s="29"/>
      <c r="BC46" s="6"/>
      <c r="BE46" s="6"/>
    </row>
    <row r="47" spans="1:57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H47" s="28"/>
      <c r="AI47" s="28"/>
      <c r="AM47" s="28"/>
      <c r="AN47" s="28"/>
      <c r="AS47" s="2"/>
      <c r="AT47" s="28"/>
      <c r="AU47" s="28"/>
      <c r="AV47" s="28"/>
      <c r="AW47" s="28"/>
      <c r="AX47" s="28"/>
      <c r="AY47" s="27"/>
      <c r="AZ47" s="6"/>
      <c r="BA47" s="6"/>
      <c r="BB47" s="29"/>
      <c r="BC47" s="6"/>
      <c r="BE47" s="6"/>
    </row>
    <row r="48" spans="1:57" ht="24.75" customHeight="1">
      <c r="A48" s="2"/>
      <c r="C48" s="31"/>
      <c r="D48" s="21"/>
      <c r="E48" s="21"/>
      <c r="F48" s="28"/>
      <c r="AE48" s="60"/>
      <c r="AF48" s="60"/>
      <c r="AG48" s="60"/>
      <c r="AH48" s="60"/>
      <c r="AI48" s="60"/>
      <c r="AM48" s="60"/>
      <c r="AN48" s="60"/>
      <c r="AT48" s="21"/>
      <c r="AU48" s="21"/>
      <c r="AV48" s="21"/>
      <c r="AW48" s="21"/>
      <c r="AX48" s="21"/>
      <c r="AY48" s="21"/>
      <c r="AZ48" s="7"/>
      <c r="BA48" s="7"/>
      <c r="BB48" s="32"/>
      <c r="BC48" s="7"/>
      <c r="BE48" s="7"/>
    </row>
    <row r="49" spans="1:45" s="38" customFormat="1" ht="58.5" customHeight="1">
      <c r="A49" s="33"/>
      <c r="B49" s="150" t="s">
        <v>138</v>
      </c>
      <c r="C49" s="150"/>
      <c r="D49" s="150"/>
      <c r="E49" s="150"/>
      <c r="F49" s="150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61"/>
      <c r="AI49" s="61"/>
      <c r="AJ49" s="12"/>
      <c r="AK49" s="12"/>
      <c r="AL49" s="12"/>
      <c r="AM49" s="61"/>
      <c r="AN49" s="61"/>
      <c r="AO49" s="2"/>
      <c r="AP49" s="2"/>
      <c r="AQ49" s="12"/>
      <c r="AR49" s="2"/>
      <c r="AS49" s="2"/>
    </row>
    <row r="50" spans="1:45" ht="73.5" customHeight="1" hidden="1">
      <c r="A50" s="146" t="s">
        <v>134</v>
      </c>
      <c r="B50" s="146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21"/>
      <c r="AP50" s="21"/>
      <c r="AQ50" s="60"/>
      <c r="AR50" s="21"/>
      <c r="AS50" s="21"/>
    </row>
    <row r="51" spans="2:45" ht="24.75" customHeight="1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O51" s="21"/>
      <c r="AP51" s="21"/>
      <c r="AQ51" s="60"/>
      <c r="AR51" s="21"/>
      <c r="AS51" s="21"/>
    </row>
    <row r="52" spans="2:45" ht="24.75" customHeight="1">
      <c r="B52" s="123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O52" s="21"/>
      <c r="AP52" s="21"/>
      <c r="AQ52" s="60"/>
      <c r="AR52" s="21"/>
      <c r="AS52" s="21"/>
    </row>
    <row r="53" spans="7:45" ht="18.75"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O53" s="21"/>
      <c r="AP53" s="21"/>
      <c r="AQ53" s="60"/>
      <c r="AR53" s="21"/>
      <c r="AS53" s="21"/>
    </row>
    <row r="54" spans="2:45" ht="24.75" customHeight="1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O54" s="21"/>
      <c r="AP54" s="21"/>
      <c r="AQ54" s="60"/>
      <c r="AR54" s="21"/>
      <c r="AS54" s="21"/>
    </row>
    <row r="55" spans="2:45" ht="24.75" customHeight="1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O55" s="21"/>
      <c r="AP55" s="21"/>
      <c r="AQ55" s="60"/>
      <c r="AR55" s="21"/>
      <c r="AS55" s="21"/>
    </row>
    <row r="56" spans="7:45" ht="24.75" customHeight="1"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O56" s="21"/>
      <c r="AP56" s="21"/>
      <c r="AQ56" s="60"/>
      <c r="AR56" s="21"/>
      <c r="AS56" s="21"/>
    </row>
    <row r="57" spans="7:45" ht="24.75" customHeight="1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O57" s="21"/>
      <c r="AP57" s="21"/>
      <c r="AQ57" s="60"/>
      <c r="AR57" s="21"/>
      <c r="AS57" s="21"/>
    </row>
    <row r="58" spans="7:45" ht="24.75" customHeight="1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O58" s="21"/>
      <c r="AP58" s="21"/>
      <c r="AQ58" s="60"/>
      <c r="AR58" s="21"/>
      <c r="AS58" s="21"/>
    </row>
    <row r="59" spans="7:45" ht="24.75" customHeight="1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O59" s="21"/>
      <c r="AP59" s="21"/>
      <c r="AQ59" s="60"/>
      <c r="AR59" s="21"/>
      <c r="AS59" s="21"/>
    </row>
    <row r="60" spans="7:45" ht="24.75" customHeight="1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O60" s="21"/>
      <c r="AP60" s="21"/>
      <c r="AQ60" s="60"/>
      <c r="AR60" s="21"/>
      <c r="AS60" s="21"/>
    </row>
    <row r="61" spans="7:45" ht="24.75" customHeight="1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O61" s="21"/>
      <c r="AP61" s="21"/>
      <c r="AQ61" s="60"/>
      <c r="AR61" s="21"/>
      <c r="AS61" s="21"/>
    </row>
    <row r="62" spans="7:45" ht="24.75" customHeight="1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O62" s="21"/>
      <c r="AP62" s="21"/>
      <c r="AQ62" s="60"/>
      <c r="AR62" s="21"/>
      <c r="AS62" s="21"/>
    </row>
    <row r="63" spans="7:45" ht="24.75" customHeight="1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O63" s="21"/>
      <c r="AP63" s="21"/>
      <c r="AQ63" s="60"/>
      <c r="AR63" s="21"/>
      <c r="AS63" s="21"/>
    </row>
    <row r="64" spans="7:45" ht="24.75" customHeight="1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O64" s="21"/>
      <c r="AP64" s="21"/>
      <c r="AQ64" s="60"/>
      <c r="AR64" s="21"/>
      <c r="AS64" s="21"/>
    </row>
    <row r="65" spans="7:45" ht="24.75" customHeight="1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O65" s="21"/>
      <c r="AP65" s="21"/>
      <c r="AQ65" s="60"/>
      <c r="AR65" s="21"/>
      <c r="AS65" s="21"/>
    </row>
    <row r="66" spans="7:45" ht="24.75" customHeight="1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O66" s="21"/>
      <c r="AP66" s="21"/>
      <c r="AQ66" s="60"/>
      <c r="AR66" s="21"/>
      <c r="AS66" s="21"/>
    </row>
    <row r="67" spans="7:45" ht="24.75" customHeight="1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O67" s="21"/>
      <c r="AP67" s="21"/>
      <c r="AQ67" s="60"/>
      <c r="AR67" s="21"/>
      <c r="AS67" s="21"/>
    </row>
    <row r="68" spans="7:45" ht="24.75" customHeight="1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O68" s="21"/>
      <c r="AP68" s="21"/>
      <c r="AQ68" s="60"/>
      <c r="AR68" s="21"/>
      <c r="AS68" s="21"/>
    </row>
    <row r="69" spans="7:45" ht="24.75" customHeight="1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O69" s="21"/>
      <c r="AP69" s="21"/>
      <c r="AQ69" s="60"/>
      <c r="AR69" s="21"/>
      <c r="AS69" s="21"/>
    </row>
    <row r="70" spans="7:45" ht="24.75" customHeight="1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O70" s="21"/>
      <c r="AP70" s="21"/>
      <c r="AQ70" s="60"/>
      <c r="AR70" s="21"/>
      <c r="AS70" s="21"/>
    </row>
    <row r="71" spans="7:45" ht="24.75" customHeight="1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O71" s="21"/>
      <c r="AP71" s="21"/>
      <c r="AQ71" s="60"/>
      <c r="AR71" s="21"/>
      <c r="AS71" s="21"/>
    </row>
    <row r="72" spans="7:45" ht="24.75" customHeight="1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O72" s="21"/>
      <c r="AP72" s="21"/>
      <c r="AQ72" s="60"/>
      <c r="AR72" s="21"/>
      <c r="AS72" s="21"/>
    </row>
    <row r="73" spans="7:45" ht="24.75" customHeight="1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O73" s="21"/>
      <c r="AP73" s="21"/>
      <c r="AQ73" s="60"/>
      <c r="AR73" s="21"/>
      <c r="AS73" s="21"/>
    </row>
    <row r="74" spans="7:45" ht="24.75" customHeight="1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O74" s="21"/>
      <c r="AP74" s="21"/>
      <c r="AQ74" s="60"/>
      <c r="AR74" s="21"/>
      <c r="AS74" s="21"/>
    </row>
    <row r="75" spans="7:45" ht="24.75" customHeight="1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O75" s="21"/>
      <c r="AP75" s="21"/>
      <c r="AQ75" s="60"/>
      <c r="AR75" s="21"/>
      <c r="AS75" s="21"/>
    </row>
    <row r="76" spans="7:45" ht="24.75" customHeight="1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O76" s="21"/>
      <c r="AP76" s="21"/>
      <c r="AQ76" s="60"/>
      <c r="AR76" s="21"/>
      <c r="AS76" s="21"/>
    </row>
    <row r="77" spans="7:45" ht="24.75" customHeight="1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O77" s="21"/>
      <c r="AP77" s="21"/>
      <c r="AQ77" s="60"/>
      <c r="AR77" s="21"/>
      <c r="AS77" s="21"/>
    </row>
    <row r="78" spans="7:45" ht="24.75" customHeight="1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O78" s="21"/>
      <c r="AP78" s="21"/>
      <c r="AQ78" s="60"/>
      <c r="AR78" s="21"/>
      <c r="AS78" s="21"/>
    </row>
    <row r="79" spans="7:45" ht="24.75" customHeight="1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O79" s="21"/>
      <c r="AP79" s="21"/>
      <c r="AQ79" s="60"/>
      <c r="AR79" s="21"/>
      <c r="AS79" s="21"/>
    </row>
    <row r="80" spans="7:45" ht="24.75" customHeight="1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O80" s="21"/>
      <c r="AP80" s="21"/>
      <c r="AQ80" s="60"/>
      <c r="AR80" s="21"/>
      <c r="AS80" s="21"/>
    </row>
    <row r="81" spans="7:45" ht="24.75" customHeight="1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O81" s="21"/>
      <c r="AP81" s="21"/>
      <c r="AQ81" s="60"/>
      <c r="AR81" s="21"/>
      <c r="AS81" s="21"/>
    </row>
    <row r="82" spans="7:45" ht="24.75" customHeight="1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O82" s="21"/>
      <c r="AP82" s="21"/>
      <c r="AQ82" s="60"/>
      <c r="AR82" s="21"/>
      <c r="AS82" s="21"/>
    </row>
    <row r="83" spans="7:45" ht="24.75" customHeight="1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O83" s="21"/>
      <c r="AP83" s="21"/>
      <c r="AQ83" s="60"/>
      <c r="AR83" s="21"/>
      <c r="AS83" s="21"/>
    </row>
    <row r="84" spans="7:45" ht="24.75" customHeight="1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O84" s="21"/>
      <c r="AP84" s="21"/>
      <c r="AQ84" s="60"/>
      <c r="AR84" s="21"/>
      <c r="AS84" s="21"/>
    </row>
    <row r="85" spans="7:45" ht="24.75" customHeight="1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O85" s="21"/>
      <c r="AP85" s="21"/>
      <c r="AQ85" s="60"/>
      <c r="AR85" s="21"/>
      <c r="AS85" s="21"/>
    </row>
    <row r="86" spans="7:45" ht="24.75" customHeight="1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O86" s="21"/>
      <c r="AP86" s="21"/>
      <c r="AQ86" s="60"/>
      <c r="AR86" s="21"/>
      <c r="AS86" s="21"/>
    </row>
    <row r="87" spans="7:45" ht="24.75" customHeight="1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O87" s="21"/>
      <c r="AP87" s="21"/>
      <c r="AQ87" s="60"/>
      <c r="AR87" s="21"/>
      <c r="AS87" s="21"/>
    </row>
    <row r="88" spans="7:45" ht="24.75" customHeight="1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O88" s="21"/>
      <c r="AP88" s="21"/>
      <c r="AQ88" s="60"/>
      <c r="AR88" s="21"/>
      <c r="AS88" s="21"/>
    </row>
    <row r="89" spans="7:45" ht="24.75" customHeight="1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O89" s="21"/>
      <c r="AP89" s="21"/>
      <c r="AQ89" s="60"/>
      <c r="AR89" s="21"/>
      <c r="AS89" s="21"/>
    </row>
    <row r="90" spans="7:45" ht="24.75" customHeight="1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O90" s="21"/>
      <c r="AP90" s="21"/>
      <c r="AQ90" s="60"/>
      <c r="AR90" s="21"/>
      <c r="AS90" s="21"/>
    </row>
    <row r="91" spans="7:45" ht="24.75" customHeight="1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O91" s="21"/>
      <c r="AP91" s="21"/>
      <c r="AQ91" s="60"/>
      <c r="AR91" s="21"/>
      <c r="AS91" s="21"/>
    </row>
    <row r="92" spans="7:45" ht="24.75" customHeight="1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O92" s="21"/>
      <c r="AP92" s="21"/>
      <c r="AQ92" s="60"/>
      <c r="AR92" s="21"/>
      <c r="AS92" s="21"/>
    </row>
    <row r="93" spans="7:45" ht="24.75" customHeight="1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O93" s="21"/>
      <c r="AP93" s="21"/>
      <c r="AQ93" s="60"/>
      <c r="AR93" s="21"/>
      <c r="AS93" s="21"/>
    </row>
    <row r="94" spans="7:45" ht="24.75" customHeight="1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O94" s="21"/>
      <c r="AP94" s="21"/>
      <c r="AQ94" s="60"/>
      <c r="AR94" s="21"/>
      <c r="AS94" s="21"/>
    </row>
    <row r="95" spans="7:45" ht="24.75" customHeight="1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O95" s="21"/>
      <c r="AP95" s="21"/>
      <c r="AQ95" s="60"/>
      <c r="AR95" s="21"/>
      <c r="AS95" s="21"/>
    </row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</sheetData>
  <sheetProtection/>
  <mergeCells count="23">
    <mergeCell ref="I1:AS1"/>
    <mergeCell ref="B2:AS2"/>
    <mergeCell ref="B3:AS3"/>
    <mergeCell ref="D5:F5"/>
    <mergeCell ref="G5:I5"/>
    <mergeCell ref="P5:R5"/>
    <mergeCell ref="AE5:AG5"/>
    <mergeCell ref="AR5:AR6"/>
    <mergeCell ref="AS5:AS6"/>
    <mergeCell ref="AO5:AQ5"/>
    <mergeCell ref="AH5:AI5"/>
    <mergeCell ref="AM5:AN5"/>
    <mergeCell ref="AJ5:AL5"/>
    <mergeCell ref="AR45:AS45"/>
    <mergeCell ref="V5:X5"/>
    <mergeCell ref="Y5:AA5"/>
    <mergeCell ref="AB5:AD5"/>
    <mergeCell ref="A50:B50"/>
    <mergeCell ref="S5:U5"/>
    <mergeCell ref="B4:F4"/>
    <mergeCell ref="B49:F49"/>
    <mergeCell ref="J5:L5"/>
    <mergeCell ref="M5:O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E95"/>
  <sheetViews>
    <sheetView view="pageBreakPreview" zoomScale="75" zoomScaleNormal="50" zoomScaleSheetLayoutView="75" zoomScalePageLayoutView="0" workbookViewId="0" topLeftCell="A1">
      <pane xSplit="6" ySplit="8" topLeftCell="Z1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7" sqref="A17:IV17"/>
    </sheetView>
  </sheetViews>
  <sheetFormatPr defaultColWidth="6.75390625" defaultRowHeight="12.75"/>
  <cols>
    <col min="1" max="1" width="6.00390625" style="1" customWidth="1"/>
    <col min="2" max="2" width="49.25390625" style="2" customWidth="1"/>
    <col min="3" max="3" width="17.625" style="107" customWidth="1"/>
    <col min="4" max="4" width="21.125" style="2" hidden="1" customWidth="1"/>
    <col min="5" max="5" width="21.00390625" style="2" hidden="1" customWidth="1"/>
    <col min="6" max="6" width="14.00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4.00390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00390625" style="12" hidden="1" customWidth="1"/>
    <col min="23" max="23" width="14.25390625" style="12" hidden="1" customWidth="1"/>
    <col min="24" max="24" width="11.125" style="12" hidden="1" customWidth="1"/>
    <col min="25" max="25" width="14.00390625" style="12" customWidth="1"/>
    <col min="26" max="26" width="12.75390625" style="12" customWidth="1"/>
    <col min="27" max="27" width="11.125" style="12" customWidth="1"/>
    <col min="28" max="28" width="14.00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00390625" style="12" hidden="1" customWidth="1"/>
    <col min="36" max="36" width="14.00390625" style="12" customWidth="1"/>
    <col min="37" max="37" width="12.75390625" style="12" customWidth="1"/>
    <col min="38" max="38" width="11.125" style="12" customWidth="1"/>
    <col min="39" max="39" width="13.125" style="12" customWidth="1"/>
    <col min="40" max="40" width="11.00390625" style="12" customWidth="1"/>
    <col min="41" max="42" width="14.75390625" style="2" customWidth="1"/>
    <col min="43" max="43" width="11.125" style="12" customWidth="1"/>
    <col min="44" max="44" width="16.75390625" style="2" customWidth="1"/>
    <col min="45" max="45" width="18.25390625" style="2" customWidth="1"/>
    <col min="46" max="46" width="13.625" style="2" customWidth="1"/>
    <col min="47" max="47" width="9.875" style="2" customWidth="1"/>
    <col min="48" max="16384" width="6.75390625" style="2" customWidth="1"/>
  </cols>
  <sheetData>
    <row r="1" spans="9:45" ht="19.5" customHeight="1">
      <c r="I1" s="158" t="s">
        <v>50</v>
      </c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</row>
    <row r="2" spans="1:45" s="63" customFormat="1" ht="42" customHeight="1">
      <c r="A2" s="62"/>
      <c r="B2" s="159" t="s">
        <v>130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</row>
    <row r="3" spans="1:45" s="63" customFormat="1" ht="42" customHeight="1">
      <c r="A3" s="62"/>
      <c r="B3" s="159" t="s">
        <v>159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</row>
    <row r="4" spans="2:45" ht="18.75">
      <c r="B4" s="160"/>
      <c r="C4" s="160"/>
      <c r="D4" s="160"/>
      <c r="E4" s="160"/>
      <c r="F4" s="160"/>
      <c r="AE4" s="6"/>
      <c r="AF4" s="6"/>
      <c r="AG4" s="6"/>
      <c r="AH4" s="6"/>
      <c r="AI4" s="6"/>
      <c r="AM4" s="6"/>
      <c r="AN4" s="6"/>
      <c r="AS4" s="5" t="s">
        <v>7</v>
      </c>
    </row>
    <row r="5" spans="1:45" ht="58.5" customHeight="1">
      <c r="A5" s="50" t="s">
        <v>55</v>
      </c>
      <c r="B5" s="51"/>
      <c r="C5" s="52" t="s">
        <v>1</v>
      </c>
      <c r="D5" s="151" t="s">
        <v>142</v>
      </c>
      <c r="E5" s="152"/>
      <c r="F5" s="153"/>
      <c r="G5" s="154" t="s">
        <v>143</v>
      </c>
      <c r="H5" s="155"/>
      <c r="I5" s="156"/>
      <c r="J5" s="154" t="s">
        <v>147</v>
      </c>
      <c r="K5" s="155"/>
      <c r="L5" s="156"/>
      <c r="M5" s="154" t="s">
        <v>149</v>
      </c>
      <c r="N5" s="155"/>
      <c r="O5" s="156"/>
      <c r="P5" s="154" t="s">
        <v>148</v>
      </c>
      <c r="Q5" s="155"/>
      <c r="R5" s="156"/>
      <c r="S5" s="154" t="s">
        <v>150</v>
      </c>
      <c r="T5" s="155"/>
      <c r="U5" s="156"/>
      <c r="V5" s="154" t="s">
        <v>151</v>
      </c>
      <c r="W5" s="155"/>
      <c r="X5" s="156"/>
      <c r="Y5" s="154" t="s">
        <v>153</v>
      </c>
      <c r="Z5" s="155"/>
      <c r="AA5" s="156"/>
      <c r="AB5" s="154" t="s">
        <v>154</v>
      </c>
      <c r="AC5" s="155"/>
      <c r="AD5" s="156"/>
      <c r="AE5" s="154" t="s">
        <v>155</v>
      </c>
      <c r="AF5" s="155"/>
      <c r="AG5" s="156"/>
      <c r="AH5" s="154" t="s">
        <v>156</v>
      </c>
      <c r="AI5" s="156"/>
      <c r="AJ5" s="154" t="s">
        <v>157</v>
      </c>
      <c r="AK5" s="155"/>
      <c r="AL5" s="156"/>
      <c r="AM5" s="154" t="s">
        <v>158</v>
      </c>
      <c r="AN5" s="156"/>
      <c r="AO5" s="151" t="s">
        <v>144</v>
      </c>
      <c r="AP5" s="152"/>
      <c r="AQ5" s="153"/>
      <c r="AR5" s="161" t="s">
        <v>160</v>
      </c>
      <c r="AS5" s="161" t="s">
        <v>161</v>
      </c>
    </row>
    <row r="6" spans="1:45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144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8" t="s">
        <v>0</v>
      </c>
      <c r="AR6" s="162"/>
      <c r="AS6" s="162"/>
    </row>
    <row r="7" spans="1:47" s="12" customFormat="1" ht="36" customHeight="1">
      <c r="A7" s="8"/>
      <c r="B7" s="9" t="s">
        <v>89</v>
      </c>
      <c r="C7" s="67">
        <f>SUM(C8:C40)</f>
        <v>-10.90000000000002</v>
      </c>
      <c r="D7" s="11">
        <f>SUM(D8:D40)</f>
        <v>1517.4000000000005</v>
      </c>
      <c r="E7" s="11">
        <f>SUM(E8:E40)</f>
        <v>460.80000000000007</v>
      </c>
      <c r="F7" s="11">
        <f aca="true" t="shared" si="0" ref="F7:F12">E7/D7*100</f>
        <v>30.36773428232502</v>
      </c>
      <c r="G7" s="11">
        <f>SUM(G8:G40)</f>
        <v>1471.3</v>
      </c>
      <c r="H7" s="11">
        <f>SUM(H8:H40)</f>
        <v>1699.6000000000001</v>
      </c>
      <c r="I7" s="11">
        <f aca="true" t="shared" si="1" ref="I7:I43">H7/G7*100</f>
        <v>115.51688982532455</v>
      </c>
      <c r="J7" s="11">
        <f>SUM(J8:J40)</f>
        <v>1630.5</v>
      </c>
      <c r="K7" s="11">
        <f>SUM(K8:K40)</f>
        <v>1835.3</v>
      </c>
      <c r="L7" s="11">
        <f aca="true" t="shared" si="2" ref="L7:L28">K7/J7*100</f>
        <v>112.56056424409691</v>
      </c>
      <c r="M7" s="11">
        <f>SUM(M8:M40)</f>
        <v>4619.200000000001</v>
      </c>
      <c r="N7" s="11">
        <f>SUM(N8:N40)</f>
        <v>3995.7</v>
      </c>
      <c r="O7" s="11">
        <f>N7/M7*100</f>
        <v>86.50199168687217</v>
      </c>
      <c r="P7" s="11">
        <f>SUM(P8:P40)</f>
        <v>1630.6</v>
      </c>
      <c r="Q7" s="11">
        <f>SUM(Q8:Q40)</f>
        <v>1581.9999999999998</v>
      </c>
      <c r="R7" s="11">
        <f aca="true" t="shared" si="3" ref="R7:R28">Q7/P7*100</f>
        <v>97.01950202379491</v>
      </c>
      <c r="S7" s="11">
        <f>SUM(S8:S40)</f>
        <v>1516.3000000000004</v>
      </c>
      <c r="T7" s="11">
        <f>SUM(T8:T40)</f>
        <v>1643.6000000000004</v>
      </c>
      <c r="U7" s="11">
        <f aca="true" t="shared" si="4" ref="U7:U28">T7/S7*100</f>
        <v>108.39543625931543</v>
      </c>
      <c r="V7" s="11">
        <f>SUM(V8:V40)</f>
        <v>1500.2</v>
      </c>
      <c r="W7" s="11">
        <f>SUM(W8:W40)</f>
        <v>1576.9000000000003</v>
      </c>
      <c r="X7" s="11">
        <f aca="true" t="shared" si="5" ref="X7:X28">W7/V7*100</f>
        <v>105.11265164644716</v>
      </c>
      <c r="Y7" s="11">
        <f>SUM(Y8:Y40)</f>
        <v>4647.1</v>
      </c>
      <c r="Z7" s="11">
        <f>SUM(Z8:Z40)</f>
        <v>4802.500000000001</v>
      </c>
      <c r="AA7" s="11">
        <f>Z7/Y7*100</f>
        <v>103.34402100234557</v>
      </c>
      <c r="AB7" s="11">
        <f>SUM(AB8:AB40)</f>
        <v>1466.6000000000004</v>
      </c>
      <c r="AC7" s="11">
        <f>SUM(AC8:AC40)</f>
        <v>1612.1</v>
      </c>
      <c r="AD7" s="11">
        <f aca="true" t="shared" si="6" ref="AD7:AD28">AC7/AB7*100</f>
        <v>109.92090549570432</v>
      </c>
      <c r="AE7" s="11">
        <f>SUM(AE8:AE40)</f>
        <v>1406</v>
      </c>
      <c r="AF7" s="11">
        <f>SUM(AF8:AF40)</f>
        <v>1156.8999999999999</v>
      </c>
      <c r="AG7" s="11">
        <f>AF7/AE7*100</f>
        <v>82.28307254623043</v>
      </c>
      <c r="AH7" s="11">
        <f>SUM(AH8:AH40)</f>
        <v>1639.2800000000002</v>
      </c>
      <c r="AI7" s="11">
        <f>SUM(AI8:AI40)</f>
        <v>1776.2</v>
      </c>
      <c r="AJ7" s="11">
        <f>SUM(AJ8:AJ40)</f>
        <v>4511.879999999998</v>
      </c>
      <c r="AK7" s="11">
        <f>SUM(AK8:AK40)</f>
        <v>4545.2</v>
      </c>
      <c r="AL7" s="11">
        <f>AK7/AJ7*100</f>
        <v>100.73849481812462</v>
      </c>
      <c r="AM7" s="11">
        <f>SUM(AM8:AM40)</f>
        <v>1864.5</v>
      </c>
      <c r="AN7" s="11">
        <f>SUM(AN8:AN40)</f>
        <v>1902.6</v>
      </c>
      <c r="AO7" s="67">
        <f>SUM(AO8:AO40)</f>
        <v>15642.680000000002</v>
      </c>
      <c r="AP7" s="67">
        <f>SUM(AP8:AP40)</f>
        <v>15246.000000000004</v>
      </c>
      <c r="AQ7" s="11">
        <f aca="true" t="shared" si="7" ref="AQ7:AQ42">AP7/AO7*100</f>
        <v>97.46411740187743</v>
      </c>
      <c r="AR7" s="67">
        <f>SUM(AR8:AR40)</f>
        <v>396.6800000000004</v>
      </c>
      <c r="AS7" s="67">
        <f>SUM(AS8:AS40)</f>
        <v>385.77999999999986</v>
      </c>
      <c r="AT7" s="27">
        <f>SUM(AR8:AR40)</f>
        <v>396.6800000000004</v>
      </c>
      <c r="AU7" s="27">
        <f>SUM(AS8:AS40)</f>
        <v>385.77999999999986</v>
      </c>
    </row>
    <row r="8" spans="1:45" ht="24.75" customHeight="1">
      <c r="A8" s="13" t="s">
        <v>13</v>
      </c>
      <c r="B8" s="47" t="s">
        <v>91</v>
      </c>
      <c r="C8" s="108">
        <v>-1.4</v>
      </c>
      <c r="D8" s="44">
        <v>115.4</v>
      </c>
      <c r="E8" s="44">
        <f>18.6+88.7</f>
        <v>107.30000000000001</v>
      </c>
      <c r="F8" s="11">
        <f t="shared" si="0"/>
        <v>92.98093587521664</v>
      </c>
      <c r="G8" s="44">
        <f>26.9+100.7</f>
        <v>127.6</v>
      </c>
      <c r="H8" s="44">
        <f>28.8+93.7</f>
        <v>122.5</v>
      </c>
      <c r="I8" s="11">
        <f t="shared" si="1"/>
        <v>96.00313479623826</v>
      </c>
      <c r="J8" s="44">
        <f>23.7+87.5</f>
        <v>111.2</v>
      </c>
      <c r="K8" s="44">
        <f>23.9+100.5</f>
        <v>124.4</v>
      </c>
      <c r="L8" s="11">
        <f t="shared" si="2"/>
        <v>111.8705035971223</v>
      </c>
      <c r="M8" s="89">
        <f>D8+G8+J8</f>
        <v>354.2</v>
      </c>
      <c r="N8" s="89">
        <f>E8+H8+K8</f>
        <v>354.20000000000005</v>
      </c>
      <c r="O8" s="11">
        <f aca="true" t="shared" si="8" ref="O8:O43">N8/M8*100</f>
        <v>100.00000000000003</v>
      </c>
      <c r="P8" s="44">
        <f>26.4+95</f>
        <v>121.4</v>
      </c>
      <c r="Q8" s="44">
        <f>25.8+92.7</f>
        <v>118.5</v>
      </c>
      <c r="R8" s="11">
        <f t="shared" si="3"/>
        <v>97.61120263591432</v>
      </c>
      <c r="S8" s="44">
        <f>22.2+76.2</f>
        <v>98.4</v>
      </c>
      <c r="T8" s="44">
        <f>23.7+76.2</f>
        <v>99.9</v>
      </c>
      <c r="U8" s="11">
        <f t="shared" si="4"/>
        <v>101.52439024390243</v>
      </c>
      <c r="V8" s="44">
        <f>25.2+79.8</f>
        <v>105</v>
      </c>
      <c r="W8" s="44">
        <f>23.7+82</f>
        <v>105.7</v>
      </c>
      <c r="X8" s="11">
        <f t="shared" si="5"/>
        <v>100.66666666666666</v>
      </c>
      <c r="Y8" s="89">
        <f>P8+S8+V8</f>
        <v>324.8</v>
      </c>
      <c r="Z8" s="89">
        <f>Q8+T8+W8</f>
        <v>324.1</v>
      </c>
      <c r="AA8" s="11">
        <f aca="true" t="shared" si="9" ref="AA8:AA28">Z8/Y8*100</f>
        <v>99.7844827586207</v>
      </c>
      <c r="AB8" s="44">
        <f>24.3+81.1</f>
        <v>105.39999999999999</v>
      </c>
      <c r="AC8" s="44">
        <f>18.3+80.8</f>
        <v>99.1</v>
      </c>
      <c r="AD8" s="11">
        <f t="shared" si="6"/>
        <v>94.02277039848198</v>
      </c>
      <c r="AE8" s="44">
        <f>28.9+77.5</f>
        <v>106.4</v>
      </c>
      <c r="AF8" s="44">
        <f>35.4+80</f>
        <v>115.4</v>
      </c>
      <c r="AG8" s="11">
        <f>AF8/AE8*100</f>
        <v>108.45864661654134</v>
      </c>
      <c r="AH8" s="44">
        <f>26+87.8</f>
        <v>113.8</v>
      </c>
      <c r="AI8" s="44">
        <f>26+85.4</f>
        <v>111.4</v>
      </c>
      <c r="AJ8" s="89">
        <f>AB8+AE8+AH8</f>
        <v>325.6</v>
      </c>
      <c r="AK8" s="89">
        <f>AC8+AF8+AI8</f>
        <v>325.9</v>
      </c>
      <c r="AL8" s="11">
        <f>AK8/AJ8*100</f>
        <v>100.09213759213758</v>
      </c>
      <c r="AM8" s="44">
        <v>119</v>
      </c>
      <c r="AN8" s="44">
        <v>119.4</v>
      </c>
      <c r="AO8" s="72">
        <f>M8+Y8+AJ8+AM8</f>
        <v>1123.6</v>
      </c>
      <c r="AP8" s="72">
        <f>N8+Z8+AK8+AN8</f>
        <v>1123.6000000000001</v>
      </c>
      <c r="AQ8" s="11">
        <f t="shared" si="7"/>
        <v>100.00000000000003</v>
      </c>
      <c r="AR8" s="72">
        <f>AO8-AP8</f>
        <v>0</v>
      </c>
      <c r="AS8" s="18">
        <f aca="true" t="shared" si="10" ref="AS8:AS28">C8+AO8-AP8</f>
        <v>-1.4000000000003183</v>
      </c>
    </row>
    <row r="9" spans="1:45" ht="24.75" customHeight="1">
      <c r="A9" s="13" t="s">
        <v>14</v>
      </c>
      <c r="B9" s="47" t="s">
        <v>92</v>
      </c>
      <c r="C9" s="108">
        <v>-22.8</v>
      </c>
      <c r="D9" s="44">
        <v>35.7</v>
      </c>
      <c r="E9" s="44">
        <v>1.9</v>
      </c>
      <c r="F9" s="11">
        <f t="shared" si="0"/>
        <v>5.322128851540615</v>
      </c>
      <c r="G9" s="44">
        <v>33.9</v>
      </c>
      <c r="H9" s="44">
        <v>46.8</v>
      </c>
      <c r="I9" s="11">
        <f t="shared" si="1"/>
        <v>138.05309734513273</v>
      </c>
      <c r="J9" s="44">
        <v>31</v>
      </c>
      <c r="K9" s="44">
        <v>30.8</v>
      </c>
      <c r="L9" s="11">
        <f t="shared" si="2"/>
        <v>99.35483870967742</v>
      </c>
      <c r="M9" s="89">
        <f aca="true" t="shared" si="11" ref="M9:M42">D9+G9+J9</f>
        <v>100.6</v>
      </c>
      <c r="N9" s="89">
        <f aca="true" t="shared" si="12" ref="N9:N42">E9+H9+K9</f>
        <v>79.5</v>
      </c>
      <c r="O9" s="11">
        <f t="shared" si="8"/>
        <v>79.0258449304175</v>
      </c>
      <c r="P9" s="44">
        <v>33.1</v>
      </c>
      <c r="Q9" s="44">
        <v>29.9</v>
      </c>
      <c r="R9" s="11">
        <f t="shared" si="3"/>
        <v>90.33232628398791</v>
      </c>
      <c r="S9" s="44">
        <v>33.1</v>
      </c>
      <c r="T9" s="44">
        <v>34.5</v>
      </c>
      <c r="U9" s="11">
        <f t="shared" si="4"/>
        <v>104.22960725075528</v>
      </c>
      <c r="V9" s="44">
        <v>33.8</v>
      </c>
      <c r="W9" s="44">
        <v>30.6</v>
      </c>
      <c r="X9" s="11">
        <f t="shared" si="5"/>
        <v>90.53254437869823</v>
      </c>
      <c r="Y9" s="89">
        <f aca="true" t="shared" si="13" ref="Y9:Y28">P9+S9+V9</f>
        <v>100</v>
      </c>
      <c r="Z9" s="89">
        <f aca="true" t="shared" si="14" ref="Z9:Z28">Q9+T9+W9</f>
        <v>95</v>
      </c>
      <c r="AA9" s="11">
        <f t="shared" si="9"/>
        <v>95</v>
      </c>
      <c r="AB9" s="44">
        <v>32.8</v>
      </c>
      <c r="AC9" s="44">
        <v>34.8</v>
      </c>
      <c r="AD9" s="11">
        <f t="shared" si="6"/>
        <v>106.09756097560977</v>
      </c>
      <c r="AE9" s="44">
        <v>31</v>
      </c>
      <c r="AF9" s="44">
        <v>1.9</v>
      </c>
      <c r="AG9" s="11">
        <f>AF9/AE9*100</f>
        <v>6.129032258064516</v>
      </c>
      <c r="AH9" s="44">
        <v>31.2</v>
      </c>
      <c r="AI9" s="44">
        <f>0.5+59.7</f>
        <v>60.2</v>
      </c>
      <c r="AJ9" s="89">
        <f aca="true" t="shared" si="15" ref="AJ9:AJ40">AB9+AE9+AH9</f>
        <v>95</v>
      </c>
      <c r="AK9" s="89">
        <f aca="true" t="shared" si="16" ref="AK9:AK40">AC9+AF9+AI9</f>
        <v>96.9</v>
      </c>
      <c r="AL9" s="11">
        <f>AK9/AJ9*100</f>
        <v>102</v>
      </c>
      <c r="AM9" s="44">
        <v>33.5</v>
      </c>
      <c r="AN9" s="44">
        <v>30.1</v>
      </c>
      <c r="AO9" s="72">
        <f aca="true" t="shared" si="17" ref="AO9:AO40">M9+Y9+AJ9+AM9</f>
        <v>329.1</v>
      </c>
      <c r="AP9" s="72">
        <f aca="true" t="shared" si="18" ref="AP9:AP40">N9+Z9+AK9+AN9</f>
        <v>301.5</v>
      </c>
      <c r="AQ9" s="11">
        <f t="shared" si="7"/>
        <v>91.61349134001823</v>
      </c>
      <c r="AR9" s="72">
        <f aca="true" t="shared" si="19" ref="AR9:AR42">AO9-AP9</f>
        <v>27.600000000000023</v>
      </c>
      <c r="AS9" s="18">
        <f t="shared" si="10"/>
        <v>4.800000000000011</v>
      </c>
    </row>
    <row r="10" spans="1:45" ht="24.75" customHeight="1">
      <c r="A10" s="13" t="s">
        <v>15</v>
      </c>
      <c r="B10" s="15" t="s">
        <v>133</v>
      </c>
      <c r="C10" s="108">
        <v>-0.3</v>
      </c>
      <c r="D10" s="44">
        <v>17.7</v>
      </c>
      <c r="E10" s="44">
        <v>17.3</v>
      </c>
      <c r="F10" s="11">
        <f t="shared" si="0"/>
        <v>97.7401129943503</v>
      </c>
      <c r="G10" s="44">
        <v>5.8</v>
      </c>
      <c r="H10" s="44">
        <v>4.4</v>
      </c>
      <c r="I10" s="75">
        <f t="shared" si="1"/>
        <v>75.86206896551725</v>
      </c>
      <c r="J10" s="44">
        <v>7.1</v>
      </c>
      <c r="K10" s="44">
        <v>9.7</v>
      </c>
      <c r="L10" s="11">
        <f t="shared" si="2"/>
        <v>136.61971830985914</v>
      </c>
      <c r="M10" s="89">
        <f t="shared" si="11"/>
        <v>30.6</v>
      </c>
      <c r="N10" s="89">
        <f t="shared" si="12"/>
        <v>31.400000000000002</v>
      </c>
      <c r="O10" s="11">
        <f t="shared" si="8"/>
        <v>102.61437908496734</v>
      </c>
      <c r="P10" s="44">
        <v>7.1</v>
      </c>
      <c r="Q10" s="44">
        <v>7.1</v>
      </c>
      <c r="R10" s="111">
        <f t="shared" si="3"/>
        <v>100</v>
      </c>
      <c r="S10" s="44">
        <v>7.4</v>
      </c>
      <c r="T10" s="44">
        <v>7.4</v>
      </c>
      <c r="U10" s="11">
        <f t="shared" si="4"/>
        <v>100</v>
      </c>
      <c r="V10" s="44">
        <v>6.5</v>
      </c>
      <c r="W10" s="44">
        <v>4.8</v>
      </c>
      <c r="X10" s="11">
        <f t="shared" si="5"/>
        <v>73.84615384615384</v>
      </c>
      <c r="Y10" s="89">
        <f t="shared" si="13"/>
        <v>21</v>
      </c>
      <c r="Z10" s="89">
        <f t="shared" si="14"/>
        <v>19.3</v>
      </c>
      <c r="AA10" s="145">
        <v>0</v>
      </c>
      <c r="AB10" s="44">
        <v>5</v>
      </c>
      <c r="AC10" s="44">
        <v>6.7</v>
      </c>
      <c r="AD10" s="11">
        <v>5.6</v>
      </c>
      <c r="AE10" s="44">
        <v>5.6</v>
      </c>
      <c r="AF10" s="44">
        <v>5.6</v>
      </c>
      <c r="AG10" s="11">
        <f>AF10/AE10*100</f>
        <v>100</v>
      </c>
      <c r="AH10" s="44"/>
      <c r="AI10" s="44"/>
      <c r="AJ10" s="89">
        <f t="shared" si="15"/>
        <v>10.6</v>
      </c>
      <c r="AK10" s="89">
        <f t="shared" si="16"/>
        <v>12.3</v>
      </c>
      <c r="AL10" s="145">
        <v>0</v>
      </c>
      <c r="AM10" s="44"/>
      <c r="AN10" s="44"/>
      <c r="AO10" s="72">
        <f t="shared" si="17"/>
        <v>62.2</v>
      </c>
      <c r="AP10" s="72">
        <f t="shared" si="18"/>
        <v>63</v>
      </c>
      <c r="AQ10" s="11">
        <f t="shared" si="7"/>
        <v>101.2861736334405</v>
      </c>
      <c r="AR10" s="72">
        <f t="shared" si="19"/>
        <v>-0.7999999999999972</v>
      </c>
      <c r="AS10" s="18">
        <f t="shared" si="10"/>
        <v>-1.0999999999999943</v>
      </c>
    </row>
    <row r="11" spans="1:45" ht="22.5" customHeight="1">
      <c r="A11" s="13" t="s">
        <v>16</v>
      </c>
      <c r="B11" s="47" t="s">
        <v>93</v>
      </c>
      <c r="C11" s="108">
        <v>2.1</v>
      </c>
      <c r="D11" s="44">
        <f>7.4+326.4</f>
        <v>333.79999999999995</v>
      </c>
      <c r="E11" s="44">
        <f>48.3</f>
        <v>48.3</v>
      </c>
      <c r="F11" s="11">
        <f t="shared" si="0"/>
        <v>14.46974236069503</v>
      </c>
      <c r="G11" s="44">
        <f>11.1+56.5</f>
        <v>67.6</v>
      </c>
      <c r="H11" s="44">
        <f>16+248.7</f>
        <v>264.7</v>
      </c>
      <c r="I11" s="11">
        <f>H11/G11*100</f>
        <v>391.56804733727813</v>
      </c>
      <c r="J11" s="44">
        <f>7.4+55.7</f>
        <v>63.1</v>
      </c>
      <c r="K11" s="44">
        <f>14.1+19.6</f>
        <v>33.7</v>
      </c>
      <c r="L11" s="11">
        <f t="shared" si="2"/>
        <v>53.40729001584786</v>
      </c>
      <c r="M11" s="89">
        <f t="shared" si="11"/>
        <v>464.5</v>
      </c>
      <c r="N11" s="89">
        <f t="shared" si="12"/>
        <v>346.7</v>
      </c>
      <c r="O11" s="11">
        <f t="shared" si="8"/>
        <v>74.63939720129171</v>
      </c>
      <c r="P11" s="44">
        <f>9.1+72.7</f>
        <v>81.8</v>
      </c>
      <c r="Q11" s="44">
        <f>8.2+42.9</f>
        <v>51.099999999999994</v>
      </c>
      <c r="R11" s="11">
        <f t="shared" si="3"/>
        <v>62.469437652811735</v>
      </c>
      <c r="S11" s="44">
        <f>9+50.5</f>
        <v>59.5</v>
      </c>
      <c r="T11" s="44">
        <f>7.6+48.7</f>
        <v>56.300000000000004</v>
      </c>
      <c r="U11" s="11">
        <f t="shared" si="4"/>
        <v>94.6218487394958</v>
      </c>
      <c r="V11" s="44">
        <f>8.6+67.6</f>
        <v>76.19999999999999</v>
      </c>
      <c r="W11" s="44">
        <f>7+223.5</f>
        <v>230.5</v>
      </c>
      <c r="X11" s="11">
        <f t="shared" si="5"/>
        <v>302.49343832021003</v>
      </c>
      <c r="Y11" s="89">
        <f t="shared" si="13"/>
        <v>217.5</v>
      </c>
      <c r="Z11" s="89">
        <f t="shared" si="14"/>
        <v>337.9</v>
      </c>
      <c r="AA11" s="11">
        <f t="shared" si="9"/>
        <v>155.35632183908046</v>
      </c>
      <c r="AB11" s="44">
        <f>6.6+62.2</f>
        <v>68.8</v>
      </c>
      <c r="AC11" s="44">
        <f>7.1+60.6</f>
        <v>67.7</v>
      </c>
      <c r="AD11" s="11">
        <f t="shared" si="6"/>
        <v>98.40116279069768</v>
      </c>
      <c r="AE11" s="44">
        <f>5.4+58.1</f>
        <v>63.5</v>
      </c>
      <c r="AF11" s="44">
        <f>1.8+36.4</f>
        <v>38.199999999999996</v>
      </c>
      <c r="AG11" s="11">
        <f>AF11/AE11*100</f>
        <v>60.15748031496062</v>
      </c>
      <c r="AH11" s="44">
        <f>11+66.5</f>
        <v>77.5</v>
      </c>
      <c r="AI11" s="44">
        <f>8.2+91.3</f>
        <v>99.5</v>
      </c>
      <c r="AJ11" s="89">
        <f t="shared" si="15"/>
        <v>209.8</v>
      </c>
      <c r="AK11" s="89">
        <f t="shared" si="16"/>
        <v>205.4</v>
      </c>
      <c r="AL11" s="11">
        <f aca="true" t="shared" si="20" ref="AL11:AL28">AK11/AJ11*100</f>
        <v>97.9027645376549</v>
      </c>
      <c r="AM11" s="44">
        <f>16.6+71.6</f>
        <v>88.19999999999999</v>
      </c>
      <c r="AN11" s="44">
        <f>15+39.3</f>
        <v>54.3</v>
      </c>
      <c r="AO11" s="72">
        <f t="shared" si="17"/>
        <v>980</v>
      </c>
      <c r="AP11" s="72">
        <f t="shared" si="18"/>
        <v>944.2999999999998</v>
      </c>
      <c r="AQ11" s="11">
        <f t="shared" si="7"/>
        <v>96.35714285714285</v>
      </c>
      <c r="AR11" s="72">
        <f t="shared" si="19"/>
        <v>35.70000000000016</v>
      </c>
      <c r="AS11" s="18">
        <f t="shared" si="10"/>
        <v>37.80000000000018</v>
      </c>
    </row>
    <row r="12" spans="1:45" ht="24.75" customHeight="1">
      <c r="A12" s="13" t="s">
        <v>17</v>
      </c>
      <c r="B12" s="47" t="s">
        <v>94</v>
      </c>
      <c r="C12" s="108">
        <v>-1.2</v>
      </c>
      <c r="D12" s="44">
        <v>19.5</v>
      </c>
      <c r="E12" s="44">
        <v>12.6</v>
      </c>
      <c r="F12" s="67">
        <f t="shared" si="0"/>
        <v>64.61538461538461</v>
      </c>
      <c r="G12" s="44">
        <v>28.6</v>
      </c>
      <c r="H12" s="44">
        <v>24.9</v>
      </c>
      <c r="I12" s="11">
        <f>H12/G12*100</f>
        <v>87.06293706293705</v>
      </c>
      <c r="J12" s="44">
        <v>82.1</v>
      </c>
      <c r="K12" s="44">
        <v>82.9</v>
      </c>
      <c r="L12" s="11">
        <f t="shared" si="2"/>
        <v>100.97442143727164</v>
      </c>
      <c r="M12" s="89">
        <f t="shared" si="11"/>
        <v>130.2</v>
      </c>
      <c r="N12" s="89">
        <f t="shared" si="12"/>
        <v>120.4</v>
      </c>
      <c r="O12" s="11">
        <f t="shared" si="8"/>
        <v>92.47311827956992</v>
      </c>
      <c r="P12" s="44">
        <v>133.5</v>
      </c>
      <c r="Q12" s="44">
        <v>143.3</v>
      </c>
      <c r="R12" s="11">
        <f t="shared" si="3"/>
        <v>107.34082397003746</v>
      </c>
      <c r="S12" s="44">
        <v>71.4</v>
      </c>
      <c r="T12" s="44">
        <v>71.4</v>
      </c>
      <c r="U12" s="11">
        <f t="shared" si="4"/>
        <v>100</v>
      </c>
      <c r="V12" s="44">
        <v>62.3</v>
      </c>
      <c r="W12" s="44">
        <v>62.3</v>
      </c>
      <c r="X12" s="11">
        <f t="shared" si="5"/>
        <v>100</v>
      </c>
      <c r="Y12" s="89">
        <f t="shared" si="13"/>
        <v>267.2</v>
      </c>
      <c r="Z12" s="89">
        <f t="shared" si="14"/>
        <v>277</v>
      </c>
      <c r="AA12" s="11">
        <f t="shared" si="9"/>
        <v>103.6676646706587</v>
      </c>
      <c r="AB12" s="44">
        <v>78.4</v>
      </c>
      <c r="AC12" s="44">
        <v>78.4</v>
      </c>
      <c r="AD12" s="11">
        <f t="shared" si="6"/>
        <v>100</v>
      </c>
      <c r="AE12" s="44">
        <v>86</v>
      </c>
      <c r="AF12" s="44">
        <v>87.3</v>
      </c>
      <c r="AG12" s="141">
        <f aca="true" t="shared" si="21" ref="AG12:AG24">AF12/AE12*100</f>
        <v>101.51162790697674</v>
      </c>
      <c r="AH12" s="44">
        <v>92.1</v>
      </c>
      <c r="AI12" s="44">
        <v>90</v>
      </c>
      <c r="AJ12" s="89">
        <f t="shared" si="15"/>
        <v>256.5</v>
      </c>
      <c r="AK12" s="89">
        <f t="shared" si="16"/>
        <v>255.7</v>
      </c>
      <c r="AL12" s="11">
        <f t="shared" si="20"/>
        <v>99.68810916179336</v>
      </c>
      <c r="AM12" s="44">
        <v>83.8</v>
      </c>
      <c r="AN12" s="44">
        <v>85.3</v>
      </c>
      <c r="AO12" s="72">
        <f t="shared" si="17"/>
        <v>737.6999999999999</v>
      </c>
      <c r="AP12" s="72">
        <f t="shared" si="18"/>
        <v>738.3999999999999</v>
      </c>
      <c r="AQ12" s="11">
        <f t="shared" si="7"/>
        <v>100.09488952148568</v>
      </c>
      <c r="AR12" s="72">
        <f t="shared" si="19"/>
        <v>-0.6999999999999318</v>
      </c>
      <c r="AS12" s="18">
        <f t="shared" si="10"/>
        <v>-1.8999999999999773</v>
      </c>
    </row>
    <row r="13" spans="1:45" ht="24.75" customHeight="1">
      <c r="A13" s="13" t="s">
        <v>18</v>
      </c>
      <c r="B13" s="47" t="s">
        <v>95</v>
      </c>
      <c r="C13" s="108">
        <v>0.3</v>
      </c>
      <c r="D13" s="44">
        <v>44.7</v>
      </c>
      <c r="E13" s="44">
        <v>38.4</v>
      </c>
      <c r="F13" s="11">
        <f aca="true" t="shared" si="22" ref="F13:F23">E13/D13*100</f>
        <v>85.90604026845637</v>
      </c>
      <c r="G13" s="44">
        <v>54.4</v>
      </c>
      <c r="H13" s="44">
        <v>55.6</v>
      </c>
      <c r="I13" s="75">
        <f t="shared" si="1"/>
        <v>102.20588235294119</v>
      </c>
      <c r="J13" s="44">
        <v>45.4</v>
      </c>
      <c r="K13" s="44">
        <v>52.9</v>
      </c>
      <c r="L13" s="75">
        <f t="shared" si="2"/>
        <v>116.51982378854626</v>
      </c>
      <c r="M13" s="89">
        <f t="shared" si="11"/>
        <v>144.5</v>
      </c>
      <c r="N13" s="89">
        <f t="shared" si="12"/>
        <v>146.9</v>
      </c>
      <c r="O13" s="11">
        <f t="shared" si="8"/>
        <v>101.66089965397924</v>
      </c>
      <c r="P13" s="44">
        <v>55.3</v>
      </c>
      <c r="Q13" s="44">
        <v>54.3</v>
      </c>
      <c r="R13" s="140">
        <f t="shared" si="3"/>
        <v>98.19168173598554</v>
      </c>
      <c r="S13" s="44">
        <v>50.9</v>
      </c>
      <c r="T13" s="44">
        <v>51.6</v>
      </c>
      <c r="U13" s="140">
        <f t="shared" si="4"/>
        <v>101.37524557956779</v>
      </c>
      <c r="V13" s="44">
        <v>49.5</v>
      </c>
      <c r="W13" s="44">
        <v>48.2</v>
      </c>
      <c r="X13" s="11">
        <f t="shared" si="5"/>
        <v>97.37373737373738</v>
      </c>
      <c r="Y13" s="89">
        <f t="shared" si="13"/>
        <v>155.7</v>
      </c>
      <c r="Z13" s="89">
        <f t="shared" si="14"/>
        <v>154.10000000000002</v>
      </c>
      <c r="AA13" s="11">
        <f t="shared" si="9"/>
        <v>98.9723827874117</v>
      </c>
      <c r="AB13" s="44">
        <v>56</v>
      </c>
      <c r="AC13" s="44">
        <v>52.1</v>
      </c>
      <c r="AD13" s="11">
        <f t="shared" si="6"/>
        <v>93.03571428571429</v>
      </c>
      <c r="AE13" s="44">
        <v>49.9</v>
      </c>
      <c r="AF13" s="44">
        <v>44.8</v>
      </c>
      <c r="AG13" s="11">
        <f t="shared" si="21"/>
        <v>89.77955911823648</v>
      </c>
      <c r="AH13" s="44">
        <v>54.88</v>
      </c>
      <c r="AI13" s="44">
        <v>61.7</v>
      </c>
      <c r="AJ13" s="89">
        <f t="shared" si="15"/>
        <v>160.78</v>
      </c>
      <c r="AK13" s="89">
        <f t="shared" si="16"/>
        <v>158.60000000000002</v>
      </c>
      <c r="AL13" s="11">
        <f t="shared" si="20"/>
        <v>98.64410996392587</v>
      </c>
      <c r="AM13" s="44">
        <v>57.8</v>
      </c>
      <c r="AN13" s="44">
        <v>63.4</v>
      </c>
      <c r="AO13" s="72">
        <f t="shared" si="17"/>
        <v>518.78</v>
      </c>
      <c r="AP13" s="72">
        <f t="shared" si="18"/>
        <v>523</v>
      </c>
      <c r="AQ13" s="11">
        <f t="shared" si="7"/>
        <v>100.81344693318941</v>
      </c>
      <c r="AR13" s="72">
        <f t="shared" si="19"/>
        <v>-4.220000000000027</v>
      </c>
      <c r="AS13" s="18">
        <f t="shared" si="10"/>
        <v>-3.9200000000000728</v>
      </c>
    </row>
    <row r="14" spans="1:45" ht="24.75" customHeight="1">
      <c r="A14" s="13" t="s">
        <v>19</v>
      </c>
      <c r="B14" s="47" t="s">
        <v>96</v>
      </c>
      <c r="C14" s="108">
        <v>-70.7</v>
      </c>
      <c r="D14" s="44">
        <v>19.2</v>
      </c>
      <c r="E14" s="44">
        <v>0.4</v>
      </c>
      <c r="F14" s="11">
        <f t="shared" si="22"/>
        <v>2.0833333333333335</v>
      </c>
      <c r="G14" s="44">
        <v>27</v>
      </c>
      <c r="H14" s="44">
        <v>1.4</v>
      </c>
      <c r="I14" s="11">
        <f t="shared" si="1"/>
        <v>5.185185185185185</v>
      </c>
      <c r="J14" s="44">
        <v>25.2</v>
      </c>
      <c r="K14" s="44">
        <v>2.5</v>
      </c>
      <c r="L14" s="11">
        <f t="shared" si="2"/>
        <v>9.920634920634921</v>
      </c>
      <c r="M14" s="89">
        <f t="shared" si="11"/>
        <v>71.4</v>
      </c>
      <c r="N14" s="89">
        <f t="shared" si="12"/>
        <v>4.3</v>
      </c>
      <c r="O14" s="11">
        <f t="shared" si="8"/>
        <v>6.022408963585433</v>
      </c>
      <c r="P14" s="44">
        <v>25.3</v>
      </c>
      <c r="Q14" s="44">
        <v>22.1</v>
      </c>
      <c r="R14" s="11">
        <f t="shared" si="3"/>
        <v>87.35177865612648</v>
      </c>
      <c r="S14" s="44">
        <v>22.6</v>
      </c>
      <c r="T14" s="44">
        <v>24.3</v>
      </c>
      <c r="U14" s="11">
        <f t="shared" si="4"/>
        <v>107.52212389380531</v>
      </c>
      <c r="V14" s="44">
        <v>19.3</v>
      </c>
      <c r="W14" s="44">
        <v>18</v>
      </c>
      <c r="X14" s="11">
        <f t="shared" si="5"/>
        <v>93.26424870466322</v>
      </c>
      <c r="Y14" s="89">
        <f t="shared" si="13"/>
        <v>67.2</v>
      </c>
      <c r="Z14" s="89">
        <f t="shared" si="14"/>
        <v>64.4</v>
      </c>
      <c r="AA14" s="11">
        <f t="shared" si="9"/>
        <v>95.83333333333334</v>
      </c>
      <c r="AB14" s="44">
        <v>18.6</v>
      </c>
      <c r="AC14" s="44">
        <v>19.9</v>
      </c>
      <c r="AD14" s="11">
        <f t="shared" si="6"/>
        <v>106.98924731182795</v>
      </c>
      <c r="AE14" s="44">
        <v>20.4</v>
      </c>
      <c r="AF14" s="44">
        <v>21</v>
      </c>
      <c r="AG14" s="11">
        <f t="shared" si="21"/>
        <v>102.94117647058825</v>
      </c>
      <c r="AH14" s="44">
        <v>24</v>
      </c>
      <c r="AI14" s="44">
        <v>15.2</v>
      </c>
      <c r="AJ14" s="89">
        <f t="shared" si="15"/>
        <v>63</v>
      </c>
      <c r="AK14" s="89">
        <f t="shared" si="16"/>
        <v>56.099999999999994</v>
      </c>
      <c r="AL14" s="11">
        <f t="shared" si="20"/>
        <v>89.04761904761904</v>
      </c>
      <c r="AM14" s="44">
        <v>21.2</v>
      </c>
      <c r="AN14" s="44">
        <v>32.3</v>
      </c>
      <c r="AO14" s="72">
        <f t="shared" si="17"/>
        <v>222.8</v>
      </c>
      <c r="AP14" s="72">
        <f t="shared" si="18"/>
        <v>157.1</v>
      </c>
      <c r="AQ14" s="11">
        <f t="shared" si="7"/>
        <v>70.51166965888689</v>
      </c>
      <c r="AR14" s="72">
        <f t="shared" si="19"/>
        <v>65.70000000000002</v>
      </c>
      <c r="AS14" s="18">
        <f t="shared" si="10"/>
        <v>-4.999999999999972</v>
      </c>
    </row>
    <row r="15" spans="1:45" ht="24.75" customHeight="1">
      <c r="A15" s="13" t="s">
        <v>20</v>
      </c>
      <c r="B15" s="47" t="s">
        <v>97</v>
      </c>
      <c r="C15" s="108">
        <v>-0.4</v>
      </c>
      <c r="D15" s="44">
        <f>25.5+7.6</f>
        <v>33.1</v>
      </c>
      <c r="E15" s="44">
        <f>14.6+6.4</f>
        <v>21</v>
      </c>
      <c r="F15" s="11">
        <f t="shared" si="22"/>
        <v>63.444108761329296</v>
      </c>
      <c r="G15" s="44">
        <f>28.5+11.1</f>
        <v>39.6</v>
      </c>
      <c r="H15" s="44">
        <f>33.2+11.2</f>
        <v>44.400000000000006</v>
      </c>
      <c r="I15" s="75">
        <f t="shared" si="1"/>
        <v>112.12121212121214</v>
      </c>
      <c r="J15" s="44">
        <f>125.4+101.6</f>
        <v>227</v>
      </c>
      <c r="K15" s="44">
        <f>126.9+105.5</f>
        <v>232.4</v>
      </c>
      <c r="L15" s="75">
        <f t="shared" si="2"/>
        <v>102.37885462555066</v>
      </c>
      <c r="M15" s="89">
        <f t="shared" si="11"/>
        <v>299.7</v>
      </c>
      <c r="N15" s="89">
        <f t="shared" si="12"/>
        <v>297.8</v>
      </c>
      <c r="O15" s="11">
        <f t="shared" si="8"/>
        <v>99.36603269936603</v>
      </c>
      <c r="P15" s="44">
        <f>63.4+39</f>
        <v>102.4</v>
      </c>
      <c r="Q15" s="44">
        <f>60.3+36.2</f>
        <v>96.5</v>
      </c>
      <c r="R15" s="140">
        <f t="shared" si="3"/>
        <v>94.23828125</v>
      </c>
      <c r="S15" s="44">
        <f>99.6</f>
        <v>99.6</v>
      </c>
      <c r="T15" s="44">
        <f>119.3</f>
        <v>119.3</v>
      </c>
      <c r="U15" s="140">
        <f t="shared" si="4"/>
        <v>119.77911646586345</v>
      </c>
      <c r="V15" s="44">
        <v>93.8</v>
      </c>
      <c r="W15" s="44">
        <v>62.2</v>
      </c>
      <c r="X15" s="11">
        <f t="shared" si="5"/>
        <v>66.31130063965885</v>
      </c>
      <c r="Y15" s="89">
        <f t="shared" si="13"/>
        <v>295.8</v>
      </c>
      <c r="Z15" s="89">
        <f t="shared" si="14"/>
        <v>278</v>
      </c>
      <c r="AA15" s="11">
        <f t="shared" si="9"/>
        <v>93.98242055442867</v>
      </c>
      <c r="AB15" s="44">
        <v>31.4</v>
      </c>
      <c r="AC15" s="44">
        <v>48</v>
      </c>
      <c r="AD15" s="11">
        <f t="shared" si="6"/>
        <v>152.86624203821657</v>
      </c>
      <c r="AE15" s="44">
        <f>43.1+39</f>
        <v>82.1</v>
      </c>
      <c r="AF15" s="44">
        <f>43.2+39</f>
        <v>82.2</v>
      </c>
      <c r="AG15" s="11">
        <f t="shared" si="21"/>
        <v>100.12180267965896</v>
      </c>
      <c r="AH15" s="44">
        <v>94.7</v>
      </c>
      <c r="AI15" s="44">
        <v>132.3</v>
      </c>
      <c r="AJ15" s="89">
        <f t="shared" si="15"/>
        <v>208.2</v>
      </c>
      <c r="AK15" s="89">
        <f t="shared" si="16"/>
        <v>262.5</v>
      </c>
      <c r="AL15" s="11">
        <f t="shared" si="20"/>
        <v>126.0806916426513</v>
      </c>
      <c r="AM15" s="44">
        <v>93.7</v>
      </c>
      <c r="AN15" s="44">
        <v>59.2</v>
      </c>
      <c r="AO15" s="72">
        <f t="shared" si="17"/>
        <v>897.4000000000001</v>
      </c>
      <c r="AP15" s="72">
        <f t="shared" si="18"/>
        <v>897.5</v>
      </c>
      <c r="AQ15" s="11">
        <f t="shared" si="7"/>
        <v>100.01114330287497</v>
      </c>
      <c r="AR15" s="72">
        <f t="shared" si="19"/>
        <v>-0.09999999999990905</v>
      </c>
      <c r="AS15" s="18">
        <f t="shared" si="10"/>
        <v>-0.4999999999998863</v>
      </c>
    </row>
    <row r="16" spans="1:45" ht="24.75" customHeight="1">
      <c r="A16" s="13" t="s">
        <v>21</v>
      </c>
      <c r="B16" s="47" t="s">
        <v>98</v>
      </c>
      <c r="C16" s="117">
        <v>-5.8</v>
      </c>
      <c r="D16" s="44">
        <v>4.4</v>
      </c>
      <c r="E16" s="44">
        <v>2.1</v>
      </c>
      <c r="F16" s="11">
        <f t="shared" si="22"/>
        <v>47.72727272727273</v>
      </c>
      <c r="G16" s="44">
        <v>5.4</v>
      </c>
      <c r="H16" s="44">
        <v>5.2</v>
      </c>
      <c r="I16" s="11">
        <f t="shared" si="1"/>
        <v>96.29629629629629</v>
      </c>
      <c r="J16" s="44">
        <v>5</v>
      </c>
      <c r="K16" s="44">
        <v>7.2</v>
      </c>
      <c r="L16" s="11">
        <f t="shared" si="2"/>
        <v>144</v>
      </c>
      <c r="M16" s="89">
        <f t="shared" si="11"/>
        <v>14.8</v>
      </c>
      <c r="N16" s="89">
        <f t="shared" si="12"/>
        <v>14.5</v>
      </c>
      <c r="O16" s="11">
        <f t="shared" si="8"/>
        <v>97.97297297297297</v>
      </c>
      <c r="P16" s="44">
        <v>4.4</v>
      </c>
      <c r="Q16" s="44">
        <v>4.5</v>
      </c>
      <c r="R16" s="11">
        <f t="shared" si="3"/>
        <v>102.27272727272727</v>
      </c>
      <c r="S16" s="44">
        <v>3.9</v>
      </c>
      <c r="T16" s="44">
        <v>3.9</v>
      </c>
      <c r="U16" s="11">
        <f t="shared" si="4"/>
        <v>100</v>
      </c>
      <c r="V16" s="44">
        <v>3.8</v>
      </c>
      <c r="W16" s="44">
        <v>3.8</v>
      </c>
      <c r="X16" s="11">
        <f t="shared" si="5"/>
        <v>100</v>
      </c>
      <c r="Y16" s="89">
        <f t="shared" si="13"/>
        <v>12.100000000000001</v>
      </c>
      <c r="Z16" s="89">
        <f t="shared" si="14"/>
        <v>12.2</v>
      </c>
      <c r="AA16" s="11">
        <f t="shared" si="9"/>
        <v>100.82644628099172</v>
      </c>
      <c r="AB16" s="44">
        <v>4.3</v>
      </c>
      <c r="AC16" s="44">
        <v>4.3</v>
      </c>
      <c r="AD16" s="11">
        <f t="shared" si="6"/>
        <v>100</v>
      </c>
      <c r="AE16" s="44">
        <v>3.7</v>
      </c>
      <c r="AF16" s="44">
        <v>3.6</v>
      </c>
      <c r="AG16" s="11">
        <f t="shared" si="21"/>
        <v>97.29729729729729</v>
      </c>
      <c r="AH16" s="44">
        <v>4.5</v>
      </c>
      <c r="AI16" s="44">
        <v>4.6</v>
      </c>
      <c r="AJ16" s="89">
        <f t="shared" si="15"/>
        <v>12.5</v>
      </c>
      <c r="AK16" s="89">
        <f t="shared" si="16"/>
        <v>12.5</v>
      </c>
      <c r="AL16" s="11">
        <f t="shared" si="20"/>
        <v>100</v>
      </c>
      <c r="AM16" s="44">
        <v>4.4</v>
      </c>
      <c r="AN16" s="44">
        <v>2.7</v>
      </c>
      <c r="AO16" s="72">
        <f t="shared" si="17"/>
        <v>43.800000000000004</v>
      </c>
      <c r="AP16" s="72">
        <f t="shared" si="18"/>
        <v>41.900000000000006</v>
      </c>
      <c r="AQ16" s="11">
        <f t="shared" si="7"/>
        <v>95.66210045662102</v>
      </c>
      <c r="AR16" s="72">
        <f t="shared" si="19"/>
        <v>1.8999999999999986</v>
      </c>
      <c r="AS16" s="18">
        <f t="shared" si="10"/>
        <v>-3.8999999999999986</v>
      </c>
    </row>
    <row r="17" spans="1:45" ht="24.75" customHeight="1">
      <c r="A17" s="13" t="s">
        <v>22</v>
      </c>
      <c r="B17" s="15" t="s">
        <v>99</v>
      </c>
      <c r="C17" s="117">
        <f>10.7</f>
        <v>10.7</v>
      </c>
      <c r="D17" s="44">
        <f>0.4+12.6</f>
        <v>13</v>
      </c>
      <c r="E17" s="44">
        <v>0.4</v>
      </c>
      <c r="F17" s="11">
        <f t="shared" si="22"/>
        <v>3.076923076923077</v>
      </c>
      <c r="G17" s="44">
        <f>20.7+15.8</f>
        <v>36.5</v>
      </c>
      <c r="H17" s="44">
        <f>20.7+7.7</f>
        <v>28.4</v>
      </c>
      <c r="I17" s="11">
        <f t="shared" si="1"/>
        <v>77.80821917808218</v>
      </c>
      <c r="J17" s="44">
        <f>14+33.3</f>
        <v>47.3</v>
      </c>
      <c r="K17" s="44">
        <f>20.1+33.3</f>
        <v>53.4</v>
      </c>
      <c r="L17" s="11">
        <f t="shared" si="2"/>
        <v>112.89640591966175</v>
      </c>
      <c r="M17" s="89">
        <f t="shared" si="11"/>
        <v>96.8</v>
      </c>
      <c r="N17" s="89">
        <f t="shared" si="12"/>
        <v>82.19999999999999</v>
      </c>
      <c r="O17" s="11">
        <f t="shared" si="8"/>
        <v>84.91735537190081</v>
      </c>
      <c r="P17" s="44">
        <f>29.1+15.5</f>
        <v>44.6</v>
      </c>
      <c r="Q17" s="44">
        <f>29.1+13.8</f>
        <v>42.900000000000006</v>
      </c>
      <c r="R17" s="11">
        <f t="shared" si="3"/>
        <v>96.1883408071749</v>
      </c>
      <c r="S17" s="44">
        <f>14.9+34.9</f>
        <v>49.8</v>
      </c>
      <c r="T17" s="44">
        <f>13.8+34.9</f>
        <v>48.7</v>
      </c>
      <c r="U17" s="11">
        <f t="shared" si="4"/>
        <v>97.79116465863454</v>
      </c>
      <c r="V17" s="44">
        <f>14.3+27.4</f>
        <v>41.7</v>
      </c>
      <c r="W17" s="44">
        <f>16.4+27.4</f>
        <v>43.8</v>
      </c>
      <c r="X17" s="11">
        <f t="shared" si="5"/>
        <v>105.03597122302158</v>
      </c>
      <c r="Y17" s="89">
        <f t="shared" si="13"/>
        <v>136.10000000000002</v>
      </c>
      <c r="Z17" s="89">
        <f t="shared" si="14"/>
        <v>135.4</v>
      </c>
      <c r="AA17" s="11">
        <f t="shared" si="9"/>
        <v>99.48567229977957</v>
      </c>
      <c r="AB17" s="44">
        <f>3.6+72+5.9</f>
        <v>81.5</v>
      </c>
      <c r="AC17" s="44">
        <f>13+72</f>
        <v>85</v>
      </c>
      <c r="AD17" s="11">
        <f t="shared" si="6"/>
        <v>104.29447852760735</v>
      </c>
      <c r="AE17" s="44">
        <f>1+17.4+9.4</f>
        <v>27.799999999999997</v>
      </c>
      <c r="AF17" s="44">
        <f>5.5+17.4</f>
        <v>22.9</v>
      </c>
      <c r="AG17" s="11">
        <f>AF17/AE17*100</f>
        <v>82.37410071942446</v>
      </c>
      <c r="AH17" s="44">
        <f>0.1+12.4+13.7</f>
        <v>26.2</v>
      </c>
      <c r="AI17" s="44">
        <f>0.9+12.4</f>
        <v>13.3</v>
      </c>
      <c r="AJ17" s="89">
        <f t="shared" si="15"/>
        <v>135.5</v>
      </c>
      <c r="AK17" s="89">
        <f t="shared" si="16"/>
        <v>121.2</v>
      </c>
      <c r="AL17" s="11">
        <f t="shared" si="20"/>
        <v>89.44649446494465</v>
      </c>
      <c r="AM17" s="44">
        <v>13.4</v>
      </c>
      <c r="AN17" s="44">
        <v>29</v>
      </c>
      <c r="AO17" s="72">
        <f t="shared" si="17"/>
        <v>381.8</v>
      </c>
      <c r="AP17" s="72">
        <f t="shared" si="18"/>
        <v>367.8</v>
      </c>
      <c r="AQ17" s="11">
        <f t="shared" si="7"/>
        <v>96.33315872184389</v>
      </c>
      <c r="AR17" s="72">
        <f t="shared" si="19"/>
        <v>14</v>
      </c>
      <c r="AS17" s="18">
        <f t="shared" si="10"/>
        <v>24.69999999999999</v>
      </c>
    </row>
    <row r="18" spans="1:45" ht="24.75" customHeight="1">
      <c r="A18" s="13" t="s">
        <v>23</v>
      </c>
      <c r="B18" s="15" t="s">
        <v>100</v>
      </c>
      <c r="C18" s="108">
        <v>1.6</v>
      </c>
      <c r="D18" s="44">
        <v>28.5</v>
      </c>
      <c r="E18" s="44">
        <v>11.9</v>
      </c>
      <c r="F18" s="11">
        <f t="shared" si="22"/>
        <v>41.75438596491228</v>
      </c>
      <c r="G18" s="44">
        <v>37.7</v>
      </c>
      <c r="H18" s="44">
        <v>53</v>
      </c>
      <c r="I18" s="11">
        <f t="shared" si="1"/>
        <v>140.58355437665782</v>
      </c>
      <c r="J18" s="44">
        <v>46</v>
      </c>
      <c r="K18" s="44">
        <v>47.3</v>
      </c>
      <c r="L18" s="11">
        <f t="shared" si="2"/>
        <v>102.82608695652173</v>
      </c>
      <c r="M18" s="89">
        <f t="shared" si="11"/>
        <v>112.2</v>
      </c>
      <c r="N18" s="89">
        <f t="shared" si="12"/>
        <v>112.2</v>
      </c>
      <c r="O18" s="11">
        <f t="shared" si="8"/>
        <v>100</v>
      </c>
      <c r="P18" s="44">
        <v>33.5</v>
      </c>
      <c r="Q18" s="44">
        <v>33.5</v>
      </c>
      <c r="R18" s="11">
        <f t="shared" si="3"/>
        <v>100</v>
      </c>
      <c r="S18" s="44">
        <v>32.9</v>
      </c>
      <c r="T18" s="44">
        <v>34.5</v>
      </c>
      <c r="U18" s="11">
        <f t="shared" si="4"/>
        <v>104.86322188449849</v>
      </c>
      <c r="V18" s="44">
        <v>45</v>
      </c>
      <c r="W18" s="44">
        <v>45.1</v>
      </c>
      <c r="X18" s="11">
        <f t="shared" si="5"/>
        <v>100.22222222222223</v>
      </c>
      <c r="Y18" s="89">
        <f t="shared" si="13"/>
        <v>111.4</v>
      </c>
      <c r="Z18" s="89">
        <f t="shared" si="14"/>
        <v>113.1</v>
      </c>
      <c r="AA18" s="11">
        <f t="shared" si="9"/>
        <v>101.52603231597845</v>
      </c>
      <c r="AB18" s="44">
        <v>40.6</v>
      </c>
      <c r="AC18" s="44">
        <v>35</v>
      </c>
      <c r="AD18" s="11">
        <f t="shared" si="6"/>
        <v>86.20689655172413</v>
      </c>
      <c r="AE18" s="44">
        <v>30.2</v>
      </c>
      <c r="AF18" s="44">
        <v>29.4</v>
      </c>
      <c r="AG18" s="11">
        <f t="shared" si="21"/>
        <v>97.35099337748345</v>
      </c>
      <c r="AH18" s="44">
        <v>28.7</v>
      </c>
      <c r="AI18" s="44">
        <v>34.2</v>
      </c>
      <c r="AJ18" s="89">
        <f t="shared" si="15"/>
        <v>99.5</v>
      </c>
      <c r="AK18" s="89">
        <f t="shared" si="16"/>
        <v>98.60000000000001</v>
      </c>
      <c r="AL18" s="11">
        <f t="shared" si="20"/>
        <v>99.09547738693469</v>
      </c>
      <c r="AM18" s="44">
        <v>29.9</v>
      </c>
      <c r="AN18" s="44">
        <v>28.7</v>
      </c>
      <c r="AO18" s="72">
        <f t="shared" si="17"/>
        <v>353</v>
      </c>
      <c r="AP18" s="72">
        <f t="shared" si="18"/>
        <v>352.6</v>
      </c>
      <c r="AQ18" s="11">
        <f t="shared" si="7"/>
        <v>99.88668555240794</v>
      </c>
      <c r="AR18" s="72">
        <f t="shared" si="19"/>
        <v>0.39999999999997726</v>
      </c>
      <c r="AS18" s="18">
        <f t="shared" si="10"/>
        <v>2</v>
      </c>
    </row>
    <row r="19" spans="1:45" ht="24.75" customHeight="1">
      <c r="A19" s="13" t="s">
        <v>24</v>
      </c>
      <c r="B19" s="47" t="s">
        <v>101</v>
      </c>
      <c r="C19" s="108">
        <v>5.8</v>
      </c>
      <c r="D19" s="44">
        <v>55.3</v>
      </c>
      <c r="E19" s="44">
        <v>35.8</v>
      </c>
      <c r="F19" s="67">
        <f t="shared" si="22"/>
        <v>64.7377938517179</v>
      </c>
      <c r="G19" s="44">
        <v>64.3</v>
      </c>
      <c r="H19" s="44">
        <v>89.6</v>
      </c>
      <c r="I19" s="75">
        <f t="shared" si="1"/>
        <v>139.34681181959564</v>
      </c>
      <c r="J19" s="44">
        <v>58.2</v>
      </c>
      <c r="K19" s="44">
        <v>57.9</v>
      </c>
      <c r="L19" s="75">
        <f t="shared" si="2"/>
        <v>99.48453608247422</v>
      </c>
      <c r="M19" s="89">
        <f t="shared" si="11"/>
        <v>177.8</v>
      </c>
      <c r="N19" s="89">
        <f t="shared" si="12"/>
        <v>183.29999999999998</v>
      </c>
      <c r="O19" s="11">
        <f t="shared" si="8"/>
        <v>103.09336332958378</v>
      </c>
      <c r="P19" s="44">
        <v>61.4</v>
      </c>
      <c r="Q19" s="44">
        <v>61.1</v>
      </c>
      <c r="R19" s="140">
        <f t="shared" si="3"/>
        <v>99.51140065146579</v>
      </c>
      <c r="S19" s="44">
        <v>78.3</v>
      </c>
      <c r="T19" s="44">
        <v>78.6</v>
      </c>
      <c r="U19" s="140">
        <f t="shared" si="4"/>
        <v>100.38314176245211</v>
      </c>
      <c r="V19" s="44">
        <v>80</v>
      </c>
      <c r="W19" s="44">
        <v>79.6</v>
      </c>
      <c r="X19" s="11">
        <f t="shared" si="5"/>
        <v>99.49999999999999</v>
      </c>
      <c r="Y19" s="89">
        <f t="shared" si="13"/>
        <v>219.7</v>
      </c>
      <c r="Z19" s="89">
        <f t="shared" si="14"/>
        <v>219.29999999999998</v>
      </c>
      <c r="AA19" s="11">
        <f t="shared" si="9"/>
        <v>99.8179335457442</v>
      </c>
      <c r="AB19" s="44">
        <v>75</v>
      </c>
      <c r="AC19" s="44">
        <v>75.7</v>
      </c>
      <c r="AD19" s="11">
        <f t="shared" si="6"/>
        <v>100.93333333333334</v>
      </c>
      <c r="AE19" s="44">
        <v>73.3</v>
      </c>
      <c r="AF19" s="44">
        <v>73.1</v>
      </c>
      <c r="AG19" s="141">
        <f t="shared" si="21"/>
        <v>99.72714870395633</v>
      </c>
      <c r="AH19" s="44">
        <v>80.8</v>
      </c>
      <c r="AI19" s="44">
        <v>78.1</v>
      </c>
      <c r="AJ19" s="89">
        <f t="shared" si="15"/>
        <v>229.10000000000002</v>
      </c>
      <c r="AK19" s="89">
        <f t="shared" si="16"/>
        <v>226.9</v>
      </c>
      <c r="AL19" s="11">
        <f t="shared" si="20"/>
        <v>99.0397206460061</v>
      </c>
      <c r="AM19" s="44">
        <v>133.7</v>
      </c>
      <c r="AN19" s="44">
        <v>125.8</v>
      </c>
      <c r="AO19" s="72">
        <f t="shared" si="17"/>
        <v>760.3</v>
      </c>
      <c r="AP19" s="72">
        <f t="shared" si="18"/>
        <v>755.3</v>
      </c>
      <c r="AQ19" s="11">
        <f t="shared" si="7"/>
        <v>99.3423648559779</v>
      </c>
      <c r="AR19" s="72">
        <f t="shared" si="19"/>
        <v>5</v>
      </c>
      <c r="AS19" s="18">
        <f t="shared" si="10"/>
        <v>10.799999999999955</v>
      </c>
    </row>
    <row r="20" spans="1:45" ht="24.75" customHeight="1">
      <c r="A20" s="13" t="s">
        <v>25</v>
      </c>
      <c r="B20" s="15" t="s">
        <v>102</v>
      </c>
      <c r="C20" s="118">
        <v>0</v>
      </c>
      <c r="D20" s="44">
        <v>0</v>
      </c>
      <c r="E20" s="44">
        <v>0</v>
      </c>
      <c r="F20" s="11" t="e">
        <f t="shared" si="22"/>
        <v>#DIV/0!</v>
      </c>
      <c r="G20" s="44">
        <v>9.5</v>
      </c>
      <c r="H20" s="44">
        <v>9.5</v>
      </c>
      <c r="I20" s="75">
        <f t="shared" si="1"/>
        <v>100</v>
      </c>
      <c r="J20" s="44">
        <v>11.7</v>
      </c>
      <c r="K20" s="44">
        <v>11.7</v>
      </c>
      <c r="L20" s="75">
        <f t="shared" si="2"/>
        <v>100</v>
      </c>
      <c r="M20" s="89">
        <f t="shared" si="11"/>
        <v>21.2</v>
      </c>
      <c r="N20" s="89">
        <f t="shared" si="12"/>
        <v>21.2</v>
      </c>
      <c r="O20" s="11">
        <f t="shared" si="8"/>
        <v>100</v>
      </c>
      <c r="P20" s="44">
        <v>4.4</v>
      </c>
      <c r="Q20" s="44">
        <v>4.4</v>
      </c>
      <c r="R20" s="140">
        <f t="shared" si="3"/>
        <v>100</v>
      </c>
      <c r="S20" s="44">
        <v>20.2</v>
      </c>
      <c r="T20" s="44">
        <v>20.2</v>
      </c>
      <c r="U20" s="140">
        <f t="shared" si="4"/>
        <v>100</v>
      </c>
      <c r="V20" s="44">
        <v>7.1</v>
      </c>
      <c r="W20" s="44">
        <v>7.1</v>
      </c>
      <c r="X20" s="11">
        <f t="shared" si="5"/>
        <v>100</v>
      </c>
      <c r="Y20" s="89">
        <f t="shared" si="13"/>
        <v>31.700000000000003</v>
      </c>
      <c r="Z20" s="89">
        <f t="shared" si="14"/>
        <v>31.700000000000003</v>
      </c>
      <c r="AA20" s="11">
        <f t="shared" si="9"/>
        <v>100</v>
      </c>
      <c r="AB20" s="44">
        <v>11.5</v>
      </c>
      <c r="AC20" s="44">
        <v>11.5</v>
      </c>
      <c r="AD20" s="11">
        <f t="shared" si="6"/>
        <v>100</v>
      </c>
      <c r="AE20" s="44">
        <v>16.8</v>
      </c>
      <c r="AF20" s="44">
        <v>16.8</v>
      </c>
      <c r="AG20" s="11">
        <f t="shared" si="21"/>
        <v>100</v>
      </c>
      <c r="AH20" s="44">
        <v>13.1</v>
      </c>
      <c r="AI20" s="44">
        <v>13.1</v>
      </c>
      <c r="AJ20" s="89">
        <f t="shared" si="15"/>
        <v>41.4</v>
      </c>
      <c r="AK20" s="89">
        <f t="shared" si="16"/>
        <v>41.4</v>
      </c>
      <c r="AL20" s="11">
        <f t="shared" si="20"/>
        <v>100</v>
      </c>
      <c r="AM20" s="44">
        <v>24.8</v>
      </c>
      <c r="AN20" s="44">
        <v>24.8</v>
      </c>
      <c r="AO20" s="72">
        <f t="shared" si="17"/>
        <v>119.10000000000001</v>
      </c>
      <c r="AP20" s="72">
        <f t="shared" si="18"/>
        <v>119.10000000000001</v>
      </c>
      <c r="AQ20" s="11">
        <f t="shared" si="7"/>
        <v>100</v>
      </c>
      <c r="AR20" s="72">
        <f t="shared" si="19"/>
        <v>0</v>
      </c>
      <c r="AS20" s="18">
        <f t="shared" si="10"/>
        <v>0</v>
      </c>
    </row>
    <row r="21" spans="1:45" ht="24.75" customHeight="1">
      <c r="A21" s="13" t="s">
        <v>26</v>
      </c>
      <c r="B21" s="56" t="s">
        <v>103</v>
      </c>
      <c r="C21" s="114">
        <v>0</v>
      </c>
      <c r="D21" s="44">
        <v>1.4</v>
      </c>
      <c r="E21" s="44">
        <v>0.2</v>
      </c>
      <c r="F21" s="94">
        <f t="shared" si="22"/>
        <v>14.285714285714288</v>
      </c>
      <c r="G21" s="44">
        <v>2.3</v>
      </c>
      <c r="H21" s="44">
        <v>3.5</v>
      </c>
      <c r="I21" s="75">
        <f t="shared" si="1"/>
        <v>152.17391304347828</v>
      </c>
      <c r="J21" s="44">
        <v>1.1</v>
      </c>
      <c r="K21" s="44">
        <v>1.1</v>
      </c>
      <c r="L21" s="75">
        <f t="shared" si="2"/>
        <v>100</v>
      </c>
      <c r="M21" s="89">
        <f t="shared" si="11"/>
        <v>4.8</v>
      </c>
      <c r="N21" s="89">
        <f t="shared" si="12"/>
        <v>4.800000000000001</v>
      </c>
      <c r="O21" s="11">
        <f t="shared" si="8"/>
        <v>100.00000000000003</v>
      </c>
      <c r="P21" s="44">
        <v>1.9</v>
      </c>
      <c r="Q21" s="44">
        <v>1.9</v>
      </c>
      <c r="R21" s="140">
        <f t="shared" si="3"/>
        <v>100</v>
      </c>
      <c r="S21" s="44">
        <v>2.5</v>
      </c>
      <c r="T21" s="44">
        <v>2.5</v>
      </c>
      <c r="U21" s="140">
        <f t="shared" si="4"/>
        <v>100</v>
      </c>
      <c r="V21" s="44">
        <v>2.5</v>
      </c>
      <c r="W21" s="44">
        <v>2.5</v>
      </c>
      <c r="X21" s="11">
        <f t="shared" si="5"/>
        <v>100</v>
      </c>
      <c r="Y21" s="89">
        <f t="shared" si="13"/>
        <v>6.9</v>
      </c>
      <c r="Z21" s="89">
        <f t="shared" si="14"/>
        <v>6.9</v>
      </c>
      <c r="AA21" s="11">
        <f t="shared" si="9"/>
        <v>100</v>
      </c>
      <c r="AB21" s="44">
        <v>1.1</v>
      </c>
      <c r="AC21" s="44">
        <v>1.1</v>
      </c>
      <c r="AD21" s="11">
        <f t="shared" si="6"/>
        <v>100</v>
      </c>
      <c r="AE21" s="44">
        <v>1.6</v>
      </c>
      <c r="AF21" s="44">
        <v>1.6</v>
      </c>
      <c r="AG21" s="11">
        <f t="shared" si="21"/>
        <v>100</v>
      </c>
      <c r="AH21" s="44">
        <v>1.7</v>
      </c>
      <c r="AI21" s="44">
        <v>1.7</v>
      </c>
      <c r="AJ21" s="89">
        <f t="shared" si="15"/>
        <v>4.4</v>
      </c>
      <c r="AK21" s="89">
        <f t="shared" si="16"/>
        <v>4.4</v>
      </c>
      <c r="AL21" s="11">
        <f t="shared" si="20"/>
        <v>100</v>
      </c>
      <c r="AM21" s="44">
        <v>2.6</v>
      </c>
      <c r="AN21" s="44">
        <v>2.6</v>
      </c>
      <c r="AO21" s="72">
        <f t="shared" si="17"/>
        <v>18.700000000000003</v>
      </c>
      <c r="AP21" s="72">
        <f t="shared" si="18"/>
        <v>18.700000000000003</v>
      </c>
      <c r="AQ21" s="11">
        <f t="shared" si="7"/>
        <v>100</v>
      </c>
      <c r="AR21" s="72">
        <f t="shared" si="19"/>
        <v>0</v>
      </c>
      <c r="AS21" s="18">
        <f t="shared" si="10"/>
        <v>0</v>
      </c>
    </row>
    <row r="22" spans="1:45" ht="24" customHeight="1">
      <c r="A22" s="13" t="s">
        <v>27</v>
      </c>
      <c r="B22" s="15" t="s">
        <v>104</v>
      </c>
      <c r="C22" s="119">
        <v>0</v>
      </c>
      <c r="D22" s="44">
        <v>4.5</v>
      </c>
      <c r="E22" s="44">
        <v>4.5</v>
      </c>
      <c r="F22" s="11">
        <f t="shared" si="22"/>
        <v>100</v>
      </c>
      <c r="G22" s="44">
        <v>9.1</v>
      </c>
      <c r="H22" s="44">
        <v>9.1</v>
      </c>
      <c r="I22" s="75">
        <f t="shared" si="1"/>
        <v>100</v>
      </c>
      <c r="J22" s="44">
        <v>8.5</v>
      </c>
      <c r="K22" s="44">
        <v>8.5</v>
      </c>
      <c r="L22" s="75">
        <f t="shared" si="2"/>
        <v>100</v>
      </c>
      <c r="M22" s="89">
        <f t="shared" si="11"/>
        <v>22.1</v>
      </c>
      <c r="N22" s="89">
        <f t="shared" si="12"/>
        <v>22.1</v>
      </c>
      <c r="O22" s="11">
        <f t="shared" si="8"/>
        <v>100</v>
      </c>
      <c r="P22" s="44">
        <v>17.9</v>
      </c>
      <c r="Q22" s="44">
        <v>17.9</v>
      </c>
      <c r="R22" s="140">
        <f t="shared" si="3"/>
        <v>100</v>
      </c>
      <c r="S22" s="44">
        <v>8.7</v>
      </c>
      <c r="T22" s="44">
        <v>8.7</v>
      </c>
      <c r="U22" s="140">
        <f t="shared" si="4"/>
        <v>100</v>
      </c>
      <c r="V22" s="44">
        <v>0.6</v>
      </c>
      <c r="W22" s="44">
        <v>0.2</v>
      </c>
      <c r="X22" s="11">
        <f t="shared" si="5"/>
        <v>33.333333333333336</v>
      </c>
      <c r="Y22" s="89">
        <f t="shared" si="13"/>
        <v>27.2</v>
      </c>
      <c r="Z22" s="89">
        <f t="shared" si="14"/>
        <v>26.799999999999997</v>
      </c>
      <c r="AA22" s="11">
        <f t="shared" si="9"/>
        <v>98.52941176470587</v>
      </c>
      <c r="AB22" s="44">
        <v>5.2</v>
      </c>
      <c r="AC22" s="44">
        <v>4.9</v>
      </c>
      <c r="AD22" s="11">
        <f t="shared" si="6"/>
        <v>94.23076923076923</v>
      </c>
      <c r="AE22" s="44">
        <v>10</v>
      </c>
      <c r="AF22" s="44">
        <v>10.7</v>
      </c>
      <c r="AG22" s="142">
        <f t="shared" si="21"/>
        <v>106.99999999999999</v>
      </c>
      <c r="AH22" s="44">
        <v>12.5</v>
      </c>
      <c r="AI22" s="44">
        <v>12.5</v>
      </c>
      <c r="AJ22" s="89">
        <f t="shared" si="15"/>
        <v>27.7</v>
      </c>
      <c r="AK22" s="89">
        <f t="shared" si="16"/>
        <v>28.1</v>
      </c>
      <c r="AL22" s="11">
        <f t="shared" si="20"/>
        <v>101.44404332129963</v>
      </c>
      <c r="AM22" s="44">
        <v>9.5</v>
      </c>
      <c r="AN22" s="44">
        <v>9.5</v>
      </c>
      <c r="AO22" s="72">
        <f t="shared" si="17"/>
        <v>86.5</v>
      </c>
      <c r="AP22" s="72">
        <f t="shared" si="18"/>
        <v>86.5</v>
      </c>
      <c r="AQ22" s="11">
        <f t="shared" si="7"/>
        <v>100</v>
      </c>
      <c r="AR22" s="72">
        <f t="shared" si="19"/>
        <v>0</v>
      </c>
      <c r="AS22" s="18">
        <f t="shared" si="10"/>
        <v>0</v>
      </c>
    </row>
    <row r="23" spans="1:45" ht="24.75" customHeight="1">
      <c r="A23" s="13" t="s">
        <v>28</v>
      </c>
      <c r="B23" s="15" t="s">
        <v>125</v>
      </c>
      <c r="C23" s="108">
        <v>1.8</v>
      </c>
      <c r="D23" s="44">
        <v>2.2</v>
      </c>
      <c r="E23" s="44">
        <v>1</v>
      </c>
      <c r="F23" s="11">
        <f t="shared" si="22"/>
        <v>45.45454545454545</v>
      </c>
      <c r="G23" s="44">
        <v>2.9</v>
      </c>
      <c r="H23" s="44">
        <v>2.9</v>
      </c>
      <c r="I23" s="11">
        <f t="shared" si="1"/>
        <v>100</v>
      </c>
      <c r="J23" s="44">
        <v>2.5</v>
      </c>
      <c r="K23" s="44">
        <v>2.3</v>
      </c>
      <c r="L23" s="11">
        <f t="shared" si="2"/>
        <v>92</v>
      </c>
      <c r="M23" s="89">
        <f t="shared" si="11"/>
        <v>7.6</v>
      </c>
      <c r="N23" s="89">
        <f t="shared" si="12"/>
        <v>6.199999999999999</v>
      </c>
      <c r="O23" s="11">
        <f t="shared" si="8"/>
        <v>81.57894736842105</v>
      </c>
      <c r="P23" s="44">
        <v>2.9</v>
      </c>
      <c r="Q23" s="44">
        <v>2.9</v>
      </c>
      <c r="R23" s="11">
        <f t="shared" si="3"/>
        <v>100</v>
      </c>
      <c r="S23" s="44">
        <v>2.4</v>
      </c>
      <c r="T23" s="44">
        <v>2.6</v>
      </c>
      <c r="U23" s="11">
        <f t="shared" si="4"/>
        <v>108.33333333333334</v>
      </c>
      <c r="V23" s="44">
        <v>3</v>
      </c>
      <c r="W23" s="44">
        <v>2.7</v>
      </c>
      <c r="X23" s="11">
        <f t="shared" si="5"/>
        <v>90</v>
      </c>
      <c r="Y23" s="89">
        <f t="shared" si="13"/>
        <v>8.3</v>
      </c>
      <c r="Z23" s="89">
        <f t="shared" si="14"/>
        <v>8.2</v>
      </c>
      <c r="AA23" s="11">
        <f t="shared" si="9"/>
        <v>98.79518072289156</v>
      </c>
      <c r="AB23" s="44">
        <v>2</v>
      </c>
      <c r="AC23" s="44">
        <v>3</v>
      </c>
      <c r="AD23" s="11">
        <f t="shared" si="6"/>
        <v>150</v>
      </c>
      <c r="AE23" s="44">
        <v>1.9</v>
      </c>
      <c r="AF23" s="44">
        <v>2</v>
      </c>
      <c r="AG23" s="142">
        <f t="shared" si="21"/>
        <v>105.26315789473684</v>
      </c>
      <c r="AH23" s="44">
        <v>5.1</v>
      </c>
      <c r="AI23" s="44">
        <v>4</v>
      </c>
      <c r="AJ23" s="89">
        <f t="shared" si="15"/>
        <v>9</v>
      </c>
      <c r="AK23" s="89">
        <f t="shared" si="16"/>
        <v>9</v>
      </c>
      <c r="AL23" s="11">
        <f t="shared" si="20"/>
        <v>100</v>
      </c>
      <c r="AM23" s="44">
        <v>3.2</v>
      </c>
      <c r="AN23" s="44">
        <v>3.2</v>
      </c>
      <c r="AO23" s="72">
        <f t="shared" si="17"/>
        <v>28.099999999999998</v>
      </c>
      <c r="AP23" s="72">
        <f t="shared" si="18"/>
        <v>26.599999999999998</v>
      </c>
      <c r="AQ23" s="11">
        <f t="shared" si="7"/>
        <v>94.66192170818505</v>
      </c>
      <c r="AR23" s="72">
        <f t="shared" si="19"/>
        <v>1.5</v>
      </c>
      <c r="AS23" s="18">
        <f t="shared" si="10"/>
        <v>3.3000000000000007</v>
      </c>
    </row>
    <row r="24" spans="1:45" ht="24.75" customHeight="1">
      <c r="A24" s="13" t="s">
        <v>29</v>
      </c>
      <c r="B24" s="15" t="s">
        <v>105</v>
      </c>
      <c r="C24" s="108">
        <v>0</v>
      </c>
      <c r="D24" s="44">
        <v>58.6</v>
      </c>
      <c r="E24" s="44">
        <v>29.8</v>
      </c>
      <c r="F24" s="11">
        <f>E24/D24*100</f>
        <v>50.85324232081911</v>
      </c>
      <c r="G24" s="44">
        <v>64.9</v>
      </c>
      <c r="H24" s="44">
        <v>65.6</v>
      </c>
      <c r="I24" s="11">
        <f t="shared" si="1"/>
        <v>101.07858243451462</v>
      </c>
      <c r="J24" s="44">
        <v>64.3</v>
      </c>
      <c r="K24" s="44">
        <v>92.4</v>
      </c>
      <c r="L24" s="11">
        <f t="shared" si="2"/>
        <v>143.70139968895802</v>
      </c>
      <c r="M24" s="89">
        <f t="shared" si="11"/>
        <v>187.8</v>
      </c>
      <c r="N24" s="89">
        <f t="shared" si="12"/>
        <v>187.8</v>
      </c>
      <c r="O24" s="11">
        <f t="shared" si="8"/>
        <v>100</v>
      </c>
      <c r="P24" s="44">
        <v>64</v>
      </c>
      <c r="Q24" s="44">
        <v>64</v>
      </c>
      <c r="R24" s="11">
        <f t="shared" si="3"/>
        <v>100</v>
      </c>
      <c r="S24" s="44">
        <v>60.7</v>
      </c>
      <c r="T24" s="44">
        <v>60.7</v>
      </c>
      <c r="U24" s="11">
        <f t="shared" si="4"/>
        <v>100</v>
      </c>
      <c r="V24" s="44">
        <v>8.2</v>
      </c>
      <c r="W24" s="44">
        <v>8.2</v>
      </c>
      <c r="X24" s="11">
        <f t="shared" si="5"/>
        <v>100</v>
      </c>
      <c r="Y24" s="89">
        <f t="shared" si="13"/>
        <v>132.9</v>
      </c>
      <c r="Z24" s="89">
        <f t="shared" si="14"/>
        <v>132.9</v>
      </c>
      <c r="AA24" s="11">
        <f t="shared" si="9"/>
        <v>100</v>
      </c>
      <c r="AB24" s="44">
        <v>49.6</v>
      </c>
      <c r="AC24" s="44">
        <v>49.3</v>
      </c>
      <c r="AD24" s="11">
        <f t="shared" si="6"/>
        <v>99.39516129032258</v>
      </c>
      <c r="AE24" s="44">
        <v>48</v>
      </c>
      <c r="AF24" s="44">
        <v>48.3</v>
      </c>
      <c r="AG24" s="142">
        <f t="shared" si="21"/>
        <v>100.62499999999999</v>
      </c>
      <c r="AH24" s="44">
        <v>61.9</v>
      </c>
      <c r="AI24" s="44">
        <v>61.9</v>
      </c>
      <c r="AJ24" s="89">
        <f t="shared" si="15"/>
        <v>159.5</v>
      </c>
      <c r="AK24" s="89">
        <f t="shared" si="16"/>
        <v>159.5</v>
      </c>
      <c r="AL24" s="11">
        <f t="shared" si="20"/>
        <v>100</v>
      </c>
      <c r="AM24" s="44">
        <v>60.2</v>
      </c>
      <c r="AN24" s="44">
        <v>60.2</v>
      </c>
      <c r="AO24" s="72">
        <f t="shared" si="17"/>
        <v>540.4000000000001</v>
      </c>
      <c r="AP24" s="72">
        <f t="shared" si="18"/>
        <v>540.4000000000001</v>
      </c>
      <c r="AQ24" s="11">
        <f t="shared" si="7"/>
        <v>100</v>
      </c>
      <c r="AR24" s="72">
        <f t="shared" si="19"/>
        <v>0</v>
      </c>
      <c r="AS24" s="18">
        <f t="shared" si="10"/>
        <v>0</v>
      </c>
    </row>
    <row r="25" spans="1:45" ht="24.75" customHeight="1">
      <c r="A25" s="13" t="s">
        <v>30</v>
      </c>
      <c r="B25" s="47" t="s">
        <v>106</v>
      </c>
      <c r="C25" s="108">
        <v>-0.1</v>
      </c>
      <c r="D25" s="44">
        <v>45.3</v>
      </c>
      <c r="E25" s="44">
        <v>2.2</v>
      </c>
      <c r="F25" s="11">
        <f>E25/D25*100</f>
        <v>4.856512141280354</v>
      </c>
      <c r="G25" s="44">
        <v>55.9</v>
      </c>
      <c r="H25" s="44">
        <v>68.3</v>
      </c>
      <c r="I25" s="11">
        <f t="shared" si="1"/>
        <v>122.18246869409658</v>
      </c>
      <c r="J25" s="44">
        <v>50.3</v>
      </c>
      <c r="K25" s="44">
        <v>44.9</v>
      </c>
      <c r="L25" s="11">
        <f t="shared" si="2"/>
        <v>89.26441351888668</v>
      </c>
      <c r="M25" s="89">
        <f t="shared" si="11"/>
        <v>151.5</v>
      </c>
      <c r="N25" s="89">
        <f t="shared" si="12"/>
        <v>115.4</v>
      </c>
      <c r="O25" s="11">
        <f t="shared" si="8"/>
        <v>76.17161716171617</v>
      </c>
      <c r="P25" s="44">
        <v>50</v>
      </c>
      <c r="Q25" s="44">
        <v>50.3</v>
      </c>
      <c r="R25" s="11">
        <f t="shared" si="3"/>
        <v>100.6</v>
      </c>
      <c r="S25" s="44">
        <v>58.7</v>
      </c>
      <c r="T25" s="44">
        <v>50.1</v>
      </c>
      <c r="U25" s="11">
        <f t="shared" si="4"/>
        <v>85.34923339011925</v>
      </c>
      <c r="V25" s="44">
        <v>49.3</v>
      </c>
      <c r="W25" s="44">
        <v>51.6</v>
      </c>
      <c r="X25" s="11">
        <f t="shared" si="5"/>
        <v>104.66531440162272</v>
      </c>
      <c r="Y25" s="89">
        <f t="shared" si="13"/>
        <v>158</v>
      </c>
      <c r="Z25" s="89">
        <f t="shared" si="14"/>
        <v>152</v>
      </c>
      <c r="AA25" s="11">
        <f t="shared" si="9"/>
        <v>96.20253164556962</v>
      </c>
      <c r="AB25" s="44">
        <v>38.7</v>
      </c>
      <c r="AC25" s="44">
        <v>47.9</v>
      </c>
      <c r="AD25" s="11">
        <f t="shared" si="6"/>
        <v>123.77260981912144</v>
      </c>
      <c r="AE25" s="44">
        <v>43.1</v>
      </c>
      <c r="AF25" s="44">
        <v>39.2</v>
      </c>
      <c r="AG25" s="11">
        <f>AF25/AE25*100</f>
        <v>90.95127610208817</v>
      </c>
      <c r="AH25" s="44">
        <v>57.1</v>
      </c>
      <c r="AI25" s="44">
        <v>44.2</v>
      </c>
      <c r="AJ25" s="89">
        <f t="shared" si="15"/>
        <v>138.9</v>
      </c>
      <c r="AK25" s="89">
        <f t="shared" si="16"/>
        <v>131.3</v>
      </c>
      <c r="AL25" s="11">
        <f t="shared" si="20"/>
        <v>94.52843772498201</v>
      </c>
      <c r="AM25" s="44">
        <v>55.8</v>
      </c>
      <c r="AN25" s="44">
        <v>57.2</v>
      </c>
      <c r="AO25" s="72">
        <f t="shared" si="17"/>
        <v>504.2</v>
      </c>
      <c r="AP25" s="72">
        <f t="shared" si="18"/>
        <v>455.9</v>
      </c>
      <c r="AQ25" s="11">
        <f t="shared" si="7"/>
        <v>90.4204680682269</v>
      </c>
      <c r="AR25" s="72">
        <f t="shared" si="19"/>
        <v>48.30000000000001</v>
      </c>
      <c r="AS25" s="18">
        <f t="shared" si="10"/>
        <v>48.19999999999999</v>
      </c>
    </row>
    <row r="26" spans="1:45" ht="24.75" customHeight="1">
      <c r="A26" s="13" t="s">
        <v>31</v>
      </c>
      <c r="B26" s="15" t="s">
        <v>107</v>
      </c>
      <c r="C26" s="108">
        <v>0</v>
      </c>
      <c r="D26" s="44">
        <v>0.5</v>
      </c>
      <c r="E26" s="44">
        <v>0.4</v>
      </c>
      <c r="F26" s="11">
        <f>E26/D26*100</f>
        <v>80</v>
      </c>
      <c r="G26" s="44">
        <v>0.7</v>
      </c>
      <c r="H26" s="44">
        <v>0.6</v>
      </c>
      <c r="I26" s="11">
        <f t="shared" si="1"/>
        <v>85.71428571428572</v>
      </c>
      <c r="J26" s="44">
        <v>0.5</v>
      </c>
      <c r="K26" s="44">
        <v>0.6</v>
      </c>
      <c r="L26" s="11">
        <f t="shared" si="2"/>
        <v>120</v>
      </c>
      <c r="M26" s="89">
        <f t="shared" si="11"/>
        <v>1.7</v>
      </c>
      <c r="N26" s="89">
        <f t="shared" si="12"/>
        <v>1.6</v>
      </c>
      <c r="O26" s="11">
        <f t="shared" si="8"/>
        <v>94.11764705882354</v>
      </c>
      <c r="P26" s="44">
        <v>0.7</v>
      </c>
      <c r="Q26" s="44">
        <v>0.7</v>
      </c>
      <c r="R26" s="11">
        <f t="shared" si="3"/>
        <v>100</v>
      </c>
      <c r="S26" s="44">
        <v>0.5</v>
      </c>
      <c r="T26" s="44">
        <v>0.6</v>
      </c>
      <c r="U26" s="11">
        <f t="shared" si="4"/>
        <v>120</v>
      </c>
      <c r="V26" s="44">
        <v>0.5</v>
      </c>
      <c r="W26" s="44">
        <v>0.5</v>
      </c>
      <c r="X26" s="11">
        <f t="shared" si="5"/>
        <v>100</v>
      </c>
      <c r="Y26" s="89">
        <f t="shared" si="13"/>
        <v>1.7</v>
      </c>
      <c r="Z26" s="89">
        <f t="shared" si="14"/>
        <v>1.7999999999999998</v>
      </c>
      <c r="AA26" s="11">
        <f t="shared" si="9"/>
        <v>105.88235294117648</v>
      </c>
      <c r="AB26" s="44">
        <v>0.2</v>
      </c>
      <c r="AC26" s="44">
        <v>0.2</v>
      </c>
      <c r="AD26" s="11">
        <f t="shared" si="6"/>
        <v>100</v>
      </c>
      <c r="AE26" s="44">
        <v>0.3</v>
      </c>
      <c r="AF26" s="44">
        <v>0.3</v>
      </c>
      <c r="AG26" s="11">
        <f>AF26/AE26*100</f>
        <v>100</v>
      </c>
      <c r="AH26" s="44">
        <v>0.5</v>
      </c>
      <c r="AI26" s="44">
        <v>0.5</v>
      </c>
      <c r="AJ26" s="89">
        <f t="shared" si="15"/>
        <v>1</v>
      </c>
      <c r="AK26" s="89">
        <f t="shared" si="16"/>
        <v>1</v>
      </c>
      <c r="AL26" s="11">
        <f t="shared" si="20"/>
        <v>100</v>
      </c>
      <c r="AM26" s="44">
        <v>0.6</v>
      </c>
      <c r="AN26" s="44">
        <v>0.6</v>
      </c>
      <c r="AO26" s="72">
        <f t="shared" si="17"/>
        <v>5</v>
      </c>
      <c r="AP26" s="72">
        <f t="shared" si="18"/>
        <v>5</v>
      </c>
      <c r="AQ26" s="11">
        <f t="shared" si="7"/>
        <v>100</v>
      </c>
      <c r="AR26" s="72">
        <f t="shared" si="19"/>
        <v>0</v>
      </c>
      <c r="AS26" s="18">
        <f t="shared" si="10"/>
        <v>0</v>
      </c>
    </row>
    <row r="27" spans="1:45" ht="24.75" customHeight="1">
      <c r="A27" s="13" t="s">
        <v>32</v>
      </c>
      <c r="B27" s="15" t="s">
        <v>108</v>
      </c>
      <c r="C27" s="108">
        <v>0</v>
      </c>
      <c r="D27" s="44">
        <v>12.2</v>
      </c>
      <c r="E27" s="44">
        <v>12.1</v>
      </c>
      <c r="F27" s="64">
        <f>E27/D27*100</f>
        <v>99.18032786885246</v>
      </c>
      <c r="G27" s="44">
        <v>22.1</v>
      </c>
      <c r="H27" s="44">
        <v>0.4</v>
      </c>
      <c r="I27" s="11">
        <f t="shared" si="1"/>
        <v>1.8099547511312215</v>
      </c>
      <c r="J27" s="44">
        <v>23.1</v>
      </c>
      <c r="K27" s="44">
        <v>22.5</v>
      </c>
      <c r="L27" s="11">
        <f t="shared" si="2"/>
        <v>97.40259740259741</v>
      </c>
      <c r="M27" s="89">
        <f t="shared" si="11"/>
        <v>57.4</v>
      </c>
      <c r="N27" s="89">
        <f t="shared" si="12"/>
        <v>35</v>
      </c>
      <c r="O27" s="11">
        <f t="shared" si="8"/>
        <v>60.97560975609756</v>
      </c>
      <c r="P27" s="44">
        <v>21.5</v>
      </c>
      <c r="Q27" s="44">
        <v>43.8</v>
      </c>
      <c r="R27" s="11">
        <f t="shared" si="3"/>
        <v>203.72093023255812</v>
      </c>
      <c r="S27" s="44">
        <v>20.1</v>
      </c>
      <c r="T27" s="44">
        <v>19.7</v>
      </c>
      <c r="U27" s="11">
        <f t="shared" si="4"/>
        <v>98.00995024875621</v>
      </c>
      <c r="V27" s="44">
        <v>22.3</v>
      </c>
      <c r="W27" s="44">
        <v>22.6</v>
      </c>
      <c r="X27" s="11">
        <f t="shared" si="5"/>
        <v>101.34529147982063</v>
      </c>
      <c r="Y27" s="89">
        <f t="shared" si="13"/>
        <v>63.900000000000006</v>
      </c>
      <c r="Z27" s="89">
        <f t="shared" si="14"/>
        <v>86.1</v>
      </c>
      <c r="AA27" s="11">
        <f t="shared" si="9"/>
        <v>134.74178403755866</v>
      </c>
      <c r="AB27" s="44">
        <v>11.6</v>
      </c>
      <c r="AC27" s="44">
        <v>1.2</v>
      </c>
      <c r="AD27" s="11">
        <f t="shared" si="6"/>
        <v>10.344827586206897</v>
      </c>
      <c r="AE27" s="44">
        <v>13.1</v>
      </c>
      <c r="AF27" s="44">
        <v>23.7</v>
      </c>
      <c r="AG27" s="11">
        <f>AF27/AE27*100</f>
        <v>180.91603053435114</v>
      </c>
      <c r="AH27" s="44">
        <v>19.6</v>
      </c>
      <c r="AI27" s="44">
        <v>19.6</v>
      </c>
      <c r="AJ27" s="89">
        <f t="shared" si="15"/>
        <v>44.3</v>
      </c>
      <c r="AK27" s="89">
        <f t="shared" si="16"/>
        <v>44.5</v>
      </c>
      <c r="AL27" s="11">
        <f t="shared" si="20"/>
        <v>100.45146726862303</v>
      </c>
      <c r="AM27" s="44">
        <v>19.5</v>
      </c>
      <c r="AN27" s="44">
        <v>19.5</v>
      </c>
      <c r="AO27" s="72">
        <f t="shared" si="17"/>
        <v>185.10000000000002</v>
      </c>
      <c r="AP27" s="72">
        <f t="shared" si="18"/>
        <v>185.1</v>
      </c>
      <c r="AQ27" s="11">
        <f t="shared" si="7"/>
        <v>99.99999999999999</v>
      </c>
      <c r="AR27" s="72">
        <f t="shared" si="19"/>
        <v>0</v>
      </c>
      <c r="AS27" s="18">
        <f t="shared" si="10"/>
        <v>0</v>
      </c>
    </row>
    <row r="28" spans="1:45" ht="24.75" customHeight="1">
      <c r="A28" s="13" t="s">
        <v>33</v>
      </c>
      <c r="B28" s="47" t="s">
        <v>109</v>
      </c>
      <c r="C28" s="118">
        <v>0</v>
      </c>
      <c r="D28" s="44">
        <v>53.1</v>
      </c>
      <c r="E28" s="44">
        <v>5.2</v>
      </c>
      <c r="F28" s="94">
        <f>E28/D28*100</f>
        <v>9.792843691148775</v>
      </c>
      <c r="G28" s="44">
        <v>56.4</v>
      </c>
      <c r="H28" s="44">
        <v>101.6</v>
      </c>
      <c r="I28" s="11">
        <f t="shared" si="1"/>
        <v>180.1418439716312</v>
      </c>
      <c r="J28" s="44">
        <v>53.1</v>
      </c>
      <c r="K28" s="44">
        <v>35.6</v>
      </c>
      <c r="L28" s="11">
        <f t="shared" si="2"/>
        <v>67.04331450094162</v>
      </c>
      <c r="M28" s="89">
        <f t="shared" si="11"/>
        <v>162.6</v>
      </c>
      <c r="N28" s="89">
        <f t="shared" si="12"/>
        <v>142.4</v>
      </c>
      <c r="O28" s="11">
        <f t="shared" si="8"/>
        <v>87.57687576875769</v>
      </c>
      <c r="P28" s="44">
        <v>49.3</v>
      </c>
      <c r="Q28" s="44">
        <v>38.3</v>
      </c>
      <c r="R28" s="11">
        <f t="shared" si="3"/>
        <v>77.68762677484787</v>
      </c>
      <c r="S28" s="44">
        <v>52.9</v>
      </c>
      <c r="T28" s="44">
        <v>59</v>
      </c>
      <c r="U28" s="11">
        <f t="shared" si="4"/>
        <v>111.531190926276</v>
      </c>
      <c r="V28" s="44">
        <v>69</v>
      </c>
      <c r="W28" s="44">
        <v>73.6</v>
      </c>
      <c r="X28" s="11">
        <f t="shared" si="5"/>
        <v>106.66666666666667</v>
      </c>
      <c r="Y28" s="89">
        <f t="shared" si="13"/>
        <v>171.2</v>
      </c>
      <c r="Z28" s="89">
        <f t="shared" si="14"/>
        <v>170.89999999999998</v>
      </c>
      <c r="AA28" s="11">
        <f t="shared" si="9"/>
        <v>99.82476635514018</v>
      </c>
      <c r="AB28" s="44">
        <v>41</v>
      </c>
      <c r="AC28" s="44">
        <v>46.7</v>
      </c>
      <c r="AD28" s="11">
        <f t="shared" si="6"/>
        <v>113.90243902439026</v>
      </c>
      <c r="AE28" s="44">
        <v>50.2</v>
      </c>
      <c r="AF28" s="99">
        <v>44.8</v>
      </c>
      <c r="AG28" s="94">
        <f>AF28/AE28*100</f>
        <v>89.2430278884462</v>
      </c>
      <c r="AH28" s="44"/>
      <c r="AI28" s="99"/>
      <c r="AJ28" s="89">
        <f t="shared" si="15"/>
        <v>91.2</v>
      </c>
      <c r="AK28" s="89">
        <f t="shared" si="16"/>
        <v>91.5</v>
      </c>
      <c r="AL28" s="11">
        <f t="shared" si="20"/>
        <v>100.32894736842104</v>
      </c>
      <c r="AM28" s="44">
        <v>70.6</v>
      </c>
      <c r="AN28" s="99">
        <v>83.9</v>
      </c>
      <c r="AO28" s="72">
        <f t="shared" si="17"/>
        <v>495.5999999999999</v>
      </c>
      <c r="AP28" s="72">
        <f t="shared" si="18"/>
        <v>488.69999999999993</v>
      </c>
      <c r="AQ28" s="11">
        <f t="shared" si="7"/>
        <v>98.60774818401937</v>
      </c>
      <c r="AR28" s="72">
        <f t="shared" si="19"/>
        <v>6.899999999999977</v>
      </c>
      <c r="AS28" s="18">
        <f t="shared" si="10"/>
        <v>6.899999999999977</v>
      </c>
    </row>
    <row r="29" spans="1:45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66"/>
      <c r="AI29" s="66"/>
      <c r="AJ29" s="89">
        <f t="shared" si="15"/>
        <v>0</v>
      </c>
      <c r="AK29" s="89">
        <f t="shared" si="16"/>
        <v>0</v>
      </c>
      <c r="AL29" s="11"/>
      <c r="AM29" s="66"/>
      <c r="AN29" s="66"/>
      <c r="AO29" s="72">
        <f t="shared" si="17"/>
        <v>0</v>
      </c>
      <c r="AP29" s="72">
        <f t="shared" si="18"/>
        <v>0</v>
      </c>
      <c r="AQ29" s="77"/>
      <c r="AR29" s="77"/>
      <c r="AS29" s="77"/>
    </row>
    <row r="30" spans="1:45" ht="24.75" customHeight="1">
      <c r="A30" s="13" t="s">
        <v>35</v>
      </c>
      <c r="B30" s="15" t="s">
        <v>111</v>
      </c>
      <c r="C30" s="120">
        <v>0</v>
      </c>
      <c r="D30" s="44">
        <v>3.2</v>
      </c>
      <c r="E30" s="44">
        <v>3.2</v>
      </c>
      <c r="F30" s="96">
        <f>E30/D30*100</f>
        <v>100</v>
      </c>
      <c r="G30" s="44">
        <v>13.5</v>
      </c>
      <c r="H30" s="44">
        <v>7.5</v>
      </c>
      <c r="I30" s="75">
        <f t="shared" si="1"/>
        <v>55.55555555555556</v>
      </c>
      <c r="J30" s="44">
        <v>18.9</v>
      </c>
      <c r="K30" s="44">
        <v>24.9</v>
      </c>
      <c r="L30" s="75">
        <f aca="true" t="shared" si="23" ref="L30:L43">K30/J30*100</f>
        <v>131.74603174603175</v>
      </c>
      <c r="M30" s="89">
        <f t="shared" si="11"/>
        <v>35.599999999999994</v>
      </c>
      <c r="N30" s="89">
        <f t="shared" si="12"/>
        <v>35.599999999999994</v>
      </c>
      <c r="O30" s="11">
        <f t="shared" si="8"/>
        <v>100</v>
      </c>
      <c r="P30" s="44">
        <v>20.2</v>
      </c>
      <c r="Q30" s="44">
        <v>20.2</v>
      </c>
      <c r="R30" s="140">
        <f aca="true" t="shared" si="24" ref="R30:R41">Q30/P30*100</f>
        <v>100</v>
      </c>
      <c r="S30" s="44">
        <v>21.6</v>
      </c>
      <c r="T30" s="44">
        <v>21.6</v>
      </c>
      <c r="U30" s="140">
        <f aca="true" t="shared" si="25" ref="U30:U41">T30/S30*100</f>
        <v>100</v>
      </c>
      <c r="V30" s="44">
        <v>16.7</v>
      </c>
      <c r="W30" s="44">
        <v>16.7</v>
      </c>
      <c r="X30" s="140">
        <f aca="true" t="shared" si="26" ref="X30:X41">W30/V30*100</f>
        <v>100</v>
      </c>
      <c r="Y30" s="89">
        <f aca="true" t="shared" si="27" ref="Y30:Y40">P30+S30+V30</f>
        <v>58.5</v>
      </c>
      <c r="Z30" s="89">
        <f aca="true" t="shared" si="28" ref="Z30:Z40">Q30+T30+W30</f>
        <v>58.5</v>
      </c>
      <c r="AA30" s="11">
        <f aca="true" t="shared" si="29" ref="AA30:AA43">Z30/Y30*100</f>
        <v>100</v>
      </c>
      <c r="AB30" s="44">
        <v>16.4</v>
      </c>
      <c r="AC30" s="44">
        <v>16.4</v>
      </c>
      <c r="AD30" s="140">
        <f aca="true" t="shared" si="30" ref="AD30:AD41">AC30/AB30*100</f>
        <v>100</v>
      </c>
      <c r="AE30" s="44">
        <v>16.6</v>
      </c>
      <c r="AF30" s="44">
        <v>16.6</v>
      </c>
      <c r="AG30" s="141">
        <f aca="true" t="shared" si="31" ref="AG30:AG41">AF30/AE30*100</f>
        <v>100</v>
      </c>
      <c r="AH30" s="44">
        <v>16.6</v>
      </c>
      <c r="AI30" s="44">
        <v>16.6</v>
      </c>
      <c r="AJ30" s="89">
        <f t="shared" si="15"/>
        <v>49.6</v>
      </c>
      <c r="AK30" s="89">
        <f t="shared" si="16"/>
        <v>49.6</v>
      </c>
      <c r="AL30" s="11">
        <f aca="true" t="shared" si="32" ref="AL30:AL43">AK30/AJ30*100</f>
        <v>100</v>
      </c>
      <c r="AM30" s="44">
        <v>44.8</v>
      </c>
      <c r="AN30" s="44">
        <v>44.8</v>
      </c>
      <c r="AO30" s="72">
        <f t="shared" si="17"/>
        <v>188.5</v>
      </c>
      <c r="AP30" s="72">
        <f t="shared" si="18"/>
        <v>188.5</v>
      </c>
      <c r="AQ30" s="11">
        <f t="shared" si="7"/>
        <v>100</v>
      </c>
      <c r="AR30" s="72">
        <f t="shared" si="19"/>
        <v>0</v>
      </c>
      <c r="AS30" s="18">
        <f aca="true" t="shared" si="33" ref="AS30:AS40">C30+AO30-AP30</f>
        <v>0</v>
      </c>
    </row>
    <row r="31" spans="1:45" ht="24.75" customHeight="1">
      <c r="A31" s="13" t="s">
        <v>36</v>
      </c>
      <c r="B31" s="15" t="s">
        <v>112</v>
      </c>
      <c r="C31" s="108">
        <v>-0.7</v>
      </c>
      <c r="D31" s="44">
        <v>15.2</v>
      </c>
      <c r="E31" s="44">
        <v>14.6</v>
      </c>
      <c r="F31" s="11">
        <f>E31/D31*100</f>
        <v>96.05263157894737</v>
      </c>
      <c r="G31" s="44">
        <v>20.2</v>
      </c>
      <c r="H31" s="44">
        <v>17.8</v>
      </c>
      <c r="I31" s="11">
        <f t="shared" si="1"/>
        <v>88.11881188118814</v>
      </c>
      <c r="J31" s="44">
        <v>18.1</v>
      </c>
      <c r="K31" s="44">
        <v>18.3</v>
      </c>
      <c r="L31" s="11">
        <f t="shared" si="23"/>
        <v>101.10497237569061</v>
      </c>
      <c r="M31" s="89">
        <f t="shared" si="11"/>
        <v>53.5</v>
      </c>
      <c r="N31" s="89">
        <f t="shared" si="12"/>
        <v>50.7</v>
      </c>
      <c r="O31" s="11">
        <f t="shared" si="8"/>
        <v>94.76635514018692</v>
      </c>
      <c r="P31" s="44">
        <v>20.4</v>
      </c>
      <c r="Q31" s="44">
        <v>19.5</v>
      </c>
      <c r="R31" s="11">
        <f t="shared" si="24"/>
        <v>95.58823529411765</v>
      </c>
      <c r="S31" s="44">
        <v>25.5</v>
      </c>
      <c r="T31" s="44">
        <v>24.9</v>
      </c>
      <c r="U31" s="11">
        <f t="shared" si="25"/>
        <v>97.6470588235294</v>
      </c>
      <c r="V31" s="44">
        <v>22.7</v>
      </c>
      <c r="W31" s="44">
        <v>21.2</v>
      </c>
      <c r="X31" s="11">
        <f t="shared" si="26"/>
        <v>93.3920704845815</v>
      </c>
      <c r="Y31" s="89">
        <f t="shared" si="27"/>
        <v>68.6</v>
      </c>
      <c r="Z31" s="89">
        <f t="shared" si="28"/>
        <v>65.6</v>
      </c>
      <c r="AA31" s="11">
        <f t="shared" si="29"/>
        <v>95.6268221574344</v>
      </c>
      <c r="AB31" s="44">
        <v>20.3</v>
      </c>
      <c r="AC31" s="44">
        <v>20.2</v>
      </c>
      <c r="AD31" s="11">
        <f t="shared" si="30"/>
        <v>99.50738916256157</v>
      </c>
      <c r="AE31" s="44">
        <v>17.9</v>
      </c>
      <c r="AF31" s="44">
        <v>16.1</v>
      </c>
      <c r="AG31" s="141">
        <f t="shared" si="31"/>
        <v>89.9441340782123</v>
      </c>
      <c r="AH31" s="44">
        <v>23.8</v>
      </c>
      <c r="AI31" s="44">
        <v>26.6</v>
      </c>
      <c r="AJ31" s="89">
        <f t="shared" si="15"/>
        <v>62</v>
      </c>
      <c r="AK31" s="89">
        <f t="shared" si="16"/>
        <v>62.9</v>
      </c>
      <c r="AL31" s="11">
        <f t="shared" si="32"/>
        <v>101.4516129032258</v>
      </c>
      <c r="AM31" s="44">
        <v>24.8</v>
      </c>
      <c r="AN31" s="44">
        <v>25.9</v>
      </c>
      <c r="AO31" s="72">
        <f t="shared" si="17"/>
        <v>208.9</v>
      </c>
      <c r="AP31" s="72">
        <f t="shared" si="18"/>
        <v>205.1</v>
      </c>
      <c r="AQ31" s="11">
        <f t="shared" si="7"/>
        <v>98.18094782192436</v>
      </c>
      <c r="AR31" s="72">
        <f t="shared" si="19"/>
        <v>3.8000000000000114</v>
      </c>
      <c r="AS31" s="18">
        <f t="shared" si="33"/>
        <v>3.1000000000000227</v>
      </c>
    </row>
    <row r="32" spans="1:45" ht="24.75" customHeight="1">
      <c r="A32" s="13" t="s">
        <v>37</v>
      </c>
      <c r="B32" s="15" t="s">
        <v>113</v>
      </c>
      <c r="C32" s="108">
        <f>-15.2+64.5</f>
        <v>49.3</v>
      </c>
      <c r="D32" s="44">
        <f>19.3+26.9</f>
        <v>46.2</v>
      </c>
      <c r="E32" s="44">
        <f>0.9+0</f>
        <v>0.9</v>
      </c>
      <c r="F32" s="67">
        <f>E32/D32*100</f>
        <v>1.948051948051948</v>
      </c>
      <c r="G32" s="44">
        <f>26.4+28.1</f>
        <v>54.5</v>
      </c>
      <c r="H32" s="44">
        <f>24.3+15.1</f>
        <v>39.4</v>
      </c>
      <c r="I32" s="11">
        <f t="shared" si="1"/>
        <v>72.29357798165137</v>
      </c>
      <c r="J32" s="44">
        <f>19.6+29.2</f>
        <v>48.8</v>
      </c>
      <c r="K32" s="44">
        <f>28.5+93.6</f>
        <v>122.1</v>
      </c>
      <c r="L32" s="11">
        <f t="shared" si="23"/>
        <v>250.2049180327869</v>
      </c>
      <c r="M32" s="89">
        <f t="shared" si="11"/>
        <v>149.5</v>
      </c>
      <c r="N32" s="89">
        <f t="shared" si="12"/>
        <v>162.39999999999998</v>
      </c>
      <c r="O32" s="11">
        <f t="shared" si="8"/>
        <v>108.628762541806</v>
      </c>
      <c r="P32" s="44">
        <f>20+27.7</f>
        <v>47.7</v>
      </c>
      <c r="Q32" s="44">
        <f>19+30.5</f>
        <v>49.5</v>
      </c>
      <c r="R32" s="11">
        <f t="shared" si="24"/>
        <v>103.77358490566037</v>
      </c>
      <c r="S32" s="44">
        <f>24.3+24.7</f>
        <v>49</v>
      </c>
      <c r="T32" s="44">
        <f>19.5+36.7</f>
        <v>56.2</v>
      </c>
      <c r="U32" s="11">
        <f t="shared" si="25"/>
        <v>114.6938775510204</v>
      </c>
      <c r="V32" s="44">
        <f>30.3+24.2</f>
        <v>54.5</v>
      </c>
      <c r="W32" s="44">
        <f>16.2+24.7</f>
        <v>40.9</v>
      </c>
      <c r="X32" s="11">
        <f t="shared" si="26"/>
        <v>75.04587155963303</v>
      </c>
      <c r="Y32" s="89">
        <f t="shared" si="27"/>
        <v>151.2</v>
      </c>
      <c r="Z32" s="89">
        <f t="shared" si="28"/>
        <v>146.6</v>
      </c>
      <c r="AA32" s="11">
        <f t="shared" si="29"/>
        <v>96.95767195767196</v>
      </c>
      <c r="AB32" s="44">
        <f>38.2+17</f>
        <v>55.2</v>
      </c>
      <c r="AC32" s="44">
        <f>27.4+24.2</f>
        <v>51.599999999999994</v>
      </c>
      <c r="AD32" s="11">
        <f t="shared" si="30"/>
        <v>93.4782608695652</v>
      </c>
      <c r="AE32" s="44">
        <f>24.8+18.9</f>
        <v>43.7</v>
      </c>
      <c r="AF32" s="44">
        <f>35.2+15.2</f>
        <v>50.400000000000006</v>
      </c>
      <c r="AG32" s="11">
        <f t="shared" si="31"/>
        <v>115.33180778032037</v>
      </c>
      <c r="AH32" s="44">
        <f>18.6+36</f>
        <v>54.6</v>
      </c>
      <c r="AI32" s="44">
        <f>21.5+20.7</f>
        <v>42.2</v>
      </c>
      <c r="AJ32" s="89">
        <f t="shared" si="15"/>
        <v>153.5</v>
      </c>
      <c r="AK32" s="89">
        <f t="shared" si="16"/>
        <v>144.2</v>
      </c>
      <c r="AL32" s="11">
        <f t="shared" si="32"/>
        <v>93.94136807817588</v>
      </c>
      <c r="AM32" s="44">
        <v>80.8</v>
      </c>
      <c r="AN32" s="44">
        <v>51.5</v>
      </c>
      <c r="AO32" s="72">
        <f t="shared" si="17"/>
        <v>535</v>
      </c>
      <c r="AP32" s="72">
        <f t="shared" si="18"/>
        <v>504.7</v>
      </c>
      <c r="AQ32" s="11">
        <f t="shared" si="7"/>
        <v>94.33644859813084</v>
      </c>
      <c r="AR32" s="72">
        <f t="shared" si="19"/>
        <v>30.30000000000001</v>
      </c>
      <c r="AS32" s="18">
        <f t="shared" si="33"/>
        <v>79.59999999999997</v>
      </c>
    </row>
    <row r="33" spans="1:45" ht="24.75" customHeight="1">
      <c r="A33" s="13" t="s">
        <v>38</v>
      </c>
      <c r="B33" s="15" t="s">
        <v>114</v>
      </c>
      <c r="C33" s="114">
        <v>-5.6</v>
      </c>
      <c r="D33" s="43">
        <f>32.7+3.7</f>
        <v>36.400000000000006</v>
      </c>
      <c r="E33" s="43">
        <v>13.4</v>
      </c>
      <c r="F33" s="11">
        <f>E33/D33*100</f>
        <v>36.81318681318681</v>
      </c>
      <c r="G33" s="44">
        <f>55.4+4.3</f>
        <v>59.699999999999996</v>
      </c>
      <c r="H33" s="44">
        <f>26.4+6.5</f>
        <v>32.9</v>
      </c>
      <c r="I33" s="11">
        <f t="shared" si="1"/>
        <v>55.10887772194305</v>
      </c>
      <c r="J33" s="44">
        <f>51.6+4.2</f>
        <v>55.800000000000004</v>
      </c>
      <c r="K33" s="44">
        <f>52.3+4.5</f>
        <v>56.8</v>
      </c>
      <c r="L33" s="11">
        <f t="shared" si="23"/>
        <v>101.79211469534049</v>
      </c>
      <c r="M33" s="89">
        <f t="shared" si="11"/>
        <v>151.9</v>
      </c>
      <c r="N33" s="89">
        <f t="shared" si="12"/>
        <v>103.1</v>
      </c>
      <c r="O33" s="11">
        <f t="shared" si="8"/>
        <v>67.87360105332455</v>
      </c>
      <c r="P33" s="44">
        <f>63.7+9.4</f>
        <v>73.10000000000001</v>
      </c>
      <c r="Q33" s="44">
        <f>52.9+9.6</f>
        <v>62.5</v>
      </c>
      <c r="R33" s="11">
        <f t="shared" si="24"/>
        <v>85.49931600547195</v>
      </c>
      <c r="S33" s="44">
        <f>56.6+6</f>
        <v>62.6</v>
      </c>
      <c r="T33" s="44">
        <f>63.8+4.2</f>
        <v>68</v>
      </c>
      <c r="U33" s="11">
        <f t="shared" si="25"/>
        <v>108.62619808306708</v>
      </c>
      <c r="V33" s="44">
        <f>67.7+4.7</f>
        <v>72.4</v>
      </c>
      <c r="W33" s="44">
        <f>55.2+4.6</f>
        <v>59.800000000000004</v>
      </c>
      <c r="X33" s="11">
        <f t="shared" si="26"/>
        <v>82.59668508287292</v>
      </c>
      <c r="Y33" s="89">
        <f t="shared" si="27"/>
        <v>208.10000000000002</v>
      </c>
      <c r="Z33" s="89">
        <f t="shared" si="28"/>
        <v>190.3</v>
      </c>
      <c r="AA33" s="11">
        <f t="shared" si="29"/>
        <v>91.44641999038923</v>
      </c>
      <c r="AB33" s="44">
        <f>43.1+4.7</f>
        <v>47.800000000000004</v>
      </c>
      <c r="AC33" s="44">
        <f>61.9+6.1</f>
        <v>68</v>
      </c>
      <c r="AD33" s="11">
        <f t="shared" si="30"/>
        <v>142.2594142259414</v>
      </c>
      <c r="AE33" s="44">
        <v>57.8</v>
      </c>
      <c r="AF33" s="44">
        <v>45.3</v>
      </c>
      <c r="AG33" s="11">
        <f t="shared" si="31"/>
        <v>78.37370242214533</v>
      </c>
      <c r="AH33" s="44">
        <f>60.5+4.6</f>
        <v>65.1</v>
      </c>
      <c r="AI33" s="44">
        <f>52.1+2.5</f>
        <v>54.6</v>
      </c>
      <c r="AJ33" s="89">
        <f t="shared" si="15"/>
        <v>170.7</v>
      </c>
      <c r="AK33" s="89">
        <f t="shared" si="16"/>
        <v>167.9</v>
      </c>
      <c r="AL33" s="11">
        <f t="shared" si="32"/>
        <v>98.35969537199767</v>
      </c>
      <c r="AM33" s="44">
        <v>53</v>
      </c>
      <c r="AN33" s="44">
        <v>68.1</v>
      </c>
      <c r="AO33" s="72">
        <f t="shared" si="17"/>
        <v>583.7</v>
      </c>
      <c r="AP33" s="72">
        <f t="shared" si="18"/>
        <v>529.4</v>
      </c>
      <c r="AQ33" s="11">
        <f t="shared" si="7"/>
        <v>90.69727599794413</v>
      </c>
      <c r="AR33" s="72">
        <f t="shared" si="19"/>
        <v>54.30000000000007</v>
      </c>
      <c r="AS33" s="18">
        <f t="shared" si="33"/>
        <v>48.700000000000045</v>
      </c>
    </row>
    <row r="34" spans="1:45" ht="24.75" customHeight="1">
      <c r="A34" s="13" t="s">
        <v>39</v>
      </c>
      <c r="B34" s="47" t="s">
        <v>115</v>
      </c>
      <c r="C34" s="117">
        <v>-0.2</v>
      </c>
      <c r="D34" s="79">
        <v>10.6</v>
      </c>
      <c r="E34" s="79">
        <v>10.6</v>
      </c>
      <c r="F34" s="11">
        <f>E34/D34*100</f>
        <v>100</v>
      </c>
      <c r="G34" s="44">
        <v>13.5</v>
      </c>
      <c r="H34" s="44">
        <v>13.5</v>
      </c>
      <c r="I34" s="75">
        <f t="shared" si="1"/>
        <v>100</v>
      </c>
      <c r="J34" s="44">
        <v>13.2</v>
      </c>
      <c r="K34" s="44">
        <v>13.2</v>
      </c>
      <c r="L34" s="75">
        <f t="shared" si="23"/>
        <v>100</v>
      </c>
      <c r="M34" s="89">
        <f t="shared" si="11"/>
        <v>37.3</v>
      </c>
      <c r="N34" s="89">
        <f t="shared" si="12"/>
        <v>37.3</v>
      </c>
      <c r="O34" s="11">
        <f t="shared" si="8"/>
        <v>100</v>
      </c>
      <c r="P34" s="44">
        <v>12.7</v>
      </c>
      <c r="Q34" s="44">
        <v>10.7</v>
      </c>
      <c r="R34" s="140">
        <f t="shared" si="24"/>
        <v>84.25196850393701</v>
      </c>
      <c r="S34" s="44">
        <v>11.2</v>
      </c>
      <c r="T34" s="44">
        <v>13.2</v>
      </c>
      <c r="U34" s="140">
        <f t="shared" si="25"/>
        <v>117.85714285714286</v>
      </c>
      <c r="V34" s="44">
        <v>11.7</v>
      </c>
      <c r="W34" s="44">
        <v>11.7</v>
      </c>
      <c r="X34" s="140">
        <f t="shared" si="26"/>
        <v>100</v>
      </c>
      <c r="Y34" s="89">
        <f t="shared" si="27"/>
        <v>35.599999999999994</v>
      </c>
      <c r="Z34" s="89">
        <f t="shared" si="28"/>
        <v>35.599999999999994</v>
      </c>
      <c r="AA34" s="11">
        <f t="shared" si="29"/>
        <v>100</v>
      </c>
      <c r="AB34" s="44">
        <v>10.2</v>
      </c>
      <c r="AC34" s="44">
        <v>10</v>
      </c>
      <c r="AD34" s="140">
        <f t="shared" si="30"/>
        <v>98.03921568627452</v>
      </c>
      <c r="AE34" s="44">
        <v>0</v>
      </c>
      <c r="AF34" s="44">
        <v>0</v>
      </c>
      <c r="AG34" s="11" t="e">
        <f t="shared" si="31"/>
        <v>#DIV/0!</v>
      </c>
      <c r="AH34" s="44">
        <v>0</v>
      </c>
      <c r="AI34" s="44">
        <v>0</v>
      </c>
      <c r="AJ34" s="89">
        <f t="shared" si="15"/>
        <v>10.2</v>
      </c>
      <c r="AK34" s="89">
        <f t="shared" si="16"/>
        <v>10</v>
      </c>
      <c r="AL34" s="11">
        <f t="shared" si="32"/>
        <v>98.03921568627452</v>
      </c>
      <c r="AM34" s="44">
        <v>0</v>
      </c>
      <c r="AN34" s="44">
        <v>0</v>
      </c>
      <c r="AO34" s="72">
        <f t="shared" si="17"/>
        <v>83.1</v>
      </c>
      <c r="AP34" s="72">
        <f t="shared" si="18"/>
        <v>82.89999999999999</v>
      </c>
      <c r="AQ34" s="11">
        <f t="shared" si="7"/>
        <v>99.75932611311671</v>
      </c>
      <c r="AR34" s="72">
        <f t="shared" si="19"/>
        <v>0.20000000000000284</v>
      </c>
      <c r="AS34" s="18">
        <f t="shared" si="33"/>
        <v>0</v>
      </c>
    </row>
    <row r="35" spans="1:45" ht="24.75" customHeight="1">
      <c r="A35" s="13" t="s">
        <v>40</v>
      </c>
      <c r="B35" s="15" t="s">
        <v>116</v>
      </c>
      <c r="C35" s="108">
        <f>-2.2+(-0.3)</f>
        <v>-2.5</v>
      </c>
      <c r="D35" s="44">
        <f>68.1+6.4</f>
        <v>74.5</v>
      </c>
      <c r="E35" s="44">
        <v>1.3</v>
      </c>
      <c r="F35" s="11">
        <f aca="true" t="shared" si="34" ref="F35:F42">E35/D35*100</f>
        <v>1.7449664429530203</v>
      </c>
      <c r="G35" s="44">
        <f>88.2+7.4</f>
        <v>95.60000000000001</v>
      </c>
      <c r="H35" s="44">
        <f>103.8+11.5</f>
        <v>115.3</v>
      </c>
      <c r="I35" s="11">
        <f t="shared" si="1"/>
        <v>120.60669456066944</v>
      </c>
      <c r="J35" s="44">
        <f>72.4+9.2</f>
        <v>81.60000000000001</v>
      </c>
      <c r="K35" s="44">
        <f>14.7+11.3</f>
        <v>26</v>
      </c>
      <c r="L35" s="11">
        <f t="shared" si="23"/>
        <v>31.862745098039213</v>
      </c>
      <c r="M35" s="89">
        <f t="shared" si="11"/>
        <v>251.70000000000005</v>
      </c>
      <c r="N35" s="89">
        <f t="shared" si="12"/>
        <v>142.6</v>
      </c>
      <c r="O35" s="11">
        <f t="shared" si="8"/>
        <v>56.654747715534356</v>
      </c>
      <c r="P35" s="44">
        <f>79+11.8</f>
        <v>90.8</v>
      </c>
      <c r="Q35" s="44">
        <f>71.3+11.7</f>
        <v>83</v>
      </c>
      <c r="R35" s="11">
        <f t="shared" si="24"/>
        <v>91.40969162995594</v>
      </c>
      <c r="S35" s="44">
        <f>107.8+12.8</f>
        <v>120.6</v>
      </c>
      <c r="T35" s="44">
        <f>114.7+12.7</f>
        <v>127.4</v>
      </c>
      <c r="U35" s="11">
        <f t="shared" si="25"/>
        <v>105.63847429519073</v>
      </c>
      <c r="V35" s="44">
        <f>107.9+12.6</f>
        <v>120.5</v>
      </c>
      <c r="W35" s="44">
        <f>106.9+12.6</f>
        <v>119.5</v>
      </c>
      <c r="X35" s="11">
        <f t="shared" si="26"/>
        <v>99.1701244813278</v>
      </c>
      <c r="Y35" s="89">
        <f t="shared" si="27"/>
        <v>331.9</v>
      </c>
      <c r="Z35" s="89">
        <f t="shared" si="28"/>
        <v>329.9</v>
      </c>
      <c r="AA35" s="11">
        <f t="shared" si="29"/>
        <v>99.39740885808979</v>
      </c>
      <c r="AB35" s="44">
        <f>76.8+8.3</f>
        <v>85.1</v>
      </c>
      <c r="AC35" s="44">
        <f>152.3+8.3</f>
        <v>160.60000000000002</v>
      </c>
      <c r="AD35" s="11">
        <f t="shared" si="30"/>
        <v>188.71915393654527</v>
      </c>
      <c r="AE35" s="44">
        <v>90.8</v>
      </c>
      <c r="AF35" s="44">
        <v>94.5</v>
      </c>
      <c r="AG35" s="11">
        <f t="shared" si="31"/>
        <v>104.07488986784142</v>
      </c>
      <c r="AH35" s="44">
        <f>80.9+5.9</f>
        <v>86.80000000000001</v>
      </c>
      <c r="AI35" s="44">
        <f>104.8+5.9</f>
        <v>110.7</v>
      </c>
      <c r="AJ35" s="89">
        <f t="shared" si="15"/>
        <v>262.7</v>
      </c>
      <c r="AK35" s="89">
        <f t="shared" si="16"/>
        <v>365.8</v>
      </c>
      <c r="AL35" s="11">
        <f t="shared" si="32"/>
        <v>139.2462885420632</v>
      </c>
      <c r="AM35" s="44">
        <v>103.4</v>
      </c>
      <c r="AN35" s="44">
        <v>106.4</v>
      </c>
      <c r="AO35" s="72">
        <f t="shared" si="17"/>
        <v>949.6999999999999</v>
      </c>
      <c r="AP35" s="72">
        <f t="shared" si="18"/>
        <v>944.6999999999999</v>
      </c>
      <c r="AQ35" s="11">
        <f t="shared" si="7"/>
        <v>99.4735179530378</v>
      </c>
      <c r="AR35" s="72">
        <f t="shared" si="19"/>
        <v>5</v>
      </c>
      <c r="AS35" s="18">
        <f t="shared" si="33"/>
        <v>2.5</v>
      </c>
    </row>
    <row r="36" spans="1:45" ht="24.75" customHeight="1">
      <c r="A36" s="13" t="s">
        <v>41</v>
      </c>
      <c r="B36" s="15" t="s">
        <v>117</v>
      </c>
      <c r="C36" s="108">
        <f>-0.1+0.2</f>
        <v>0.1</v>
      </c>
      <c r="D36" s="44">
        <f>116.1+1.8</f>
        <v>117.89999999999999</v>
      </c>
      <c r="E36" s="44">
        <f>31.2+3.1</f>
        <v>34.3</v>
      </c>
      <c r="F36" s="11">
        <f t="shared" si="34"/>
        <v>29.092451229855808</v>
      </c>
      <c r="G36" s="44">
        <f>124.2+1.8</f>
        <v>126</v>
      </c>
      <c r="H36" s="44">
        <f>205.7+2.3</f>
        <v>208</v>
      </c>
      <c r="I36" s="11">
        <f t="shared" si="1"/>
        <v>165.07936507936506</v>
      </c>
      <c r="J36" s="44">
        <f>2.2+114.5+3.4</f>
        <v>120.10000000000001</v>
      </c>
      <c r="K36" s="44">
        <f>1.3+110+3.4</f>
        <v>114.7</v>
      </c>
      <c r="L36" s="11">
        <f t="shared" si="23"/>
        <v>95.503746877602</v>
      </c>
      <c r="M36" s="89">
        <f t="shared" si="11"/>
        <v>364</v>
      </c>
      <c r="N36" s="89">
        <f t="shared" si="12"/>
        <v>357</v>
      </c>
      <c r="O36" s="11">
        <f t="shared" si="8"/>
        <v>98.07692307692307</v>
      </c>
      <c r="P36" s="44">
        <f>110.3+3.4+1.6</f>
        <v>115.3</v>
      </c>
      <c r="Q36" s="44">
        <f>114.1+3.4+4</f>
        <v>121.5</v>
      </c>
      <c r="R36" s="11">
        <f t="shared" si="24"/>
        <v>105.37727666955767</v>
      </c>
      <c r="S36" s="44">
        <f>99.6+3.2+1.9</f>
        <v>104.7</v>
      </c>
      <c r="T36" s="44">
        <f>99.8+3.2+0.1</f>
        <v>103.1</v>
      </c>
      <c r="U36" s="11">
        <f t="shared" si="25"/>
        <v>98.47182425978987</v>
      </c>
      <c r="V36" s="44">
        <f>115.3+3.4+1.8</f>
        <v>120.5</v>
      </c>
      <c r="W36" s="44">
        <f>115.2+3.4+1.9</f>
        <v>120.50000000000001</v>
      </c>
      <c r="X36" s="11">
        <f t="shared" si="26"/>
        <v>100.00000000000003</v>
      </c>
      <c r="Y36" s="89">
        <f t="shared" si="27"/>
        <v>340.5</v>
      </c>
      <c r="Z36" s="89">
        <f t="shared" si="28"/>
        <v>345.1</v>
      </c>
      <c r="AA36" s="11">
        <f t="shared" si="29"/>
        <v>101.35095447870779</v>
      </c>
      <c r="AB36" s="44">
        <f>1.9+111.2+2.9</f>
        <v>116.00000000000001</v>
      </c>
      <c r="AC36" s="44">
        <f>3.5+111.3+2.8</f>
        <v>117.6</v>
      </c>
      <c r="AD36" s="11">
        <f t="shared" si="30"/>
        <v>101.37931034482757</v>
      </c>
      <c r="AE36" s="44">
        <v>98.8</v>
      </c>
      <c r="AF36" s="44">
        <v>97.1</v>
      </c>
      <c r="AG36" s="11">
        <f t="shared" si="31"/>
        <v>98.27935222672065</v>
      </c>
      <c r="AH36" s="44">
        <f>112.6+3.3</f>
        <v>115.89999999999999</v>
      </c>
      <c r="AI36" s="44">
        <f>114.3+3.3</f>
        <v>117.6</v>
      </c>
      <c r="AJ36" s="89">
        <f t="shared" si="15"/>
        <v>330.7</v>
      </c>
      <c r="AK36" s="89">
        <f t="shared" si="16"/>
        <v>332.29999999999995</v>
      </c>
      <c r="AL36" s="11">
        <f t="shared" si="32"/>
        <v>100.4838221953432</v>
      </c>
      <c r="AM36" s="44">
        <f>132.7+3.6</f>
        <v>136.29999999999998</v>
      </c>
      <c r="AN36" s="44">
        <f>132.6+3.6</f>
        <v>136.2</v>
      </c>
      <c r="AO36" s="72">
        <f t="shared" si="17"/>
        <v>1171.5</v>
      </c>
      <c r="AP36" s="72">
        <f t="shared" si="18"/>
        <v>1170.6000000000001</v>
      </c>
      <c r="AQ36" s="11">
        <f t="shared" si="7"/>
        <v>99.92317541613318</v>
      </c>
      <c r="AR36" s="72">
        <f t="shared" si="19"/>
        <v>0.8999999999998636</v>
      </c>
      <c r="AS36" s="18">
        <f t="shared" si="33"/>
        <v>0.9999999999997726</v>
      </c>
    </row>
    <row r="37" spans="1:45" ht="24.75" customHeight="1">
      <c r="A37" s="13" t="s">
        <v>42</v>
      </c>
      <c r="B37" s="15" t="s">
        <v>118</v>
      </c>
      <c r="C37" s="108">
        <f>2.1+(-0.3)</f>
        <v>1.8</v>
      </c>
      <c r="D37" s="44">
        <f>167.1+2.1</f>
        <v>169.2</v>
      </c>
      <c r="E37" s="44">
        <v>0</v>
      </c>
      <c r="F37" s="11">
        <f t="shared" si="34"/>
        <v>0</v>
      </c>
      <c r="G37" s="44">
        <f>163.4+1.9</f>
        <v>165.3</v>
      </c>
      <c r="H37" s="44">
        <f>90.7+0.6</f>
        <v>91.3</v>
      </c>
      <c r="I37" s="11">
        <f t="shared" si="1"/>
        <v>55.23290986085904</v>
      </c>
      <c r="J37" s="44">
        <f>145.7+1.4</f>
        <v>147.1</v>
      </c>
      <c r="K37" s="44">
        <f>332.2+3.3</f>
        <v>335.5</v>
      </c>
      <c r="L37" s="11">
        <f t="shared" si="23"/>
        <v>228.07613868116928</v>
      </c>
      <c r="M37" s="89">
        <f t="shared" si="11"/>
        <v>481.6</v>
      </c>
      <c r="N37" s="89">
        <f t="shared" si="12"/>
        <v>426.8</v>
      </c>
      <c r="O37" s="11">
        <f t="shared" si="8"/>
        <v>88.62126245847176</v>
      </c>
      <c r="P37" s="44">
        <f>156.4+2.5</f>
        <v>158.9</v>
      </c>
      <c r="Q37" s="44">
        <f>137.2+1.6</f>
        <v>138.79999999999998</v>
      </c>
      <c r="R37" s="11">
        <f t="shared" si="24"/>
        <v>87.35053492762742</v>
      </c>
      <c r="S37" s="44">
        <f>139.9+2</f>
        <v>141.9</v>
      </c>
      <c r="T37" s="44">
        <f>215.9+3.6</f>
        <v>219.5</v>
      </c>
      <c r="U37" s="11">
        <f t="shared" si="25"/>
        <v>154.68639887244538</v>
      </c>
      <c r="V37" s="44">
        <f>137+1.8</f>
        <v>138.8</v>
      </c>
      <c r="W37" s="44">
        <f>147.2+1</f>
        <v>148.2</v>
      </c>
      <c r="X37" s="11">
        <f t="shared" si="26"/>
        <v>106.7723342939481</v>
      </c>
      <c r="Y37" s="89">
        <f t="shared" si="27"/>
        <v>439.6</v>
      </c>
      <c r="Z37" s="89">
        <f t="shared" si="28"/>
        <v>506.49999999999994</v>
      </c>
      <c r="AA37" s="11">
        <f t="shared" si="29"/>
        <v>115.21838034576885</v>
      </c>
      <c r="AB37" s="44">
        <f>223.7+2.5</f>
        <v>226.2</v>
      </c>
      <c r="AC37" s="44">
        <f>218.8+2.3</f>
        <v>221.10000000000002</v>
      </c>
      <c r="AD37" s="11">
        <f t="shared" si="30"/>
        <v>97.7453580901857</v>
      </c>
      <c r="AE37" s="44">
        <v>186.5</v>
      </c>
      <c r="AF37" s="44">
        <v>0</v>
      </c>
      <c r="AG37" s="11">
        <f t="shared" si="31"/>
        <v>0</v>
      </c>
      <c r="AH37" s="44">
        <f>282.4+3.6</f>
        <v>286</v>
      </c>
      <c r="AI37" s="44">
        <f>390.6</f>
        <v>390.6</v>
      </c>
      <c r="AJ37" s="89">
        <f t="shared" si="15"/>
        <v>698.7</v>
      </c>
      <c r="AK37" s="89">
        <f t="shared" si="16"/>
        <v>611.7</v>
      </c>
      <c r="AL37" s="11">
        <f t="shared" si="32"/>
        <v>87.54830399313009</v>
      </c>
      <c r="AM37" s="44">
        <v>271.3</v>
      </c>
      <c r="AN37" s="44">
        <v>312.3</v>
      </c>
      <c r="AO37" s="72">
        <f t="shared" si="17"/>
        <v>1891.2</v>
      </c>
      <c r="AP37" s="72">
        <f t="shared" si="18"/>
        <v>1857.3</v>
      </c>
      <c r="AQ37" s="11">
        <f t="shared" si="7"/>
        <v>98.20748730964468</v>
      </c>
      <c r="AR37" s="72">
        <f t="shared" si="19"/>
        <v>33.90000000000009</v>
      </c>
      <c r="AS37" s="18">
        <f t="shared" si="33"/>
        <v>35.700000000000045</v>
      </c>
    </row>
    <row r="38" spans="1:45" ht="24.75" customHeight="1">
      <c r="A38" s="13" t="s">
        <v>43</v>
      </c>
      <c r="B38" s="15" t="s">
        <v>126</v>
      </c>
      <c r="C38" s="108">
        <v>36.8</v>
      </c>
      <c r="D38" s="44">
        <v>33.9</v>
      </c>
      <c r="E38" s="44">
        <v>6.1</v>
      </c>
      <c r="F38" s="11">
        <f t="shared" si="34"/>
        <v>17.994100294985248</v>
      </c>
      <c r="G38" s="44">
        <v>37</v>
      </c>
      <c r="H38" s="44">
        <v>32.9</v>
      </c>
      <c r="I38" s="11">
        <f t="shared" si="1"/>
        <v>88.9189189189189</v>
      </c>
      <c r="J38" s="44">
        <v>42.4</v>
      </c>
      <c r="K38" s="44">
        <v>42.4</v>
      </c>
      <c r="L38" s="11">
        <f t="shared" si="23"/>
        <v>100</v>
      </c>
      <c r="M38" s="89">
        <f t="shared" si="11"/>
        <v>113.30000000000001</v>
      </c>
      <c r="N38" s="89">
        <f t="shared" si="12"/>
        <v>81.4</v>
      </c>
      <c r="O38" s="11">
        <f t="shared" si="8"/>
        <v>71.84466019417476</v>
      </c>
      <c r="P38" s="44">
        <v>48.5</v>
      </c>
      <c r="Q38" s="44">
        <v>44.1</v>
      </c>
      <c r="R38" s="11">
        <f t="shared" si="24"/>
        <v>90.9278350515464</v>
      </c>
      <c r="S38" s="44">
        <v>42.6</v>
      </c>
      <c r="T38" s="44">
        <v>44.7</v>
      </c>
      <c r="U38" s="11">
        <f t="shared" si="25"/>
        <v>104.92957746478872</v>
      </c>
      <c r="V38" s="44">
        <v>47</v>
      </c>
      <c r="W38" s="44">
        <v>45.3</v>
      </c>
      <c r="X38" s="11">
        <f t="shared" si="26"/>
        <v>96.38297872340425</v>
      </c>
      <c r="Y38" s="89">
        <f t="shared" si="27"/>
        <v>138.1</v>
      </c>
      <c r="Z38" s="89">
        <f t="shared" si="28"/>
        <v>134.10000000000002</v>
      </c>
      <c r="AA38" s="11">
        <f t="shared" si="29"/>
        <v>97.10354815351197</v>
      </c>
      <c r="AB38" s="44">
        <v>30.8</v>
      </c>
      <c r="AC38" s="44">
        <v>41.3</v>
      </c>
      <c r="AD38" s="11">
        <f t="shared" si="30"/>
        <v>134.0909090909091</v>
      </c>
      <c r="AE38" s="44">
        <v>34.8</v>
      </c>
      <c r="AF38" s="44">
        <v>34.5</v>
      </c>
      <c r="AG38" s="11">
        <f t="shared" si="31"/>
        <v>99.13793103448276</v>
      </c>
      <c r="AH38" s="44">
        <v>48.8</v>
      </c>
      <c r="AI38" s="44">
        <v>37</v>
      </c>
      <c r="AJ38" s="89">
        <f t="shared" si="15"/>
        <v>114.39999999999999</v>
      </c>
      <c r="AK38" s="89">
        <f t="shared" si="16"/>
        <v>112.8</v>
      </c>
      <c r="AL38" s="11">
        <f t="shared" si="32"/>
        <v>98.6013986013986</v>
      </c>
      <c r="AM38" s="44">
        <v>49.7</v>
      </c>
      <c r="AN38" s="44">
        <v>52.3</v>
      </c>
      <c r="AO38" s="72">
        <f t="shared" si="17"/>
        <v>415.5</v>
      </c>
      <c r="AP38" s="72">
        <f t="shared" si="18"/>
        <v>380.6</v>
      </c>
      <c r="AQ38" s="11">
        <f t="shared" si="7"/>
        <v>91.60048134777378</v>
      </c>
      <c r="AR38" s="72">
        <f t="shared" si="19"/>
        <v>34.89999999999998</v>
      </c>
      <c r="AS38" s="18">
        <f t="shared" si="33"/>
        <v>71.69999999999999</v>
      </c>
    </row>
    <row r="39" spans="1:45" ht="24.75" customHeight="1">
      <c r="A39" s="13" t="s">
        <v>44</v>
      </c>
      <c r="B39" s="47" t="s">
        <v>127</v>
      </c>
      <c r="C39" s="117">
        <v>-8.5</v>
      </c>
      <c r="D39" s="44">
        <v>64.3</v>
      </c>
      <c r="E39" s="44">
        <v>21.8</v>
      </c>
      <c r="F39" s="11">
        <f t="shared" si="34"/>
        <v>33.903576982892695</v>
      </c>
      <c r="G39" s="44">
        <v>78.3</v>
      </c>
      <c r="H39" s="44">
        <v>90.1</v>
      </c>
      <c r="I39" s="75">
        <f t="shared" si="1"/>
        <v>115.07024265644954</v>
      </c>
      <c r="J39" s="44">
        <v>72.9</v>
      </c>
      <c r="K39" s="44">
        <v>72.5</v>
      </c>
      <c r="L39" s="75">
        <f t="shared" si="23"/>
        <v>99.45130315500685</v>
      </c>
      <c r="M39" s="89">
        <f t="shared" si="11"/>
        <v>215.5</v>
      </c>
      <c r="N39" s="89">
        <f t="shared" si="12"/>
        <v>184.39999999999998</v>
      </c>
      <c r="O39" s="11">
        <f t="shared" si="8"/>
        <v>85.56844547563804</v>
      </c>
      <c r="P39" s="44">
        <v>71.8</v>
      </c>
      <c r="Q39" s="44">
        <v>94.5</v>
      </c>
      <c r="R39" s="140">
        <f t="shared" si="24"/>
        <v>131.61559888579387</v>
      </c>
      <c r="S39" s="44">
        <v>56.4</v>
      </c>
      <c r="T39" s="44">
        <v>56.8</v>
      </c>
      <c r="U39" s="140">
        <f t="shared" si="25"/>
        <v>100.70921985815602</v>
      </c>
      <c r="V39" s="44">
        <v>67.6</v>
      </c>
      <c r="W39" s="44">
        <v>42.8</v>
      </c>
      <c r="X39" s="140">
        <f t="shared" si="26"/>
        <v>63.31360946745562</v>
      </c>
      <c r="Y39" s="89">
        <f t="shared" si="27"/>
        <v>195.79999999999998</v>
      </c>
      <c r="Z39" s="89">
        <f t="shared" si="28"/>
        <v>194.10000000000002</v>
      </c>
      <c r="AA39" s="11">
        <f t="shared" si="29"/>
        <v>99.13176710929523</v>
      </c>
      <c r="AB39" s="44">
        <v>59.5</v>
      </c>
      <c r="AC39" s="44">
        <v>84.5</v>
      </c>
      <c r="AD39" s="140">
        <f t="shared" si="30"/>
        <v>142.01680672268907</v>
      </c>
      <c r="AE39" s="44">
        <v>51.8</v>
      </c>
      <c r="AF39" s="44">
        <v>49.5</v>
      </c>
      <c r="AG39" s="11">
        <f t="shared" si="31"/>
        <v>95.55984555984557</v>
      </c>
      <c r="AH39" s="44">
        <v>78.6</v>
      </c>
      <c r="AI39" s="44">
        <v>81.3</v>
      </c>
      <c r="AJ39" s="89">
        <f t="shared" si="15"/>
        <v>189.89999999999998</v>
      </c>
      <c r="AK39" s="89">
        <f t="shared" si="16"/>
        <v>215.3</v>
      </c>
      <c r="AL39" s="11">
        <f t="shared" si="32"/>
        <v>113.37546076882572</v>
      </c>
      <c r="AM39" s="44">
        <v>131.3</v>
      </c>
      <c r="AN39" s="44">
        <v>131.3</v>
      </c>
      <c r="AO39" s="72">
        <f t="shared" si="17"/>
        <v>732.5</v>
      </c>
      <c r="AP39" s="72">
        <f t="shared" si="18"/>
        <v>725.0999999999999</v>
      </c>
      <c r="AQ39" s="11">
        <f t="shared" si="7"/>
        <v>98.98976109215016</v>
      </c>
      <c r="AR39" s="72">
        <f t="shared" si="19"/>
        <v>7.400000000000091</v>
      </c>
      <c r="AS39" s="18">
        <f t="shared" si="33"/>
        <v>-1.099999999999909</v>
      </c>
    </row>
    <row r="40" spans="1:45" ht="24.75" customHeight="1">
      <c r="A40" s="13" t="s">
        <v>45</v>
      </c>
      <c r="B40" s="15" t="s">
        <v>119</v>
      </c>
      <c r="C40" s="108">
        <f>0.7+(-1.7)</f>
        <v>-1</v>
      </c>
      <c r="D40" s="44">
        <f>22+25.9</f>
        <v>47.9</v>
      </c>
      <c r="E40" s="44">
        <f>1.3+0.5</f>
        <v>1.8</v>
      </c>
      <c r="F40" s="11">
        <f t="shared" si="34"/>
        <v>3.7578288100208774</v>
      </c>
      <c r="G40" s="44">
        <f>27.1+28.4</f>
        <v>55.5</v>
      </c>
      <c r="H40" s="44">
        <f>22+26.5</f>
        <v>48.5</v>
      </c>
      <c r="I40" s="75">
        <f t="shared" si="1"/>
        <v>87.38738738738738</v>
      </c>
      <c r="J40" s="44">
        <f>23.5+24.4</f>
        <v>47.9</v>
      </c>
      <c r="K40" s="44">
        <f>27.2+27</f>
        <v>54.2</v>
      </c>
      <c r="L40" s="75">
        <f t="shared" si="23"/>
        <v>113.15240083507308</v>
      </c>
      <c r="M40" s="89">
        <f t="shared" si="11"/>
        <v>151.3</v>
      </c>
      <c r="N40" s="89">
        <f t="shared" si="12"/>
        <v>104.5</v>
      </c>
      <c r="O40" s="11">
        <f t="shared" si="8"/>
        <v>69.0680766688698</v>
      </c>
      <c r="P40" s="44">
        <f>26.4+28.4</f>
        <v>54.8</v>
      </c>
      <c r="Q40" s="44">
        <f>23.5+25.2</f>
        <v>48.7</v>
      </c>
      <c r="R40" s="140">
        <f t="shared" si="24"/>
        <v>88.86861313868614</v>
      </c>
      <c r="S40" s="44">
        <f>18.8+26.9</f>
        <v>45.7</v>
      </c>
      <c r="T40" s="44">
        <f>26.5+27.2</f>
        <v>53.7</v>
      </c>
      <c r="U40" s="140">
        <f t="shared" si="25"/>
        <v>117.5054704595186</v>
      </c>
      <c r="V40" s="44">
        <f>19.5+28.9</f>
        <v>48.4</v>
      </c>
      <c r="W40" s="44">
        <f>18.9+27.8</f>
        <v>46.7</v>
      </c>
      <c r="X40" s="140">
        <f t="shared" si="26"/>
        <v>96.48760330578513</v>
      </c>
      <c r="Y40" s="89">
        <f t="shared" si="27"/>
        <v>148.9</v>
      </c>
      <c r="Z40" s="89">
        <f t="shared" si="28"/>
        <v>149.10000000000002</v>
      </c>
      <c r="AA40" s="11">
        <f t="shared" si="29"/>
        <v>100.13431833445266</v>
      </c>
      <c r="AB40" s="44">
        <f>14.5+25.9</f>
        <v>40.4</v>
      </c>
      <c r="AC40" s="44">
        <f>19.2+29.1</f>
        <v>48.3</v>
      </c>
      <c r="AD40" s="140">
        <f t="shared" si="30"/>
        <v>119.55445544554455</v>
      </c>
      <c r="AE40" s="44">
        <v>42.4</v>
      </c>
      <c r="AF40" s="44">
        <v>40.1</v>
      </c>
      <c r="AG40" s="11">
        <f t="shared" si="31"/>
        <v>94.5754716981132</v>
      </c>
      <c r="AH40" s="44">
        <f>25.4+37.8</f>
        <v>63.199999999999996</v>
      </c>
      <c r="AI40" s="44">
        <f>19.5+21.5</f>
        <v>41</v>
      </c>
      <c r="AJ40" s="89">
        <f t="shared" si="15"/>
        <v>146</v>
      </c>
      <c r="AK40" s="89">
        <f t="shared" si="16"/>
        <v>129.4</v>
      </c>
      <c r="AL40" s="11">
        <f t="shared" si="32"/>
        <v>88.63013698630138</v>
      </c>
      <c r="AM40" s="44">
        <v>43.7</v>
      </c>
      <c r="AN40" s="44">
        <v>82.1</v>
      </c>
      <c r="AO40" s="72">
        <f t="shared" si="17"/>
        <v>489.90000000000003</v>
      </c>
      <c r="AP40" s="72">
        <f t="shared" si="18"/>
        <v>465.1</v>
      </c>
      <c r="AQ40" s="11">
        <f t="shared" si="7"/>
        <v>94.93774239640743</v>
      </c>
      <c r="AR40" s="72">
        <f t="shared" si="19"/>
        <v>24.80000000000001</v>
      </c>
      <c r="AS40" s="18">
        <f t="shared" si="33"/>
        <v>23.80000000000001</v>
      </c>
    </row>
    <row r="41" spans="1:45" s="12" customFormat="1" ht="24.75" customHeight="1">
      <c r="A41" s="13" t="s">
        <v>46</v>
      </c>
      <c r="B41" s="16" t="s">
        <v>120</v>
      </c>
      <c r="C41" s="83">
        <f>SUM(C42:C42)</f>
        <v>-295.1</v>
      </c>
      <c r="D41" s="18">
        <f>SUM(D42:D42)</f>
        <v>1855.6999999999998</v>
      </c>
      <c r="E41" s="18">
        <f>SUM(E42:E42)</f>
        <v>280.79999999999995</v>
      </c>
      <c r="F41" s="11">
        <f t="shared" si="34"/>
        <v>15.131756210594382</v>
      </c>
      <c r="G41" s="18">
        <f>SUM(G42:G42)</f>
        <v>1927</v>
      </c>
      <c r="H41" s="18">
        <f>SUM(H42:H42)</f>
        <v>1689.8</v>
      </c>
      <c r="I41" s="11">
        <f t="shared" si="1"/>
        <v>87.69071094966269</v>
      </c>
      <c r="J41" s="18">
        <f>SUM(J42:J42)</f>
        <v>1987.2</v>
      </c>
      <c r="K41" s="18">
        <f>SUM(K42:K42)</f>
        <v>2508</v>
      </c>
      <c r="L41" s="75">
        <f t="shared" si="23"/>
        <v>126.20772946859904</v>
      </c>
      <c r="M41" s="18">
        <f>SUM(M42:M42)</f>
        <v>5769.9</v>
      </c>
      <c r="N41" s="18">
        <f>SUM(N42:N42)</f>
        <v>4478.6</v>
      </c>
      <c r="O41" s="11">
        <f t="shared" si="8"/>
        <v>77.62006273938891</v>
      </c>
      <c r="P41" s="18">
        <f>SUM(P42:P42)</f>
        <v>1999.3000000000002</v>
      </c>
      <c r="Q41" s="18">
        <f>SUM(Q42:Q42)</f>
        <v>1798.8</v>
      </c>
      <c r="R41" s="11">
        <f t="shared" si="24"/>
        <v>89.97149002150752</v>
      </c>
      <c r="S41" s="18">
        <f>SUM(S42:S42)</f>
        <v>1846.5</v>
      </c>
      <c r="T41" s="18">
        <f>SUM(T42:T42)</f>
        <v>1917.3</v>
      </c>
      <c r="U41" s="11">
        <f t="shared" si="25"/>
        <v>103.83428107229895</v>
      </c>
      <c r="V41" s="18">
        <f>SUM(V42:V42)</f>
        <v>1765.2</v>
      </c>
      <c r="W41" s="18">
        <f>SUM(W42:W42)</f>
        <v>1819.1000000000001</v>
      </c>
      <c r="X41" s="11">
        <f t="shared" si="26"/>
        <v>103.05347835939271</v>
      </c>
      <c r="Y41" s="18">
        <f>SUM(Y42:Y42)</f>
        <v>5611</v>
      </c>
      <c r="Z41" s="18">
        <f>SUM(Z42:Z42)</f>
        <v>5535.2</v>
      </c>
      <c r="AA41" s="11">
        <f t="shared" si="29"/>
        <v>98.64908216004277</v>
      </c>
      <c r="AB41" s="18">
        <f>SUM(AB42:AB42)</f>
        <v>1390.1</v>
      </c>
      <c r="AC41" s="18">
        <f>SUM(AC42:AC42)</f>
        <v>1718.4</v>
      </c>
      <c r="AD41" s="11">
        <f t="shared" si="30"/>
        <v>123.61700597079349</v>
      </c>
      <c r="AE41" s="18">
        <f>SUM(AE42:AE42)</f>
        <v>1378.5</v>
      </c>
      <c r="AF41" s="18">
        <f>SUM(AF42:AF42)</f>
        <v>1344.1</v>
      </c>
      <c r="AG41" s="11">
        <f t="shared" si="31"/>
        <v>97.50453391367428</v>
      </c>
      <c r="AH41" s="18">
        <f>SUM(AH42:AH42)</f>
        <v>1923.8999999999999</v>
      </c>
      <c r="AI41" s="18">
        <f>SUM(AI42:AI42)</f>
        <v>1445.6</v>
      </c>
      <c r="AJ41" s="18">
        <f>SUM(AJ42:AJ42)</f>
        <v>4692.5</v>
      </c>
      <c r="AK41" s="18">
        <f>SUM(AK42:AK42)</f>
        <v>4508.1</v>
      </c>
      <c r="AL41" s="11">
        <f t="shared" si="32"/>
        <v>96.07032498668087</v>
      </c>
      <c r="AM41" s="18">
        <f>SUM(AM42:AM42)</f>
        <v>2184.4</v>
      </c>
      <c r="AN41" s="18">
        <f>SUM(AN42:AN42)</f>
        <v>1958.3</v>
      </c>
      <c r="AO41" s="140">
        <f>AO42</f>
        <v>18257.8</v>
      </c>
      <c r="AP41" s="140">
        <f>AP42</f>
        <v>16480.2</v>
      </c>
      <c r="AQ41" s="11">
        <f t="shared" si="7"/>
        <v>90.26388721532716</v>
      </c>
      <c r="AR41" s="18">
        <f>SUM(AR42:AR42)</f>
        <v>1777.5999999999985</v>
      </c>
      <c r="AS41" s="18">
        <f>SUM(AS42:AS42)</f>
        <v>1482.5</v>
      </c>
    </row>
    <row r="42" spans="1:45" s="12" customFormat="1" ht="24.75" customHeight="1">
      <c r="A42" s="8"/>
      <c r="B42" s="47" t="s">
        <v>121</v>
      </c>
      <c r="C42" s="108">
        <f>-50+(-245.1)</f>
        <v>-295.1</v>
      </c>
      <c r="D42" s="44">
        <f>743.4+1112.3</f>
        <v>1855.6999999999998</v>
      </c>
      <c r="E42" s="44">
        <f>100.6+180.2</f>
        <v>280.79999999999995</v>
      </c>
      <c r="F42" s="11">
        <f t="shared" si="34"/>
        <v>15.131756210594382</v>
      </c>
      <c r="G42" s="44">
        <f>739+1188</f>
        <v>1927</v>
      </c>
      <c r="H42" s="44">
        <f>788.8+901</f>
        <v>1689.8</v>
      </c>
      <c r="I42" s="11">
        <f t="shared" si="1"/>
        <v>87.69071094966269</v>
      </c>
      <c r="J42" s="44">
        <f>780+1207.2</f>
        <v>1987.2</v>
      </c>
      <c r="K42" s="44">
        <f>944.5+1563.5</f>
        <v>2508</v>
      </c>
      <c r="L42" s="11">
        <f t="shared" si="23"/>
        <v>126.20772946859904</v>
      </c>
      <c r="M42" s="89">
        <f t="shared" si="11"/>
        <v>5769.9</v>
      </c>
      <c r="N42" s="89">
        <f t="shared" si="12"/>
        <v>4478.6</v>
      </c>
      <c r="O42" s="11">
        <f t="shared" si="8"/>
        <v>77.62006273938891</v>
      </c>
      <c r="P42" s="44">
        <f>795.6+1203.7</f>
        <v>1999.3000000000002</v>
      </c>
      <c r="Q42" s="44">
        <f>734+1064.8</f>
        <v>1798.8</v>
      </c>
      <c r="R42" s="11">
        <f>944.5+1563.5</f>
        <v>2508</v>
      </c>
      <c r="S42" s="44">
        <f>724.6+1121.9</f>
        <v>1846.5</v>
      </c>
      <c r="T42" s="44">
        <f>749.5+1167.8</f>
        <v>1917.3</v>
      </c>
      <c r="U42" s="11">
        <f>944.5+1563.5</f>
        <v>2508</v>
      </c>
      <c r="V42" s="44">
        <f>734.8+1030.4</f>
        <v>1765.2</v>
      </c>
      <c r="W42" s="44">
        <f>759.2+1059.9</f>
        <v>1819.1000000000001</v>
      </c>
      <c r="X42" s="11">
        <f>944.5+1563.5</f>
        <v>2508</v>
      </c>
      <c r="Y42" s="89">
        <f>P42+S42+V42</f>
        <v>5611</v>
      </c>
      <c r="Z42" s="89">
        <f>Q42+T42+W42</f>
        <v>5535.2</v>
      </c>
      <c r="AA42" s="11">
        <f t="shared" si="29"/>
        <v>98.64908216004277</v>
      </c>
      <c r="AB42" s="44">
        <f>614.3+775.8</f>
        <v>1390.1</v>
      </c>
      <c r="AC42" s="44">
        <f>669.1+1049.3</f>
        <v>1718.4</v>
      </c>
      <c r="AD42" s="11">
        <f>944.5+1563.5</f>
        <v>2508</v>
      </c>
      <c r="AE42" s="44">
        <f>651+727.5</f>
        <v>1378.5</v>
      </c>
      <c r="AF42" s="44">
        <f>660.4+683.7</f>
        <v>1344.1</v>
      </c>
      <c r="AG42" s="11">
        <f>AF42/AE42*100</f>
        <v>97.50453391367428</v>
      </c>
      <c r="AH42" s="44">
        <f>775.3+1148.6</f>
        <v>1923.8999999999999</v>
      </c>
      <c r="AI42" s="44">
        <f>672.1+773.5</f>
        <v>1445.6</v>
      </c>
      <c r="AJ42" s="89">
        <f>AB42+AE42+AH42</f>
        <v>4692.5</v>
      </c>
      <c r="AK42" s="89">
        <f>AC42+AF42+AI42</f>
        <v>4508.1</v>
      </c>
      <c r="AL42" s="11">
        <f t="shared" si="32"/>
        <v>96.07032498668087</v>
      </c>
      <c r="AM42" s="44">
        <f>811.5+1372.9</f>
        <v>2184.4</v>
      </c>
      <c r="AN42" s="44">
        <f>750+1208.3</f>
        <v>1958.3</v>
      </c>
      <c r="AO42" s="72">
        <f>M42+Y42+AJ42+AM42</f>
        <v>18257.8</v>
      </c>
      <c r="AP42" s="72">
        <f>N42+Z42+AK42+AN42</f>
        <v>16480.2</v>
      </c>
      <c r="AQ42" s="11">
        <f t="shared" si="7"/>
        <v>90.26388721532716</v>
      </c>
      <c r="AR42" s="72">
        <f t="shared" si="19"/>
        <v>1777.5999999999985</v>
      </c>
      <c r="AS42" s="18">
        <f>C42+AO42-AP42</f>
        <v>1482.5</v>
      </c>
    </row>
    <row r="43" spans="1:45" ht="30" customHeight="1">
      <c r="A43" s="13"/>
      <c r="B43" s="16" t="s">
        <v>122</v>
      </c>
      <c r="C43" s="83">
        <f>C41+C7</f>
        <v>-306.00000000000006</v>
      </c>
      <c r="D43" s="18">
        <f>D41+D7</f>
        <v>3373.1000000000004</v>
      </c>
      <c r="E43" s="18">
        <f>E41+E7</f>
        <v>741.6</v>
      </c>
      <c r="F43" s="11">
        <f>E43/D43*100</f>
        <v>21.985710474044645</v>
      </c>
      <c r="G43" s="18">
        <f>G7+G41</f>
        <v>3398.3</v>
      </c>
      <c r="H43" s="18">
        <f>H7+H41</f>
        <v>3389.4</v>
      </c>
      <c r="I43" s="11">
        <f t="shared" si="1"/>
        <v>99.7381043462908</v>
      </c>
      <c r="J43" s="18">
        <f>J7+J41</f>
        <v>3617.7</v>
      </c>
      <c r="K43" s="18">
        <f>K7+K41</f>
        <v>4343.3</v>
      </c>
      <c r="L43" s="11">
        <f t="shared" si="23"/>
        <v>120.05694225612959</v>
      </c>
      <c r="M43" s="18">
        <f>M7+M41</f>
        <v>10389.1</v>
      </c>
      <c r="N43" s="18">
        <f>N7+N41</f>
        <v>8474.3</v>
      </c>
      <c r="O43" s="11">
        <f t="shared" si="8"/>
        <v>81.56914458422769</v>
      </c>
      <c r="P43" s="18">
        <f>P7+P41</f>
        <v>3629.9</v>
      </c>
      <c r="Q43" s="18">
        <f>Q7+Q41</f>
        <v>3380.7999999999997</v>
      </c>
      <c r="R43" s="11">
        <f>Q43/P43*100</f>
        <v>93.13755199867764</v>
      </c>
      <c r="S43" s="18">
        <f>S7+S41</f>
        <v>3362.8</v>
      </c>
      <c r="T43" s="18">
        <f>T7+T41</f>
        <v>3560.9000000000005</v>
      </c>
      <c r="U43" s="11">
        <f>T43/S43*100</f>
        <v>105.8909242298085</v>
      </c>
      <c r="V43" s="18">
        <f>V7+V41</f>
        <v>3265.4</v>
      </c>
      <c r="W43" s="18">
        <f>W7+W41</f>
        <v>3396.0000000000005</v>
      </c>
      <c r="X43" s="11">
        <f>W43/V43*100</f>
        <v>103.99951001408712</v>
      </c>
      <c r="Y43" s="18">
        <f>Y7+Y41</f>
        <v>10258.1</v>
      </c>
      <c r="Z43" s="18">
        <f>Z7+Z41</f>
        <v>10337.7</v>
      </c>
      <c r="AA43" s="11">
        <f t="shared" si="29"/>
        <v>100.77597215858687</v>
      </c>
      <c r="AB43" s="18">
        <f>AB7+AB41</f>
        <v>2856.7000000000003</v>
      </c>
      <c r="AC43" s="18">
        <f>AC7+AC41</f>
        <v>3330.5</v>
      </c>
      <c r="AD43" s="11">
        <f>AC43/AB43*100</f>
        <v>116.58557076346831</v>
      </c>
      <c r="AE43" s="18">
        <f>AE41+AE7</f>
        <v>2784.5</v>
      </c>
      <c r="AF43" s="18">
        <f>AF41+AF7</f>
        <v>2501</v>
      </c>
      <c r="AG43" s="11">
        <f>AF43/AE43*100</f>
        <v>89.81863889387682</v>
      </c>
      <c r="AH43" s="18">
        <f>AH41+AH7</f>
        <v>3563.1800000000003</v>
      </c>
      <c r="AI43" s="18">
        <f>AI41+AI7</f>
        <v>3221.8</v>
      </c>
      <c r="AJ43" s="18">
        <f>AJ7+AJ41</f>
        <v>9204.379999999997</v>
      </c>
      <c r="AK43" s="18">
        <f>AK7+AK41</f>
        <v>9053.3</v>
      </c>
      <c r="AL43" s="11">
        <f t="shared" si="32"/>
        <v>98.35860753250086</v>
      </c>
      <c r="AM43" s="18">
        <f>AM41+AM7</f>
        <v>4048.9</v>
      </c>
      <c r="AN43" s="18">
        <f>AN41+AN7</f>
        <v>3860.8999999999996</v>
      </c>
      <c r="AO43" s="83">
        <f>AO7+AO41</f>
        <v>33900.48</v>
      </c>
      <c r="AP43" s="83">
        <f>AP7+AP41</f>
        <v>31726.200000000004</v>
      </c>
      <c r="AQ43" s="11">
        <f>AP43/AO43*100</f>
        <v>93.58628550392207</v>
      </c>
      <c r="AR43" s="18">
        <f>AR7+AR41</f>
        <v>2174.279999999999</v>
      </c>
      <c r="AS43" s="18">
        <f>AS7+AS41</f>
        <v>1868.2799999999997</v>
      </c>
    </row>
    <row r="44" spans="1:57" ht="27.75" customHeight="1">
      <c r="A44" s="104"/>
      <c r="B44" s="105"/>
      <c r="C44" s="106"/>
      <c r="D44" s="85"/>
      <c r="E44" s="85"/>
      <c r="F44" s="124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25"/>
      <c r="AP44" s="25"/>
      <c r="AQ44" s="86"/>
      <c r="AR44" s="86"/>
      <c r="AS44" s="85"/>
      <c r="AT44" s="85"/>
      <c r="AU44" s="85"/>
      <c r="AV44" s="85"/>
      <c r="AW44" s="85"/>
      <c r="AX44" s="85"/>
      <c r="AY44" s="85"/>
      <c r="AZ44" s="85"/>
      <c r="BA44" s="85"/>
      <c r="BB44" s="46"/>
      <c r="BC44" s="46"/>
      <c r="BD44" s="46"/>
      <c r="BE44" s="46"/>
    </row>
    <row r="45" spans="1:57" s="12" customFormat="1" ht="19.5" customHeight="1" hidden="1">
      <c r="A45" s="30"/>
      <c r="B45" s="12" t="s">
        <v>123</v>
      </c>
      <c r="C45" s="25"/>
      <c r="D45" s="27"/>
      <c r="E45" s="27"/>
      <c r="F45" s="124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34"/>
      <c r="AP45" s="34"/>
      <c r="AQ45" s="61"/>
      <c r="AR45" s="166" t="s">
        <v>137</v>
      </c>
      <c r="AS45" s="167"/>
      <c r="AT45" s="28"/>
      <c r="AU45" s="28"/>
      <c r="AV45" s="28"/>
      <c r="AW45" s="28"/>
      <c r="AX45" s="28"/>
      <c r="AY45" s="27"/>
      <c r="AZ45" s="6"/>
      <c r="BA45" s="6"/>
      <c r="BB45" s="29"/>
      <c r="BC45" s="6"/>
      <c r="BE45" s="6"/>
    </row>
    <row r="46" spans="1:57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40"/>
      <c r="AP46" s="40"/>
      <c r="AQ46" s="41"/>
      <c r="AR46" s="2"/>
      <c r="AS46" s="4" t="s">
        <v>135</v>
      </c>
      <c r="AT46" s="28"/>
      <c r="AU46" s="28"/>
      <c r="AV46" s="28"/>
      <c r="AW46" s="28"/>
      <c r="AX46" s="28"/>
      <c r="AY46" s="27"/>
      <c r="AZ46" s="6"/>
      <c r="BA46" s="6"/>
      <c r="BB46" s="29"/>
      <c r="BC46" s="6"/>
      <c r="BE46" s="6"/>
    </row>
    <row r="47" spans="1:57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H47" s="28"/>
      <c r="AI47" s="28"/>
      <c r="AM47" s="28"/>
      <c r="AN47" s="28"/>
      <c r="AS47" s="2"/>
      <c r="AT47" s="28"/>
      <c r="AU47" s="28"/>
      <c r="AV47" s="28"/>
      <c r="AW47" s="28"/>
      <c r="AX47" s="28"/>
      <c r="AY47" s="27"/>
      <c r="AZ47" s="6"/>
      <c r="BA47" s="6"/>
      <c r="BB47" s="29"/>
      <c r="BC47" s="6"/>
      <c r="BE47" s="6"/>
    </row>
    <row r="48" spans="1:57" ht="24.75" customHeight="1">
      <c r="A48" s="2"/>
      <c r="C48" s="31"/>
      <c r="D48" s="21"/>
      <c r="E48" s="21"/>
      <c r="F48" s="28"/>
      <c r="AE48" s="60"/>
      <c r="AF48" s="60"/>
      <c r="AG48" s="60"/>
      <c r="AH48" s="60"/>
      <c r="AI48" s="60"/>
      <c r="AM48" s="60"/>
      <c r="AN48" s="60"/>
      <c r="AT48" s="21"/>
      <c r="AU48" s="21"/>
      <c r="AV48" s="21"/>
      <c r="AW48" s="21"/>
      <c r="AX48" s="21"/>
      <c r="AY48" s="21"/>
      <c r="AZ48" s="7"/>
      <c r="BA48" s="7"/>
      <c r="BB48" s="32"/>
      <c r="BC48" s="7"/>
      <c r="BE48" s="7"/>
    </row>
    <row r="49" spans="1:45" s="38" customFormat="1" ht="63.75" customHeight="1">
      <c r="A49" s="33"/>
      <c r="B49" s="150" t="s">
        <v>138</v>
      </c>
      <c r="C49" s="150"/>
      <c r="D49" s="150"/>
      <c r="E49" s="150"/>
      <c r="F49" s="150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61"/>
      <c r="AI49" s="61"/>
      <c r="AJ49" s="12"/>
      <c r="AK49" s="12"/>
      <c r="AL49" s="12"/>
      <c r="AM49" s="61"/>
      <c r="AN49" s="61"/>
      <c r="AO49" s="2"/>
      <c r="AP49" s="2"/>
      <c r="AQ49" s="12"/>
      <c r="AR49" s="2"/>
      <c r="AS49" s="2"/>
    </row>
    <row r="50" spans="1:45" ht="73.5" customHeight="1" hidden="1">
      <c r="A50" s="146" t="s">
        <v>134</v>
      </c>
      <c r="B50" s="146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21"/>
      <c r="AP50" s="21"/>
      <c r="AQ50" s="60"/>
      <c r="AR50" s="21"/>
      <c r="AS50" s="21"/>
    </row>
    <row r="51" spans="2:45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O51" s="21"/>
      <c r="AP51" s="21"/>
      <c r="AQ51" s="60"/>
      <c r="AR51" s="21"/>
      <c r="AS51" s="21"/>
    </row>
    <row r="52" spans="7:45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O52" s="21"/>
      <c r="AP52" s="21"/>
      <c r="AQ52" s="60"/>
      <c r="AR52" s="21"/>
      <c r="AS52" s="21"/>
    </row>
    <row r="53" spans="2:45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O53" s="21"/>
      <c r="AP53" s="21"/>
      <c r="AQ53" s="60"/>
      <c r="AR53" s="21"/>
      <c r="AS53" s="21"/>
    </row>
    <row r="54" spans="2:45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O54" s="21"/>
      <c r="AP54" s="21"/>
      <c r="AQ54" s="60"/>
      <c r="AR54" s="21"/>
      <c r="AS54" s="21"/>
    </row>
    <row r="55" spans="2:45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O55" s="21"/>
      <c r="AP55" s="21"/>
      <c r="AQ55" s="60"/>
      <c r="AR55" s="21"/>
      <c r="AS55" s="21"/>
    </row>
    <row r="56" spans="7:45" ht="18.75"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O56" s="21"/>
      <c r="AP56" s="21"/>
      <c r="AQ56" s="60"/>
      <c r="AR56" s="21"/>
      <c r="AS56" s="21"/>
    </row>
    <row r="57" spans="7:45" ht="18.75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O57" s="21"/>
      <c r="AP57" s="21"/>
      <c r="AQ57" s="60"/>
      <c r="AR57" s="21"/>
      <c r="AS57" s="21"/>
    </row>
    <row r="58" spans="7:45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O58" s="21"/>
      <c r="AP58" s="21"/>
      <c r="AQ58" s="60"/>
      <c r="AR58" s="21"/>
      <c r="AS58" s="21"/>
    </row>
    <row r="59" spans="7:45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O59" s="21"/>
      <c r="AP59" s="21"/>
      <c r="AQ59" s="60"/>
      <c r="AR59" s="21"/>
      <c r="AS59" s="21"/>
    </row>
    <row r="60" spans="7:45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O60" s="21"/>
      <c r="AP60" s="21"/>
      <c r="AQ60" s="60"/>
      <c r="AR60" s="21"/>
      <c r="AS60" s="21"/>
    </row>
    <row r="61" spans="7:45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O61" s="21"/>
      <c r="AP61" s="21"/>
      <c r="AQ61" s="60"/>
      <c r="AR61" s="21"/>
      <c r="AS61" s="21"/>
    </row>
    <row r="62" spans="7:45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O62" s="21"/>
      <c r="AP62" s="21"/>
      <c r="AQ62" s="60"/>
      <c r="AR62" s="21"/>
      <c r="AS62" s="21"/>
    </row>
    <row r="63" spans="7:45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O63" s="21"/>
      <c r="AP63" s="21"/>
      <c r="AQ63" s="60"/>
      <c r="AR63" s="21"/>
      <c r="AS63" s="21"/>
    </row>
    <row r="64" spans="7:45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O64" s="21"/>
      <c r="AP64" s="21"/>
      <c r="AQ64" s="60"/>
      <c r="AR64" s="21"/>
      <c r="AS64" s="21"/>
    </row>
    <row r="65" spans="7:45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O65" s="21"/>
      <c r="AP65" s="21"/>
      <c r="AQ65" s="60"/>
      <c r="AR65" s="21"/>
      <c r="AS65" s="21"/>
    </row>
    <row r="66" spans="7:45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O66" s="21"/>
      <c r="AP66" s="21"/>
      <c r="AQ66" s="60"/>
      <c r="AR66" s="21"/>
      <c r="AS66" s="21"/>
    </row>
    <row r="67" spans="7:45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O67" s="21"/>
      <c r="AP67" s="21"/>
      <c r="AQ67" s="60"/>
      <c r="AR67" s="21"/>
      <c r="AS67" s="21"/>
    </row>
    <row r="68" spans="7:45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O68" s="21"/>
      <c r="AP68" s="21"/>
      <c r="AQ68" s="60"/>
      <c r="AR68" s="21"/>
      <c r="AS68" s="21"/>
    </row>
    <row r="69" spans="7:45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O69" s="21"/>
      <c r="AP69" s="21"/>
      <c r="AQ69" s="60"/>
      <c r="AR69" s="21"/>
      <c r="AS69" s="21"/>
    </row>
    <row r="70" spans="7:45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O70" s="21"/>
      <c r="AP70" s="21"/>
      <c r="AQ70" s="60"/>
      <c r="AR70" s="21"/>
      <c r="AS70" s="21"/>
    </row>
    <row r="71" spans="7:45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O71" s="21"/>
      <c r="AP71" s="21"/>
      <c r="AQ71" s="60"/>
      <c r="AR71" s="21"/>
      <c r="AS71" s="21"/>
    </row>
    <row r="72" spans="7:45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O72" s="21"/>
      <c r="AP72" s="21"/>
      <c r="AQ72" s="60"/>
      <c r="AR72" s="21"/>
      <c r="AS72" s="21"/>
    </row>
    <row r="73" spans="7:45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O73" s="21"/>
      <c r="AP73" s="21"/>
      <c r="AQ73" s="60"/>
      <c r="AR73" s="21"/>
      <c r="AS73" s="21"/>
    </row>
    <row r="74" spans="7:45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O74" s="21"/>
      <c r="AP74" s="21"/>
      <c r="AQ74" s="60"/>
      <c r="AR74" s="21"/>
      <c r="AS74" s="21"/>
    </row>
    <row r="75" spans="7:45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O75" s="21"/>
      <c r="AP75" s="21"/>
      <c r="AQ75" s="60"/>
      <c r="AR75" s="21"/>
      <c r="AS75" s="21"/>
    </row>
    <row r="76" spans="7:45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O76" s="21"/>
      <c r="AP76" s="21"/>
      <c r="AQ76" s="60"/>
      <c r="AR76" s="21"/>
      <c r="AS76" s="21"/>
    </row>
    <row r="77" spans="7:45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O77" s="21"/>
      <c r="AP77" s="21"/>
      <c r="AQ77" s="60"/>
      <c r="AR77" s="21"/>
      <c r="AS77" s="21"/>
    </row>
    <row r="78" spans="7:45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O78" s="21"/>
      <c r="AP78" s="21"/>
      <c r="AQ78" s="60"/>
      <c r="AR78" s="21"/>
      <c r="AS78" s="21"/>
    </row>
    <row r="79" spans="7:45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O79" s="21"/>
      <c r="AP79" s="21"/>
      <c r="AQ79" s="60"/>
      <c r="AR79" s="21"/>
      <c r="AS79" s="21"/>
    </row>
    <row r="80" spans="7:45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O80" s="21"/>
      <c r="AP80" s="21"/>
      <c r="AQ80" s="60"/>
      <c r="AR80" s="21"/>
      <c r="AS80" s="21"/>
    </row>
    <row r="81" spans="7:45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O81" s="21"/>
      <c r="AP81" s="21"/>
      <c r="AQ81" s="60"/>
      <c r="AR81" s="21"/>
      <c r="AS81" s="21"/>
    </row>
    <row r="82" spans="7:45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O82" s="21"/>
      <c r="AP82" s="21"/>
      <c r="AQ82" s="60"/>
      <c r="AR82" s="21"/>
      <c r="AS82" s="21"/>
    </row>
    <row r="83" spans="7:45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O83" s="21"/>
      <c r="AP83" s="21"/>
      <c r="AQ83" s="60"/>
      <c r="AR83" s="21"/>
      <c r="AS83" s="21"/>
    </row>
    <row r="84" spans="7:45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O84" s="21"/>
      <c r="AP84" s="21"/>
      <c r="AQ84" s="60"/>
      <c r="AR84" s="21"/>
      <c r="AS84" s="21"/>
    </row>
    <row r="85" spans="7:45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O85" s="21"/>
      <c r="AP85" s="21"/>
      <c r="AQ85" s="60"/>
      <c r="AR85" s="21"/>
      <c r="AS85" s="21"/>
    </row>
    <row r="86" spans="7:45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O86" s="21"/>
      <c r="AP86" s="21"/>
      <c r="AQ86" s="60"/>
      <c r="AR86" s="21"/>
      <c r="AS86" s="21"/>
    </row>
    <row r="87" spans="7:45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O87" s="21"/>
      <c r="AP87" s="21"/>
      <c r="AQ87" s="60"/>
      <c r="AR87" s="21"/>
      <c r="AS87" s="21"/>
    </row>
    <row r="88" spans="7:45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O88" s="21"/>
      <c r="AP88" s="21"/>
      <c r="AQ88" s="60"/>
      <c r="AR88" s="21"/>
      <c r="AS88" s="21"/>
    </row>
    <row r="89" spans="7:45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O89" s="21"/>
      <c r="AP89" s="21"/>
      <c r="AQ89" s="60"/>
      <c r="AR89" s="21"/>
      <c r="AS89" s="21"/>
    </row>
    <row r="90" spans="7:45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O90" s="21"/>
      <c r="AP90" s="21"/>
      <c r="AQ90" s="60"/>
      <c r="AR90" s="21"/>
      <c r="AS90" s="21"/>
    </row>
    <row r="91" spans="7:45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O91" s="21"/>
      <c r="AP91" s="21"/>
      <c r="AQ91" s="60"/>
      <c r="AR91" s="21"/>
      <c r="AS91" s="21"/>
    </row>
    <row r="92" spans="7:45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O92" s="21"/>
      <c r="AP92" s="21"/>
      <c r="AQ92" s="60"/>
      <c r="AR92" s="21"/>
      <c r="AS92" s="21"/>
    </row>
    <row r="93" spans="7:45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O93" s="21"/>
      <c r="AP93" s="21"/>
      <c r="AQ93" s="60"/>
      <c r="AR93" s="21"/>
      <c r="AS93" s="21"/>
    </row>
    <row r="94" spans="7:45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O94" s="21"/>
      <c r="AP94" s="21"/>
      <c r="AQ94" s="60"/>
      <c r="AR94" s="21"/>
      <c r="AS94" s="21"/>
    </row>
    <row r="95" spans="7:45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O95" s="21"/>
      <c r="AP95" s="21"/>
      <c r="AQ95" s="60"/>
      <c r="AR95" s="21"/>
      <c r="AS95" s="21"/>
    </row>
  </sheetData>
  <sheetProtection/>
  <mergeCells count="23">
    <mergeCell ref="AB5:AD5"/>
    <mergeCell ref="M5:O5"/>
    <mergeCell ref="AH5:AI5"/>
    <mergeCell ref="AR45:AS45"/>
    <mergeCell ref="Y5:AA5"/>
    <mergeCell ref="V5:X5"/>
    <mergeCell ref="AE5:AG5"/>
    <mergeCell ref="A50:B50"/>
    <mergeCell ref="B49:F49"/>
    <mergeCell ref="D5:F5"/>
    <mergeCell ref="G5:I5"/>
    <mergeCell ref="P5:R5"/>
    <mergeCell ref="J5:L5"/>
    <mergeCell ref="I1:AS1"/>
    <mergeCell ref="B2:AS2"/>
    <mergeCell ref="B3:AS3"/>
    <mergeCell ref="B4:F4"/>
    <mergeCell ref="AO5:AQ5"/>
    <mergeCell ref="AR5:AR6"/>
    <mergeCell ref="AM5:AN5"/>
    <mergeCell ref="AJ5:AL5"/>
    <mergeCell ref="S5:U5"/>
    <mergeCell ref="AS5:AS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E95"/>
  <sheetViews>
    <sheetView view="pageBreakPreview" zoomScale="76" zoomScaleNormal="50" zoomScaleSheetLayoutView="76" zoomScalePageLayoutView="0" workbookViewId="0" topLeftCell="A1">
      <pane xSplit="6" ySplit="8" topLeftCell="AA1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12" sqref="B12"/>
    </sheetView>
  </sheetViews>
  <sheetFormatPr defaultColWidth="6.75390625" defaultRowHeight="12.75"/>
  <cols>
    <col min="1" max="1" width="5.125" style="1" customWidth="1"/>
    <col min="2" max="2" width="49.875" style="2" customWidth="1"/>
    <col min="3" max="3" width="17.375" style="57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2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2.75390625" style="12" customWidth="1"/>
    <col min="26" max="26" width="12.375" style="12" customWidth="1"/>
    <col min="27" max="27" width="11.125" style="12" customWidth="1"/>
    <col min="28" max="28" width="15.25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75390625" style="12" hidden="1" customWidth="1"/>
    <col min="35" max="35" width="11.00390625" style="12" hidden="1" customWidth="1"/>
    <col min="36" max="36" width="12.75390625" style="12" customWidth="1"/>
    <col min="37" max="37" width="12.375" style="12" customWidth="1"/>
    <col min="38" max="38" width="11.125" style="12" customWidth="1"/>
    <col min="39" max="39" width="12.75390625" style="12" customWidth="1"/>
    <col min="40" max="40" width="11.00390625" style="12" customWidth="1"/>
    <col min="41" max="42" width="14.75390625" style="2" customWidth="1"/>
    <col min="43" max="43" width="11.125" style="12" customWidth="1"/>
    <col min="44" max="44" width="16.75390625" style="2" hidden="1" customWidth="1"/>
    <col min="45" max="45" width="18.25390625" style="2" customWidth="1"/>
    <col min="46" max="46" width="14.875" style="2" customWidth="1"/>
    <col min="47" max="47" width="11.625" style="2" customWidth="1"/>
    <col min="48" max="16384" width="6.75390625" style="2" customWidth="1"/>
  </cols>
  <sheetData>
    <row r="1" spans="9:45" ht="14.25" customHeight="1">
      <c r="I1" s="158" t="s">
        <v>50</v>
      </c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</row>
    <row r="2" spans="1:45" s="63" customFormat="1" ht="42" customHeight="1">
      <c r="A2" s="159" t="s">
        <v>131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</row>
    <row r="3" spans="1:45" s="63" customFormat="1" ht="42" customHeight="1">
      <c r="A3" s="62"/>
      <c r="B3" s="159" t="s">
        <v>159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</row>
    <row r="4" spans="2:45" ht="18.75">
      <c r="B4" s="160"/>
      <c r="C4" s="160"/>
      <c r="D4" s="160"/>
      <c r="E4" s="160"/>
      <c r="F4" s="160"/>
      <c r="AE4" s="6"/>
      <c r="AF4" s="6"/>
      <c r="AG4" s="6"/>
      <c r="AH4" s="6"/>
      <c r="AI4" s="6"/>
      <c r="AM4" s="6"/>
      <c r="AN4" s="6"/>
      <c r="AS4" s="5" t="s">
        <v>7</v>
      </c>
    </row>
    <row r="5" spans="1:45" ht="58.5" customHeight="1">
      <c r="A5" s="50" t="s">
        <v>55</v>
      </c>
      <c r="B5" s="51"/>
      <c r="C5" s="52" t="s">
        <v>1</v>
      </c>
      <c r="D5" s="151" t="s">
        <v>142</v>
      </c>
      <c r="E5" s="152"/>
      <c r="F5" s="153"/>
      <c r="G5" s="154" t="s">
        <v>143</v>
      </c>
      <c r="H5" s="155"/>
      <c r="I5" s="156"/>
      <c r="J5" s="154" t="s">
        <v>147</v>
      </c>
      <c r="K5" s="155"/>
      <c r="L5" s="156"/>
      <c r="M5" s="154" t="s">
        <v>149</v>
      </c>
      <c r="N5" s="155"/>
      <c r="O5" s="156"/>
      <c r="P5" s="154" t="s">
        <v>148</v>
      </c>
      <c r="Q5" s="155"/>
      <c r="R5" s="156"/>
      <c r="S5" s="154" t="s">
        <v>150</v>
      </c>
      <c r="T5" s="155"/>
      <c r="U5" s="156"/>
      <c r="V5" s="154" t="s">
        <v>151</v>
      </c>
      <c r="W5" s="155"/>
      <c r="X5" s="156"/>
      <c r="Y5" s="154" t="s">
        <v>153</v>
      </c>
      <c r="Z5" s="155"/>
      <c r="AA5" s="156"/>
      <c r="AB5" s="154" t="s">
        <v>154</v>
      </c>
      <c r="AC5" s="155"/>
      <c r="AD5" s="156"/>
      <c r="AE5" s="154" t="s">
        <v>155</v>
      </c>
      <c r="AF5" s="155"/>
      <c r="AG5" s="156"/>
      <c r="AH5" s="154" t="s">
        <v>156</v>
      </c>
      <c r="AI5" s="156"/>
      <c r="AJ5" s="154" t="s">
        <v>157</v>
      </c>
      <c r="AK5" s="155"/>
      <c r="AL5" s="156"/>
      <c r="AM5" s="154" t="s">
        <v>158</v>
      </c>
      <c r="AN5" s="156"/>
      <c r="AO5" s="151" t="s">
        <v>144</v>
      </c>
      <c r="AP5" s="152"/>
      <c r="AQ5" s="153"/>
      <c r="AR5" s="161" t="s">
        <v>145</v>
      </c>
      <c r="AS5" s="161" t="s">
        <v>161</v>
      </c>
    </row>
    <row r="6" spans="1:45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8" t="s">
        <v>0</v>
      </c>
      <c r="AR6" s="162"/>
      <c r="AS6" s="162"/>
    </row>
    <row r="7" spans="1:47" s="12" customFormat="1" ht="36" customHeight="1">
      <c r="A7" s="8"/>
      <c r="B7" s="9" t="s">
        <v>89</v>
      </c>
      <c r="C7" s="11">
        <f>SUM(C8:C40)</f>
        <v>-16.9</v>
      </c>
      <c r="D7" s="11">
        <f>SUM(D8:D40)</f>
        <v>111.89999999999999</v>
      </c>
      <c r="E7" s="11">
        <f>SUM(E8:E40)</f>
        <v>77.09999999999998</v>
      </c>
      <c r="F7" s="11">
        <f>E7/D7*100</f>
        <v>68.90080428954423</v>
      </c>
      <c r="G7" s="11">
        <f>SUM(G8:G40)</f>
        <v>181.2</v>
      </c>
      <c r="H7" s="11">
        <f>SUM(H8:H40)</f>
        <v>147.29999999999998</v>
      </c>
      <c r="I7" s="11">
        <f>H7/G7*100</f>
        <v>81.29139072847681</v>
      </c>
      <c r="J7" s="11">
        <f>SUM(J8:J40)</f>
        <v>243.29999999999998</v>
      </c>
      <c r="K7" s="11">
        <f>SUM(K8:K40)</f>
        <v>194.79999999999998</v>
      </c>
      <c r="L7" s="11">
        <f>K7/J7*100</f>
        <v>80.06576243321003</v>
      </c>
      <c r="M7" s="11">
        <f>SUM(M8:M40)</f>
        <v>536.4</v>
      </c>
      <c r="N7" s="11">
        <f>SUM(N8:N40)</f>
        <v>419.20000000000005</v>
      </c>
      <c r="O7" s="11">
        <f>N7/M7*100</f>
        <v>78.15063385533185</v>
      </c>
      <c r="P7" s="11">
        <f>SUM(P8:P40)</f>
        <v>187.70000000000002</v>
      </c>
      <c r="Q7" s="11">
        <f>SUM(Q8:Q40)</f>
        <v>254.80000000000004</v>
      </c>
      <c r="R7" s="11">
        <f>Q7/P7*100</f>
        <v>135.74853489611084</v>
      </c>
      <c r="S7" s="11">
        <f>SUM(S8:S40)</f>
        <v>201.20000000000002</v>
      </c>
      <c r="T7" s="11">
        <f>SUM(T8:T40)</f>
        <v>226.69999999999996</v>
      </c>
      <c r="U7" s="11">
        <f>T7/S7*100</f>
        <v>112.67395626242542</v>
      </c>
      <c r="V7" s="11">
        <f>SUM(V8:V40)</f>
        <v>234.6</v>
      </c>
      <c r="W7" s="11">
        <f>SUM(W8:W40)</f>
        <v>231.79999999999998</v>
      </c>
      <c r="X7" s="11">
        <f>W7/V7*100</f>
        <v>98.80647911338448</v>
      </c>
      <c r="Y7" s="11">
        <f>SUM(Y8:Y40)</f>
        <v>623.4999999999999</v>
      </c>
      <c r="Z7" s="11">
        <f>SUM(Z8:Z40)</f>
        <v>713.3</v>
      </c>
      <c r="AA7" s="11">
        <f>Z7/Y7*100</f>
        <v>114.40256615878108</v>
      </c>
      <c r="AB7" s="11">
        <f>SUM(AB8:AB40)</f>
        <v>144.10000000000002</v>
      </c>
      <c r="AC7" s="11">
        <f>SUM(AC8:AC40)</f>
        <v>129.1</v>
      </c>
      <c r="AD7" s="11">
        <f>AC7/AB7*100</f>
        <v>89.59056210964607</v>
      </c>
      <c r="AE7" s="11">
        <f>SUM(AE8:AE40)</f>
        <v>124.6</v>
      </c>
      <c r="AF7" s="11">
        <f>SUM(AF8:AF40)</f>
        <v>142.8</v>
      </c>
      <c r="AG7" s="11">
        <f>AF7/AE7*100</f>
        <v>114.60674157303372</v>
      </c>
      <c r="AH7" s="11">
        <f>SUM(AH8:AH40)</f>
        <v>164.49999999999997</v>
      </c>
      <c r="AI7" s="11">
        <f>SUM(AI8:AI40)</f>
        <v>156.70000000000002</v>
      </c>
      <c r="AJ7" s="11">
        <f>SUM(AJ8:AJ40)</f>
        <v>433.20000000000005</v>
      </c>
      <c r="AK7" s="11">
        <f>SUM(AK8:AK40)</f>
        <v>428.59999999999997</v>
      </c>
      <c r="AL7" s="11">
        <f>AK7/AJ7*100</f>
        <v>98.93813481071096</v>
      </c>
      <c r="AM7" s="11">
        <f>SUM(AM8:AM40)</f>
        <v>217.10000000000002</v>
      </c>
      <c r="AN7" s="11">
        <f>SUM(AN8:AN40)</f>
        <v>214.3</v>
      </c>
      <c r="AO7" s="67">
        <f>SUM(AO8:AO40)</f>
        <v>1810.1999999999998</v>
      </c>
      <c r="AP7" s="67">
        <f>SUM(AP8:AP40)</f>
        <v>1775.4000000000003</v>
      </c>
      <c r="AQ7" s="11">
        <f>AP7/AO7*100</f>
        <v>98.07756049055357</v>
      </c>
      <c r="AR7" s="67">
        <f>SUM(AR8:AR40)</f>
        <v>34.799999999999926</v>
      </c>
      <c r="AS7" s="67">
        <f>SUM(AS8:AS40)</f>
        <v>17.899999999999928</v>
      </c>
      <c r="AT7" s="27">
        <f>SUM(AR8:AR40)</f>
        <v>34.799999999999926</v>
      </c>
      <c r="AU7" s="27">
        <f>SUM(AS8:AS40)</f>
        <v>17.899999999999928</v>
      </c>
    </row>
    <row r="8" spans="1:45" ht="24.75" customHeight="1">
      <c r="A8" s="13" t="s">
        <v>13</v>
      </c>
      <c r="B8" s="47" t="s">
        <v>91</v>
      </c>
      <c r="C8" s="14">
        <v>0</v>
      </c>
      <c r="D8" s="44">
        <v>7.5</v>
      </c>
      <c r="E8" s="44">
        <v>0.5</v>
      </c>
      <c r="F8" s="11">
        <f>E8/D8*100</f>
        <v>6.666666666666667</v>
      </c>
      <c r="G8" s="44">
        <v>12.9</v>
      </c>
      <c r="H8" s="44">
        <v>8.3</v>
      </c>
      <c r="I8" s="11">
        <f>H8/G8*100</f>
        <v>64.34108527131784</v>
      </c>
      <c r="J8" s="44">
        <v>15.3</v>
      </c>
      <c r="K8" s="44">
        <v>25.8</v>
      </c>
      <c r="L8" s="11">
        <f>K8/J8*100</f>
        <v>168.62745098039215</v>
      </c>
      <c r="M8" s="89">
        <f>D8+G8+J8</f>
        <v>35.7</v>
      </c>
      <c r="N8" s="89">
        <f>E8+H8+K8</f>
        <v>34.6</v>
      </c>
      <c r="O8" s="11">
        <f>N8/M8*100</f>
        <v>96.9187675070028</v>
      </c>
      <c r="P8" s="44">
        <v>14</v>
      </c>
      <c r="Q8" s="44">
        <v>14.6</v>
      </c>
      <c r="R8" s="11">
        <f>Q8/P8*100</f>
        <v>104.28571428571429</v>
      </c>
      <c r="S8" s="44">
        <v>14.1</v>
      </c>
      <c r="T8" s="44">
        <v>14.2</v>
      </c>
      <c r="U8" s="11">
        <f>T8/S8*100</f>
        <v>100.70921985815602</v>
      </c>
      <c r="V8" s="44">
        <v>7.2</v>
      </c>
      <c r="W8" s="44">
        <v>7.1</v>
      </c>
      <c r="X8" s="11">
        <f>W8/V8*100</f>
        <v>98.6111111111111</v>
      </c>
      <c r="Y8" s="89">
        <f>P8+S8+V8</f>
        <v>35.300000000000004</v>
      </c>
      <c r="Z8" s="89">
        <f>Q8+T8+W8</f>
        <v>35.9</v>
      </c>
      <c r="AA8" s="11">
        <f>Z8/Y8*100</f>
        <v>101.699716713881</v>
      </c>
      <c r="AB8" s="44">
        <v>3.2</v>
      </c>
      <c r="AC8" s="44">
        <v>3.2</v>
      </c>
      <c r="AD8" s="11">
        <f>AC8/AB8*100</f>
        <v>100</v>
      </c>
      <c r="AE8" s="44">
        <v>7.3</v>
      </c>
      <c r="AF8" s="44">
        <v>7.3</v>
      </c>
      <c r="AG8" s="11">
        <f>AF8/AE8*100</f>
        <v>100</v>
      </c>
      <c r="AH8" s="44">
        <v>20</v>
      </c>
      <c r="AI8" s="44">
        <v>20</v>
      </c>
      <c r="AJ8" s="89">
        <f>AB8+AE8+AH8</f>
        <v>30.5</v>
      </c>
      <c r="AK8" s="89">
        <f>AC8+AF8+AI8</f>
        <v>30.5</v>
      </c>
      <c r="AL8" s="11">
        <f>AK8/AJ8*100</f>
        <v>100</v>
      </c>
      <c r="AM8" s="44">
        <v>19.6</v>
      </c>
      <c r="AN8" s="44">
        <v>19.5</v>
      </c>
      <c r="AO8" s="72">
        <f>M8+Y8+AJ8+AM8</f>
        <v>121.1</v>
      </c>
      <c r="AP8" s="72">
        <f>N8+Z8+AK8+AN8</f>
        <v>120.5</v>
      </c>
      <c r="AQ8" s="11">
        <f>AP8/AO8*100</f>
        <v>99.5045417010735</v>
      </c>
      <c r="AR8" s="72">
        <f>AO8-AP8</f>
        <v>0.5999999999999943</v>
      </c>
      <c r="AS8" s="18">
        <f>C8+AO8-AP8</f>
        <v>0.5999999999999943</v>
      </c>
    </row>
    <row r="9" spans="1:45" ht="24.75" customHeight="1">
      <c r="A9" s="13" t="s">
        <v>14</v>
      </c>
      <c r="B9" s="47" t="s">
        <v>92</v>
      </c>
      <c r="C9" s="14">
        <v>-0.4</v>
      </c>
      <c r="D9" s="44">
        <v>1.1</v>
      </c>
      <c r="E9" s="44">
        <v>0.5</v>
      </c>
      <c r="F9" s="11">
        <f>E9/D9*100</f>
        <v>45.45454545454545</v>
      </c>
      <c r="G9" s="44">
        <v>0.8</v>
      </c>
      <c r="H9" s="44">
        <v>0.8</v>
      </c>
      <c r="I9" s="11">
        <f>H9/G9*100</f>
        <v>100</v>
      </c>
      <c r="J9" s="44">
        <v>0.4</v>
      </c>
      <c r="K9" s="44">
        <v>0.5</v>
      </c>
      <c r="L9" s="11">
        <f>K9/J9*100</f>
        <v>125</v>
      </c>
      <c r="M9" s="89">
        <f>D9+G9+J9</f>
        <v>2.3000000000000003</v>
      </c>
      <c r="N9" s="89">
        <f>E9+H9+K9</f>
        <v>1.8</v>
      </c>
      <c r="O9" s="11">
        <f>N9/M9*100</f>
        <v>78.26086956521738</v>
      </c>
      <c r="P9" s="44">
        <v>0.8</v>
      </c>
      <c r="Q9" s="44">
        <v>0.5</v>
      </c>
      <c r="R9" s="11">
        <f>Q9/P9*100</f>
        <v>62.5</v>
      </c>
      <c r="S9" s="44">
        <v>0.6</v>
      </c>
      <c r="T9" s="44">
        <v>0.5</v>
      </c>
      <c r="U9" s="11">
        <f>T9/S9*100</f>
        <v>83.33333333333334</v>
      </c>
      <c r="V9" s="44">
        <v>0.3</v>
      </c>
      <c r="W9" s="44">
        <v>0.5</v>
      </c>
      <c r="X9" s="11">
        <f>W9/V9*100</f>
        <v>166.66666666666669</v>
      </c>
      <c r="Y9" s="89">
        <f>P9+S9+V9</f>
        <v>1.7</v>
      </c>
      <c r="Z9" s="89">
        <f>Q9+T9+W9</f>
        <v>1.5</v>
      </c>
      <c r="AA9" s="11">
        <f>Z9/Y9*100</f>
        <v>88.23529411764706</v>
      </c>
      <c r="AB9" s="44">
        <v>0.7</v>
      </c>
      <c r="AC9" s="44">
        <v>1.1</v>
      </c>
      <c r="AD9" s="11">
        <f>AC9/AB9*100</f>
        <v>157.14285714285717</v>
      </c>
      <c r="AE9" s="44">
        <v>0.7</v>
      </c>
      <c r="AF9" s="44">
        <v>0</v>
      </c>
      <c r="AG9" s="11">
        <f>AF9/AE9*100</f>
        <v>0</v>
      </c>
      <c r="AH9" s="44">
        <v>1</v>
      </c>
      <c r="AI9" s="44">
        <v>2</v>
      </c>
      <c r="AJ9" s="89">
        <f>AB9+AE9+AH9</f>
        <v>2.4</v>
      </c>
      <c r="AK9" s="89">
        <f>AC9+AF9+AI9</f>
        <v>3.1</v>
      </c>
      <c r="AL9" s="11">
        <f>AK9/AJ9*100</f>
        <v>129.16666666666669</v>
      </c>
      <c r="AM9" s="44">
        <v>0.6</v>
      </c>
      <c r="AN9" s="44">
        <v>1</v>
      </c>
      <c r="AO9" s="72">
        <f>M9+Y9+AJ9+AM9</f>
        <v>7</v>
      </c>
      <c r="AP9" s="72">
        <f>N9+Z9+AK9+AN9</f>
        <v>7.4</v>
      </c>
      <c r="AQ9" s="11">
        <f>AP9/AO9*100</f>
        <v>105.71428571428572</v>
      </c>
      <c r="AR9" s="72">
        <f>AO9-AP9</f>
        <v>-0.40000000000000036</v>
      </c>
      <c r="AS9" s="18">
        <f>C9+AO9-AP9</f>
        <v>-0.8000000000000007</v>
      </c>
    </row>
    <row r="10" spans="1:45" ht="25.5" customHeight="1">
      <c r="A10" s="13" t="s">
        <v>15</v>
      </c>
      <c r="B10" s="15" t="s">
        <v>133</v>
      </c>
      <c r="C10" s="14"/>
      <c r="D10" s="44"/>
      <c r="E10" s="44"/>
      <c r="F10" s="11"/>
      <c r="G10" s="44"/>
      <c r="H10" s="44"/>
      <c r="I10" s="111"/>
      <c r="J10" s="44"/>
      <c r="K10" s="44"/>
      <c r="L10" s="111"/>
      <c r="M10" s="89"/>
      <c r="N10" s="89"/>
      <c r="O10" s="11"/>
      <c r="P10" s="44"/>
      <c r="Q10" s="44"/>
      <c r="R10" s="111"/>
      <c r="S10" s="44"/>
      <c r="T10" s="44"/>
      <c r="U10" s="111"/>
      <c r="V10" s="44"/>
      <c r="W10" s="44"/>
      <c r="X10" s="111"/>
      <c r="Y10" s="89"/>
      <c r="Z10" s="89"/>
      <c r="AA10" s="11"/>
      <c r="AB10" s="44"/>
      <c r="AC10" s="44"/>
      <c r="AD10" s="111"/>
      <c r="AE10" s="44"/>
      <c r="AF10" s="44"/>
      <c r="AG10" s="11" t="e">
        <f>AF10/AE10*100</f>
        <v>#DIV/0!</v>
      </c>
      <c r="AH10" s="44"/>
      <c r="AI10" s="44"/>
      <c r="AJ10" s="89"/>
      <c r="AK10" s="89"/>
      <c r="AL10" s="11"/>
      <c r="AM10" s="44"/>
      <c r="AN10" s="44"/>
      <c r="AO10" s="72"/>
      <c r="AP10" s="72"/>
      <c r="AQ10" s="111"/>
      <c r="AR10" s="72"/>
      <c r="AS10" s="18"/>
    </row>
    <row r="11" spans="1:45" ht="24.75" customHeight="1">
      <c r="A11" s="13" t="s">
        <v>16</v>
      </c>
      <c r="B11" s="47" t="s">
        <v>93</v>
      </c>
      <c r="C11" s="14">
        <v>-8.3</v>
      </c>
      <c r="D11" s="44">
        <v>9.4</v>
      </c>
      <c r="E11" s="44">
        <v>0</v>
      </c>
      <c r="F11" s="11">
        <v>0</v>
      </c>
      <c r="G11" s="44">
        <v>24.3</v>
      </c>
      <c r="H11" s="44">
        <v>7</v>
      </c>
      <c r="I11" s="11">
        <f>H11/G11*100</f>
        <v>28.806584362139915</v>
      </c>
      <c r="J11" s="44">
        <v>0.3</v>
      </c>
      <c r="K11" s="44">
        <v>18.2</v>
      </c>
      <c r="L11" s="11">
        <f>K11/J11*100</f>
        <v>6066.666666666666</v>
      </c>
      <c r="M11" s="89">
        <f>D11+G11+J11</f>
        <v>34</v>
      </c>
      <c r="N11" s="89">
        <f>E11+H11+K11</f>
        <v>25.2</v>
      </c>
      <c r="O11" s="11">
        <f>N11/M11*100</f>
        <v>74.11764705882354</v>
      </c>
      <c r="P11" s="44">
        <v>8.1</v>
      </c>
      <c r="Q11" s="44">
        <v>3</v>
      </c>
      <c r="R11" s="11">
        <f>Q11/P11*100</f>
        <v>37.03703703703704</v>
      </c>
      <c r="S11" s="44">
        <v>7.7</v>
      </c>
      <c r="T11" s="44">
        <v>19.3</v>
      </c>
      <c r="U11" s="11">
        <f>T11/S11*100</f>
        <v>250.64935064935065</v>
      </c>
      <c r="V11" s="44">
        <v>10.2</v>
      </c>
      <c r="W11" s="44">
        <v>9.3</v>
      </c>
      <c r="X11" s="11">
        <f>W11/V11*100</f>
        <v>91.1764705882353</v>
      </c>
      <c r="Y11" s="89">
        <f>P11+S11+V11</f>
        <v>26</v>
      </c>
      <c r="Z11" s="89">
        <f>Q11+T11+W11</f>
        <v>31.6</v>
      </c>
      <c r="AA11" s="11">
        <f>Z11/Y11*100</f>
        <v>121.53846153846155</v>
      </c>
      <c r="AB11" s="44">
        <v>8</v>
      </c>
      <c r="AC11" s="44">
        <v>13.9</v>
      </c>
      <c r="AD11" s="11">
        <f>AC11/AB11*100</f>
        <v>173.75</v>
      </c>
      <c r="AE11" s="44">
        <v>11.8</v>
      </c>
      <c r="AF11" s="44">
        <v>14.3</v>
      </c>
      <c r="AG11" s="145">
        <v>0</v>
      </c>
      <c r="AH11" s="44">
        <v>10.8</v>
      </c>
      <c r="AI11" s="44">
        <v>13.9</v>
      </c>
      <c r="AJ11" s="89">
        <f>AB11+AE11+AH11</f>
        <v>30.6</v>
      </c>
      <c r="AK11" s="89">
        <f>AC11+AF11+AI11</f>
        <v>42.1</v>
      </c>
      <c r="AL11" s="11">
        <f>AK11/AJ11*100</f>
        <v>137.58169934640523</v>
      </c>
      <c r="AM11" s="44">
        <v>11.1</v>
      </c>
      <c r="AN11" s="44">
        <v>13.9</v>
      </c>
      <c r="AO11" s="72">
        <f>M11+Y11+AJ11+AM11</f>
        <v>101.69999999999999</v>
      </c>
      <c r="AP11" s="72">
        <f>N11+Z11+AK11+AN11</f>
        <v>112.80000000000001</v>
      </c>
      <c r="AQ11" s="11">
        <f>AP11/AO11*100</f>
        <v>110.91445427728617</v>
      </c>
      <c r="AR11" s="72">
        <f>AO11-AP11</f>
        <v>-11.100000000000023</v>
      </c>
      <c r="AS11" s="18">
        <f>C11+AO11-AP11</f>
        <v>-19.40000000000002</v>
      </c>
    </row>
    <row r="12" spans="1:45" ht="24.75" customHeight="1">
      <c r="A12" s="13" t="s">
        <v>17</v>
      </c>
      <c r="B12" s="47" t="s">
        <v>94</v>
      </c>
      <c r="C12" s="14"/>
      <c r="D12" s="44"/>
      <c r="E12" s="44"/>
      <c r="F12" s="11"/>
      <c r="G12" s="44"/>
      <c r="H12" s="44"/>
      <c r="I12" s="11"/>
      <c r="J12" s="44"/>
      <c r="K12" s="44"/>
      <c r="L12" s="11"/>
      <c r="M12" s="89"/>
      <c r="N12" s="89"/>
      <c r="O12" s="11"/>
      <c r="P12" s="44"/>
      <c r="Q12" s="44"/>
      <c r="R12" s="11"/>
      <c r="S12" s="44"/>
      <c r="T12" s="44"/>
      <c r="U12" s="11"/>
      <c r="V12" s="44"/>
      <c r="W12" s="44"/>
      <c r="X12" s="11"/>
      <c r="Y12" s="89"/>
      <c r="Z12" s="89"/>
      <c r="AA12" s="11"/>
      <c r="AB12" s="44"/>
      <c r="AC12" s="44"/>
      <c r="AD12" s="11"/>
      <c r="AE12" s="44"/>
      <c r="AF12" s="44"/>
      <c r="AG12" s="141" t="e">
        <f aca="true" t="shared" si="0" ref="AG12:AG24">AF12/AE12*100</f>
        <v>#DIV/0!</v>
      </c>
      <c r="AH12" s="44"/>
      <c r="AI12" s="44"/>
      <c r="AJ12" s="89"/>
      <c r="AK12" s="89"/>
      <c r="AL12" s="11"/>
      <c r="AM12" s="44"/>
      <c r="AN12" s="44"/>
      <c r="AO12" s="72"/>
      <c r="AP12" s="72"/>
      <c r="AQ12" s="11"/>
      <c r="AR12" s="72"/>
      <c r="AS12" s="18"/>
    </row>
    <row r="13" spans="1:45" ht="24.75" customHeight="1">
      <c r="A13" s="13" t="s">
        <v>18</v>
      </c>
      <c r="B13" s="47" t="s">
        <v>95</v>
      </c>
      <c r="C13" s="14"/>
      <c r="D13" s="44"/>
      <c r="E13" s="44"/>
      <c r="F13" s="11"/>
      <c r="G13" s="44"/>
      <c r="H13" s="44"/>
      <c r="I13" s="75"/>
      <c r="J13" s="44"/>
      <c r="K13" s="44"/>
      <c r="L13" s="75"/>
      <c r="M13" s="89"/>
      <c r="N13" s="89"/>
      <c r="O13" s="11"/>
      <c r="P13" s="44"/>
      <c r="Q13" s="44"/>
      <c r="R13" s="75"/>
      <c r="S13" s="44"/>
      <c r="T13" s="44"/>
      <c r="U13" s="75"/>
      <c r="V13" s="44"/>
      <c r="W13" s="44"/>
      <c r="X13" s="75"/>
      <c r="Y13" s="89"/>
      <c r="Z13" s="89"/>
      <c r="AA13" s="11"/>
      <c r="AB13" s="44"/>
      <c r="AC13" s="44"/>
      <c r="AD13" s="75"/>
      <c r="AE13" s="44"/>
      <c r="AF13" s="44"/>
      <c r="AG13" s="11" t="e">
        <f t="shared" si="0"/>
        <v>#DIV/0!</v>
      </c>
      <c r="AH13" s="44"/>
      <c r="AI13" s="44"/>
      <c r="AJ13" s="89"/>
      <c r="AK13" s="89"/>
      <c r="AL13" s="11"/>
      <c r="AM13" s="44"/>
      <c r="AN13" s="44"/>
      <c r="AO13" s="72"/>
      <c r="AP13" s="72"/>
      <c r="AQ13" s="11"/>
      <c r="AR13" s="72"/>
      <c r="AS13" s="18"/>
    </row>
    <row r="14" spans="1:45" ht="24.75" customHeight="1">
      <c r="A14" s="13" t="s">
        <v>19</v>
      </c>
      <c r="B14" s="47" t="s">
        <v>96</v>
      </c>
      <c r="C14" s="14">
        <v>-2.7</v>
      </c>
      <c r="D14" s="44">
        <v>0.6</v>
      </c>
      <c r="E14" s="44">
        <v>0.3</v>
      </c>
      <c r="F14" s="11">
        <v>0</v>
      </c>
      <c r="G14" s="44">
        <v>0.6</v>
      </c>
      <c r="H14" s="44">
        <v>0.6</v>
      </c>
      <c r="I14" s="11">
        <f>H14/G14*100</f>
        <v>100</v>
      </c>
      <c r="J14" s="44">
        <v>0.6</v>
      </c>
      <c r="K14" s="44">
        <v>0.7</v>
      </c>
      <c r="L14" s="11">
        <f>K14/J14*100</f>
        <v>116.66666666666667</v>
      </c>
      <c r="M14" s="89">
        <f>D14+G14+J14</f>
        <v>1.7999999999999998</v>
      </c>
      <c r="N14" s="89">
        <f>E14+H14+K14</f>
        <v>1.5999999999999999</v>
      </c>
      <c r="O14" s="11">
        <f>N14/M14*100</f>
        <v>88.8888888888889</v>
      </c>
      <c r="P14" s="44">
        <v>0.9</v>
      </c>
      <c r="Q14" s="44">
        <v>0.5</v>
      </c>
      <c r="R14" s="11">
        <f>Q14/P14*100</f>
        <v>55.55555555555556</v>
      </c>
      <c r="S14" s="44">
        <v>0.8</v>
      </c>
      <c r="T14" s="44">
        <v>0.6</v>
      </c>
      <c r="U14" s="11">
        <f>T14/S14*100</f>
        <v>74.99999999999999</v>
      </c>
      <c r="V14" s="44">
        <v>0.9</v>
      </c>
      <c r="W14" s="44">
        <v>0.7</v>
      </c>
      <c r="X14" s="11">
        <f>W14/V14*100</f>
        <v>77.77777777777777</v>
      </c>
      <c r="Y14" s="89">
        <f>P14+S14+V14</f>
        <v>2.6</v>
      </c>
      <c r="Z14" s="89">
        <f>Q14+T14+W14</f>
        <v>1.8</v>
      </c>
      <c r="AA14" s="11">
        <f>Z14/Y14*100</f>
        <v>69.23076923076923</v>
      </c>
      <c r="AB14" s="44">
        <v>0.7</v>
      </c>
      <c r="AC14" s="44">
        <v>0.8</v>
      </c>
      <c r="AD14" s="11">
        <f>AC14/AB14*100</f>
        <v>114.2857142857143</v>
      </c>
      <c r="AE14" s="44">
        <v>0.7</v>
      </c>
      <c r="AF14" s="44">
        <v>0.5</v>
      </c>
      <c r="AG14" s="11">
        <f t="shared" si="0"/>
        <v>71.42857142857143</v>
      </c>
      <c r="AH14" s="44">
        <v>0.6</v>
      </c>
      <c r="AI14" s="44">
        <v>0.5</v>
      </c>
      <c r="AJ14" s="89">
        <f>AB14+AE14+AH14</f>
        <v>2</v>
      </c>
      <c r="AK14" s="89">
        <f>AC14+AF14+AI14</f>
        <v>1.8</v>
      </c>
      <c r="AL14" s="11">
        <f>AK14/AJ14*100</f>
        <v>90</v>
      </c>
      <c r="AM14" s="44">
        <v>0.5</v>
      </c>
      <c r="AN14" s="44">
        <v>0.7</v>
      </c>
      <c r="AO14" s="72">
        <f>M14+Y14+AJ14+AM14</f>
        <v>6.9</v>
      </c>
      <c r="AP14" s="72">
        <f>N14+Z14+AK14+AN14</f>
        <v>5.9</v>
      </c>
      <c r="AQ14" s="11">
        <f>AP14/AO14*100</f>
        <v>85.5072463768116</v>
      </c>
      <c r="AR14" s="72">
        <f>AO14-AP14</f>
        <v>1</v>
      </c>
      <c r="AS14" s="18">
        <f>C14+AO14-AP14</f>
        <v>-1.7000000000000002</v>
      </c>
    </row>
    <row r="15" spans="1:45" ht="24.75" customHeight="1">
      <c r="A15" s="13" t="s">
        <v>20</v>
      </c>
      <c r="B15" s="47" t="s">
        <v>97</v>
      </c>
      <c r="C15" s="14">
        <v>-2</v>
      </c>
      <c r="D15" s="44">
        <v>41.6</v>
      </c>
      <c r="E15" s="44">
        <v>41.8</v>
      </c>
      <c r="F15" s="11">
        <f>E15/D15*100</f>
        <v>100.48076923076923</v>
      </c>
      <c r="G15" s="44">
        <v>42.5</v>
      </c>
      <c r="H15" s="44">
        <v>42.7</v>
      </c>
      <c r="I15" s="75">
        <f>H15/G15*100</f>
        <v>100.47058823529413</v>
      </c>
      <c r="J15" s="44">
        <v>44.7</v>
      </c>
      <c r="K15" s="44">
        <v>44.3</v>
      </c>
      <c r="L15" s="75">
        <f>K15/J15*100</f>
        <v>99.10514541387023</v>
      </c>
      <c r="M15" s="89">
        <f>D15+G15+J15</f>
        <v>128.8</v>
      </c>
      <c r="N15" s="89">
        <f>E15+H15+K15</f>
        <v>128.8</v>
      </c>
      <c r="O15" s="11">
        <f>N15/M15*100</f>
        <v>100</v>
      </c>
      <c r="P15" s="44">
        <v>33.3</v>
      </c>
      <c r="Q15" s="44">
        <v>32.2</v>
      </c>
      <c r="R15" s="140">
        <f>Q15/P15*100</f>
        <v>96.69669669669672</v>
      </c>
      <c r="S15" s="44">
        <v>39.5</v>
      </c>
      <c r="T15" s="44">
        <v>39.5</v>
      </c>
      <c r="U15" s="140">
        <f>T15/S15*100</f>
        <v>100</v>
      </c>
      <c r="V15" s="44">
        <v>50.4</v>
      </c>
      <c r="W15" s="44">
        <v>51.2</v>
      </c>
      <c r="X15" s="140">
        <f>W15/V15*100</f>
        <v>101.58730158730161</v>
      </c>
      <c r="Y15" s="89">
        <f>P15+S15+V15</f>
        <v>123.19999999999999</v>
      </c>
      <c r="Z15" s="89">
        <f>Q15+T15+W15</f>
        <v>122.9</v>
      </c>
      <c r="AA15" s="11">
        <f>Z15/Y15*100</f>
        <v>99.75649350649351</v>
      </c>
      <c r="AB15" s="44">
        <v>41.8</v>
      </c>
      <c r="AC15" s="44">
        <v>41.8</v>
      </c>
      <c r="AD15" s="140">
        <f>AC15/AB15*100</f>
        <v>100</v>
      </c>
      <c r="AE15" s="44">
        <v>41.9</v>
      </c>
      <c r="AF15" s="44">
        <v>41.9</v>
      </c>
      <c r="AG15" s="11">
        <f t="shared" si="0"/>
        <v>100</v>
      </c>
      <c r="AH15" s="44">
        <v>42.6</v>
      </c>
      <c r="AI15" s="44">
        <v>42.8</v>
      </c>
      <c r="AJ15" s="89">
        <f>AB15+AE15+AH15</f>
        <v>126.29999999999998</v>
      </c>
      <c r="AK15" s="89">
        <f>AC15+AF15+AI15</f>
        <v>126.49999999999999</v>
      </c>
      <c r="AL15" s="11">
        <f>AK15/AJ15*100</f>
        <v>100.15835312747427</v>
      </c>
      <c r="AM15" s="44">
        <v>40.1</v>
      </c>
      <c r="AN15" s="44">
        <v>40.1</v>
      </c>
      <c r="AO15" s="72">
        <f>M15+Y15+AJ15+AM15</f>
        <v>418.4</v>
      </c>
      <c r="AP15" s="72">
        <f>N15+Z15+AK15+AN15</f>
        <v>418.3</v>
      </c>
      <c r="AQ15" s="11">
        <f>AP15/AO15*100</f>
        <v>99.97609942638624</v>
      </c>
      <c r="AR15" s="72">
        <f>AO15-AP15</f>
        <v>0.0999999999999659</v>
      </c>
      <c r="AS15" s="18">
        <f>C15+AO15-AP15</f>
        <v>-1.900000000000034</v>
      </c>
    </row>
    <row r="16" spans="1:45" ht="24.75" customHeight="1">
      <c r="A16" s="13" t="s">
        <v>21</v>
      </c>
      <c r="B16" s="47" t="s">
        <v>98</v>
      </c>
      <c r="C16" s="90"/>
      <c r="D16" s="44"/>
      <c r="E16" s="44"/>
      <c r="F16" s="11"/>
      <c r="G16" s="44"/>
      <c r="H16" s="44"/>
      <c r="I16" s="11"/>
      <c r="J16" s="44"/>
      <c r="K16" s="44"/>
      <c r="L16" s="11"/>
      <c r="M16" s="89"/>
      <c r="N16" s="89"/>
      <c r="O16" s="11"/>
      <c r="P16" s="44"/>
      <c r="Q16" s="44"/>
      <c r="R16" s="11"/>
      <c r="S16" s="44"/>
      <c r="T16" s="44"/>
      <c r="U16" s="11"/>
      <c r="V16" s="44"/>
      <c r="W16" s="44"/>
      <c r="X16" s="11"/>
      <c r="Y16" s="89"/>
      <c r="Z16" s="89"/>
      <c r="AA16" s="11"/>
      <c r="AB16" s="44"/>
      <c r="AC16" s="44"/>
      <c r="AD16" s="11"/>
      <c r="AE16" s="44"/>
      <c r="AF16" s="44"/>
      <c r="AG16" s="11" t="e">
        <f t="shared" si="0"/>
        <v>#DIV/0!</v>
      </c>
      <c r="AH16" s="44"/>
      <c r="AI16" s="44"/>
      <c r="AJ16" s="89"/>
      <c r="AK16" s="89"/>
      <c r="AL16" s="11"/>
      <c r="AM16" s="44"/>
      <c r="AN16" s="44"/>
      <c r="AO16" s="72"/>
      <c r="AP16" s="72"/>
      <c r="AQ16" s="11"/>
      <c r="AR16" s="72"/>
      <c r="AS16" s="18"/>
    </row>
    <row r="17" spans="1:45" ht="24.75" customHeight="1">
      <c r="A17" s="13" t="s">
        <v>22</v>
      </c>
      <c r="B17" s="15" t="s">
        <v>99</v>
      </c>
      <c r="C17" s="90"/>
      <c r="D17" s="44"/>
      <c r="E17" s="44"/>
      <c r="F17" s="11"/>
      <c r="G17" s="44"/>
      <c r="H17" s="44"/>
      <c r="I17" s="113"/>
      <c r="J17" s="44"/>
      <c r="K17" s="44"/>
      <c r="L17" s="113"/>
      <c r="M17" s="89"/>
      <c r="N17" s="89"/>
      <c r="O17" s="11"/>
      <c r="P17" s="44"/>
      <c r="Q17" s="44"/>
      <c r="R17" s="113"/>
      <c r="S17" s="44"/>
      <c r="T17" s="44"/>
      <c r="U17" s="113"/>
      <c r="V17" s="44"/>
      <c r="W17" s="44"/>
      <c r="X17" s="113"/>
      <c r="Y17" s="89"/>
      <c r="Z17" s="89"/>
      <c r="AA17" s="11"/>
      <c r="AB17" s="44"/>
      <c r="AC17" s="44"/>
      <c r="AD17" s="113"/>
      <c r="AE17" s="44"/>
      <c r="AF17" s="44"/>
      <c r="AG17" s="11" t="e">
        <f t="shared" si="0"/>
        <v>#DIV/0!</v>
      </c>
      <c r="AH17" s="44"/>
      <c r="AI17" s="44"/>
      <c r="AJ17" s="89"/>
      <c r="AK17" s="89"/>
      <c r="AL17" s="11"/>
      <c r="AM17" s="44"/>
      <c r="AN17" s="44"/>
      <c r="AO17" s="72"/>
      <c r="AP17" s="72"/>
      <c r="AQ17" s="113"/>
      <c r="AR17" s="72"/>
      <c r="AS17" s="18"/>
    </row>
    <row r="18" spans="1:45" ht="24.75" customHeight="1">
      <c r="A18" s="13" t="s">
        <v>23</v>
      </c>
      <c r="B18" s="15" t="s">
        <v>100</v>
      </c>
      <c r="C18" s="14"/>
      <c r="D18" s="44"/>
      <c r="E18" s="44"/>
      <c r="F18" s="11"/>
      <c r="G18" s="44"/>
      <c r="H18" s="44"/>
      <c r="I18" s="113"/>
      <c r="J18" s="44"/>
      <c r="K18" s="44"/>
      <c r="L18" s="113"/>
      <c r="M18" s="89"/>
      <c r="N18" s="89"/>
      <c r="O18" s="11"/>
      <c r="P18" s="44"/>
      <c r="Q18" s="44"/>
      <c r="R18" s="113"/>
      <c r="S18" s="44"/>
      <c r="T18" s="44"/>
      <c r="U18" s="113"/>
      <c r="V18" s="44"/>
      <c r="W18" s="44"/>
      <c r="X18" s="113"/>
      <c r="Y18" s="89"/>
      <c r="Z18" s="89"/>
      <c r="AA18" s="11"/>
      <c r="AB18" s="44"/>
      <c r="AC18" s="44"/>
      <c r="AD18" s="113"/>
      <c r="AE18" s="44"/>
      <c r="AF18" s="44"/>
      <c r="AG18" s="11" t="e">
        <f t="shared" si="0"/>
        <v>#DIV/0!</v>
      </c>
      <c r="AH18" s="44"/>
      <c r="AI18" s="44"/>
      <c r="AJ18" s="89"/>
      <c r="AK18" s="89"/>
      <c r="AL18" s="11"/>
      <c r="AM18" s="44"/>
      <c r="AN18" s="44"/>
      <c r="AO18" s="72"/>
      <c r="AP18" s="72"/>
      <c r="AQ18" s="11"/>
      <c r="AR18" s="72"/>
      <c r="AS18" s="18"/>
    </row>
    <row r="19" spans="1:45" ht="24.75" customHeight="1">
      <c r="A19" s="13" t="s">
        <v>24</v>
      </c>
      <c r="B19" s="47" t="s">
        <v>101</v>
      </c>
      <c r="C19" s="14"/>
      <c r="D19" s="44"/>
      <c r="E19" s="44"/>
      <c r="F19" s="11"/>
      <c r="G19" s="44"/>
      <c r="H19" s="44"/>
      <c r="I19" s="75"/>
      <c r="J19" s="44"/>
      <c r="K19" s="44"/>
      <c r="L19" s="75"/>
      <c r="M19" s="89"/>
      <c r="N19" s="89"/>
      <c r="O19" s="11"/>
      <c r="P19" s="44"/>
      <c r="Q19" s="44"/>
      <c r="R19" s="75"/>
      <c r="S19" s="44"/>
      <c r="T19" s="44"/>
      <c r="U19" s="75"/>
      <c r="V19" s="44"/>
      <c r="W19" s="44"/>
      <c r="X19" s="75"/>
      <c r="Y19" s="89"/>
      <c r="Z19" s="89"/>
      <c r="AA19" s="11"/>
      <c r="AB19" s="44"/>
      <c r="AC19" s="44"/>
      <c r="AD19" s="75"/>
      <c r="AE19" s="44"/>
      <c r="AF19" s="44"/>
      <c r="AG19" s="141" t="e">
        <f t="shared" si="0"/>
        <v>#DIV/0!</v>
      </c>
      <c r="AH19" s="44"/>
      <c r="AI19" s="44"/>
      <c r="AJ19" s="89"/>
      <c r="AK19" s="89"/>
      <c r="AL19" s="11"/>
      <c r="AM19" s="44"/>
      <c r="AN19" s="44"/>
      <c r="AO19" s="72"/>
      <c r="AP19" s="72"/>
      <c r="AQ19" s="11"/>
      <c r="AR19" s="72"/>
      <c r="AS19" s="18"/>
    </row>
    <row r="20" spans="1:45" ht="24.75" customHeight="1">
      <c r="A20" s="13" t="s">
        <v>25</v>
      </c>
      <c r="B20" s="15" t="s">
        <v>102</v>
      </c>
      <c r="C20" s="125"/>
      <c r="D20" s="44"/>
      <c r="E20" s="44"/>
      <c r="F20" s="94"/>
      <c r="G20" s="44"/>
      <c r="H20" s="44"/>
      <c r="I20" s="113"/>
      <c r="J20" s="44"/>
      <c r="K20" s="44"/>
      <c r="L20" s="113"/>
      <c r="M20" s="89"/>
      <c r="N20" s="89"/>
      <c r="O20" s="11"/>
      <c r="P20" s="44"/>
      <c r="Q20" s="44"/>
      <c r="R20" s="113"/>
      <c r="S20" s="44"/>
      <c r="T20" s="44"/>
      <c r="U20" s="113"/>
      <c r="V20" s="44"/>
      <c r="W20" s="44"/>
      <c r="X20" s="113"/>
      <c r="Y20" s="89"/>
      <c r="Z20" s="89"/>
      <c r="AA20" s="11"/>
      <c r="AB20" s="44"/>
      <c r="AC20" s="44"/>
      <c r="AD20" s="113"/>
      <c r="AE20" s="44"/>
      <c r="AF20" s="44"/>
      <c r="AG20" s="11" t="e">
        <f t="shared" si="0"/>
        <v>#DIV/0!</v>
      </c>
      <c r="AH20" s="44"/>
      <c r="AI20" s="44"/>
      <c r="AJ20" s="89"/>
      <c r="AK20" s="89"/>
      <c r="AL20" s="11"/>
      <c r="AM20" s="44"/>
      <c r="AN20" s="44"/>
      <c r="AO20" s="72"/>
      <c r="AP20" s="72"/>
      <c r="AQ20" s="113"/>
      <c r="AR20" s="72"/>
      <c r="AS20" s="18"/>
    </row>
    <row r="21" spans="1:45" ht="24.75" customHeight="1">
      <c r="A21" s="13" t="s">
        <v>26</v>
      </c>
      <c r="B21" s="56" t="s">
        <v>103</v>
      </c>
      <c r="C21" s="78"/>
      <c r="D21" s="44"/>
      <c r="E21" s="44"/>
      <c r="F21" s="94"/>
      <c r="G21" s="44"/>
      <c r="H21" s="44"/>
      <c r="I21" s="113"/>
      <c r="J21" s="44"/>
      <c r="K21" s="44"/>
      <c r="L21" s="113"/>
      <c r="M21" s="89"/>
      <c r="N21" s="89"/>
      <c r="O21" s="11"/>
      <c r="P21" s="44"/>
      <c r="Q21" s="44"/>
      <c r="R21" s="113"/>
      <c r="S21" s="44"/>
      <c r="T21" s="44"/>
      <c r="U21" s="113"/>
      <c r="V21" s="44"/>
      <c r="W21" s="44"/>
      <c r="X21" s="113"/>
      <c r="Y21" s="89"/>
      <c r="Z21" s="89"/>
      <c r="AA21" s="11"/>
      <c r="AB21" s="44"/>
      <c r="AC21" s="44"/>
      <c r="AD21" s="113"/>
      <c r="AE21" s="44"/>
      <c r="AF21" s="44"/>
      <c r="AG21" s="11" t="e">
        <f t="shared" si="0"/>
        <v>#DIV/0!</v>
      </c>
      <c r="AH21" s="44"/>
      <c r="AI21" s="44"/>
      <c r="AJ21" s="89"/>
      <c r="AK21" s="89"/>
      <c r="AL21" s="11"/>
      <c r="AM21" s="44"/>
      <c r="AN21" s="44"/>
      <c r="AO21" s="72"/>
      <c r="AP21" s="72"/>
      <c r="AQ21" s="11"/>
      <c r="AR21" s="72"/>
      <c r="AS21" s="18"/>
    </row>
    <row r="22" spans="1:45" ht="24.75" customHeight="1">
      <c r="A22" s="13" t="s">
        <v>27</v>
      </c>
      <c r="B22" s="15" t="s">
        <v>104</v>
      </c>
      <c r="C22" s="126"/>
      <c r="D22" s="44"/>
      <c r="E22" s="44"/>
      <c r="F22" s="11"/>
      <c r="G22" s="44"/>
      <c r="H22" s="44"/>
      <c r="I22" s="75"/>
      <c r="J22" s="44"/>
      <c r="K22" s="44"/>
      <c r="L22" s="75"/>
      <c r="M22" s="89"/>
      <c r="N22" s="89"/>
      <c r="O22" s="11"/>
      <c r="P22" s="44"/>
      <c r="Q22" s="44"/>
      <c r="R22" s="75"/>
      <c r="S22" s="44"/>
      <c r="T22" s="44"/>
      <c r="U22" s="75"/>
      <c r="V22" s="44"/>
      <c r="W22" s="44"/>
      <c r="X22" s="75"/>
      <c r="Y22" s="89"/>
      <c r="Z22" s="89"/>
      <c r="AA22" s="11"/>
      <c r="AB22" s="44"/>
      <c r="AC22" s="44"/>
      <c r="AD22" s="75"/>
      <c r="AE22" s="44"/>
      <c r="AF22" s="44"/>
      <c r="AG22" s="142" t="e">
        <f t="shared" si="0"/>
        <v>#DIV/0!</v>
      </c>
      <c r="AH22" s="44"/>
      <c r="AI22" s="44"/>
      <c r="AJ22" s="89"/>
      <c r="AK22" s="89"/>
      <c r="AL22" s="11"/>
      <c r="AM22" s="44"/>
      <c r="AN22" s="44"/>
      <c r="AO22" s="72"/>
      <c r="AP22" s="72"/>
      <c r="AQ22" s="11"/>
      <c r="AR22" s="72"/>
      <c r="AS22" s="18"/>
    </row>
    <row r="23" spans="1:45" ht="24.75" customHeight="1">
      <c r="A23" s="13" t="s">
        <v>28</v>
      </c>
      <c r="B23" s="15" t="s">
        <v>125</v>
      </c>
      <c r="C23" s="14"/>
      <c r="D23" s="44"/>
      <c r="E23" s="44"/>
      <c r="F23" s="11"/>
      <c r="G23" s="44"/>
      <c r="H23" s="44"/>
      <c r="I23" s="11"/>
      <c r="J23" s="44"/>
      <c r="K23" s="44"/>
      <c r="L23" s="11"/>
      <c r="M23" s="89"/>
      <c r="N23" s="89"/>
      <c r="O23" s="11"/>
      <c r="P23" s="44"/>
      <c r="Q23" s="44"/>
      <c r="R23" s="11"/>
      <c r="S23" s="44"/>
      <c r="T23" s="44"/>
      <c r="U23" s="11"/>
      <c r="V23" s="44"/>
      <c r="W23" s="44"/>
      <c r="X23" s="11"/>
      <c r="Y23" s="89"/>
      <c r="Z23" s="89"/>
      <c r="AA23" s="11"/>
      <c r="AB23" s="44"/>
      <c r="AC23" s="44"/>
      <c r="AD23" s="11"/>
      <c r="AE23" s="44"/>
      <c r="AF23" s="44"/>
      <c r="AG23" s="142" t="e">
        <f t="shared" si="0"/>
        <v>#DIV/0!</v>
      </c>
      <c r="AH23" s="44"/>
      <c r="AI23" s="44"/>
      <c r="AJ23" s="89"/>
      <c r="AK23" s="89"/>
      <c r="AL23" s="11"/>
      <c r="AM23" s="44"/>
      <c r="AN23" s="44"/>
      <c r="AO23" s="72"/>
      <c r="AP23" s="72"/>
      <c r="AQ23" s="11"/>
      <c r="AR23" s="72"/>
      <c r="AS23" s="18"/>
    </row>
    <row r="24" spans="1:45" ht="24.75" customHeight="1">
      <c r="A24" s="13" t="s">
        <v>29</v>
      </c>
      <c r="B24" s="15" t="s">
        <v>105</v>
      </c>
      <c r="C24" s="14">
        <v>0</v>
      </c>
      <c r="D24" s="44">
        <v>0</v>
      </c>
      <c r="E24" s="44">
        <v>0</v>
      </c>
      <c r="F24" s="11">
        <v>0</v>
      </c>
      <c r="G24" s="44">
        <v>11.2</v>
      </c>
      <c r="H24" s="44">
        <v>8.2</v>
      </c>
      <c r="I24" s="11">
        <f>H24/G24*100</f>
        <v>73.21428571428571</v>
      </c>
      <c r="J24" s="44">
        <v>9.4</v>
      </c>
      <c r="K24" s="44">
        <v>9.1</v>
      </c>
      <c r="L24" s="11">
        <f>K24/J24*100</f>
        <v>96.80851063829786</v>
      </c>
      <c r="M24" s="89">
        <f>D24+G24+J24</f>
        <v>20.6</v>
      </c>
      <c r="N24" s="89">
        <f>E24+H24+K24</f>
        <v>17.299999999999997</v>
      </c>
      <c r="O24" s="11">
        <f>N24/M24*100</f>
        <v>83.98058252427182</v>
      </c>
      <c r="P24" s="44">
        <v>8.6</v>
      </c>
      <c r="Q24" s="44">
        <v>8.6</v>
      </c>
      <c r="R24" s="11">
        <f>Q24/P24*100</f>
        <v>100</v>
      </c>
      <c r="S24" s="44">
        <v>9.2</v>
      </c>
      <c r="T24" s="44">
        <v>12.5</v>
      </c>
      <c r="U24" s="11">
        <f>T24/S24*100</f>
        <v>135.8695652173913</v>
      </c>
      <c r="V24" s="44">
        <v>63.6</v>
      </c>
      <c r="W24" s="44">
        <v>63.6</v>
      </c>
      <c r="X24" s="11">
        <f>W24/V24*100</f>
        <v>100</v>
      </c>
      <c r="Y24" s="89">
        <f>P24+S24+V24</f>
        <v>81.4</v>
      </c>
      <c r="Z24" s="89">
        <f>Q24+T24+W24</f>
        <v>84.7</v>
      </c>
      <c r="AA24" s="11">
        <f>Z24/Y24*100</f>
        <v>104.05405405405406</v>
      </c>
      <c r="AB24" s="44">
        <v>11.8</v>
      </c>
      <c r="AC24" s="44">
        <v>11.8</v>
      </c>
      <c r="AD24" s="11">
        <f>AC24/AB24*100</f>
        <v>100</v>
      </c>
      <c r="AE24" s="44">
        <v>4.5</v>
      </c>
      <c r="AF24" s="44">
        <v>4.5</v>
      </c>
      <c r="AG24" s="142">
        <f t="shared" si="0"/>
        <v>100</v>
      </c>
      <c r="AH24" s="44">
        <v>10.2</v>
      </c>
      <c r="AI24" s="44">
        <v>10.2</v>
      </c>
      <c r="AJ24" s="89">
        <f>AB24+AE24+AH24</f>
        <v>26.5</v>
      </c>
      <c r="AK24" s="89">
        <f>AC24+AF24+AI24</f>
        <v>26.5</v>
      </c>
      <c r="AL24" s="11">
        <f>AK24/AJ24*100</f>
        <v>100</v>
      </c>
      <c r="AM24" s="44">
        <v>15.4</v>
      </c>
      <c r="AN24" s="44">
        <v>15.4</v>
      </c>
      <c r="AO24" s="72">
        <f>M24+Y24+AJ24+AM24</f>
        <v>143.9</v>
      </c>
      <c r="AP24" s="72">
        <f>N24+Z24+AK24+AN24</f>
        <v>143.9</v>
      </c>
      <c r="AQ24" s="11">
        <f>AP24/AO24*100</f>
        <v>100</v>
      </c>
      <c r="AR24" s="72">
        <f>AO24-AP24</f>
        <v>0</v>
      </c>
      <c r="AS24" s="18">
        <f>C24+AO24-AP24</f>
        <v>0</v>
      </c>
    </row>
    <row r="25" spans="1:45" ht="24.75" customHeight="1">
      <c r="A25" s="13" t="s">
        <v>30</v>
      </c>
      <c r="B25" s="47" t="s">
        <v>106</v>
      </c>
      <c r="C25" s="14"/>
      <c r="D25" s="44"/>
      <c r="E25" s="44"/>
      <c r="F25" s="11"/>
      <c r="G25" s="44"/>
      <c r="H25" s="44"/>
      <c r="I25" s="11"/>
      <c r="J25" s="44"/>
      <c r="K25" s="44"/>
      <c r="L25" s="11"/>
      <c r="M25" s="89"/>
      <c r="N25" s="89"/>
      <c r="O25" s="11"/>
      <c r="P25" s="44"/>
      <c r="Q25" s="44"/>
      <c r="R25" s="11"/>
      <c r="S25" s="44"/>
      <c r="T25" s="44"/>
      <c r="U25" s="11"/>
      <c r="V25" s="44"/>
      <c r="W25" s="44"/>
      <c r="X25" s="11"/>
      <c r="Y25" s="89"/>
      <c r="Z25" s="89"/>
      <c r="AA25" s="11"/>
      <c r="AB25" s="44"/>
      <c r="AC25" s="44"/>
      <c r="AD25" s="11"/>
      <c r="AE25" s="44"/>
      <c r="AF25" s="44"/>
      <c r="AG25" s="11" t="e">
        <f>AF25/AE25*100</f>
        <v>#DIV/0!</v>
      </c>
      <c r="AH25" s="44"/>
      <c r="AI25" s="44"/>
      <c r="AJ25" s="89"/>
      <c r="AK25" s="89"/>
      <c r="AL25" s="11"/>
      <c r="AM25" s="44"/>
      <c r="AN25" s="44"/>
      <c r="AO25" s="72"/>
      <c r="AP25" s="72"/>
      <c r="AQ25" s="11"/>
      <c r="AR25" s="72"/>
      <c r="AS25" s="18"/>
    </row>
    <row r="26" spans="1:45" ht="24.75" customHeight="1">
      <c r="A26" s="13" t="s">
        <v>31</v>
      </c>
      <c r="B26" s="15" t="s">
        <v>107</v>
      </c>
      <c r="C26" s="14"/>
      <c r="D26" s="44"/>
      <c r="E26" s="44"/>
      <c r="F26" s="11"/>
      <c r="G26" s="44"/>
      <c r="H26" s="44"/>
      <c r="I26" s="11"/>
      <c r="J26" s="44"/>
      <c r="K26" s="44"/>
      <c r="L26" s="11"/>
      <c r="M26" s="89"/>
      <c r="N26" s="89"/>
      <c r="O26" s="11"/>
      <c r="P26" s="44"/>
      <c r="Q26" s="44"/>
      <c r="R26" s="11"/>
      <c r="S26" s="44"/>
      <c r="T26" s="44"/>
      <c r="U26" s="11"/>
      <c r="V26" s="44"/>
      <c r="W26" s="44"/>
      <c r="X26" s="11"/>
      <c r="Y26" s="89"/>
      <c r="Z26" s="89"/>
      <c r="AA26" s="11"/>
      <c r="AB26" s="44"/>
      <c r="AC26" s="44"/>
      <c r="AD26" s="11"/>
      <c r="AE26" s="44"/>
      <c r="AF26" s="44"/>
      <c r="AG26" s="11" t="e">
        <f>AF26/AE26*100</f>
        <v>#DIV/0!</v>
      </c>
      <c r="AH26" s="44"/>
      <c r="AI26" s="44"/>
      <c r="AJ26" s="89"/>
      <c r="AK26" s="89"/>
      <c r="AL26" s="11"/>
      <c r="AM26" s="44"/>
      <c r="AN26" s="44"/>
      <c r="AO26" s="72"/>
      <c r="AP26" s="72"/>
      <c r="AQ26" s="11"/>
      <c r="AR26" s="72"/>
      <c r="AS26" s="18"/>
    </row>
    <row r="27" spans="1:45" ht="24.75" customHeight="1">
      <c r="A27" s="13" t="s">
        <v>32</v>
      </c>
      <c r="B27" s="15" t="s">
        <v>108</v>
      </c>
      <c r="C27" s="14"/>
      <c r="D27" s="44"/>
      <c r="E27" s="44"/>
      <c r="F27" s="11"/>
      <c r="G27" s="44"/>
      <c r="H27" s="44"/>
      <c r="I27" s="11"/>
      <c r="J27" s="44"/>
      <c r="K27" s="44"/>
      <c r="L27" s="11"/>
      <c r="M27" s="89"/>
      <c r="N27" s="89"/>
      <c r="O27" s="11"/>
      <c r="P27" s="44"/>
      <c r="Q27" s="44"/>
      <c r="R27" s="11"/>
      <c r="S27" s="44"/>
      <c r="T27" s="44"/>
      <c r="U27" s="11"/>
      <c r="V27" s="44"/>
      <c r="W27" s="44"/>
      <c r="X27" s="11"/>
      <c r="Y27" s="89"/>
      <c r="Z27" s="89"/>
      <c r="AA27" s="11"/>
      <c r="AB27" s="44"/>
      <c r="AC27" s="44"/>
      <c r="AD27" s="11"/>
      <c r="AE27" s="44"/>
      <c r="AF27" s="44"/>
      <c r="AG27" s="11" t="e">
        <f>AF27/AE27*100</f>
        <v>#DIV/0!</v>
      </c>
      <c r="AH27" s="44"/>
      <c r="AI27" s="44"/>
      <c r="AJ27" s="89"/>
      <c r="AK27" s="89"/>
      <c r="AL27" s="11"/>
      <c r="AM27" s="44"/>
      <c r="AN27" s="44"/>
      <c r="AO27" s="72"/>
      <c r="AP27" s="72"/>
      <c r="AQ27" s="11"/>
      <c r="AR27" s="72"/>
      <c r="AS27" s="18"/>
    </row>
    <row r="28" spans="1:45" ht="24.75" customHeight="1">
      <c r="A28" s="13" t="s">
        <v>33</v>
      </c>
      <c r="B28" s="47" t="s">
        <v>109</v>
      </c>
      <c r="C28" s="125">
        <v>0</v>
      </c>
      <c r="D28" s="44">
        <v>0.8</v>
      </c>
      <c r="E28" s="44">
        <v>0.5</v>
      </c>
      <c r="F28" s="94">
        <f>E28/D28*100</f>
        <v>62.5</v>
      </c>
      <c r="G28" s="44">
        <v>1.6</v>
      </c>
      <c r="H28" s="44">
        <v>1.6</v>
      </c>
      <c r="I28" s="11">
        <f>H28/G28*100</f>
        <v>100</v>
      </c>
      <c r="J28" s="44">
        <v>78.7</v>
      </c>
      <c r="K28" s="44">
        <v>1.2</v>
      </c>
      <c r="L28" s="11">
        <f>K28/J28*100</f>
        <v>1.5247776365946633</v>
      </c>
      <c r="M28" s="89">
        <f>D28+G28+J28</f>
        <v>81.10000000000001</v>
      </c>
      <c r="N28" s="89">
        <f>E28+H28+K28</f>
        <v>3.3</v>
      </c>
      <c r="O28" s="11">
        <f>N28/M28*100</f>
        <v>4.06905055487053</v>
      </c>
      <c r="P28" s="44">
        <v>25.9</v>
      </c>
      <c r="Q28" s="44">
        <v>103.2</v>
      </c>
      <c r="R28" s="11">
        <f>Q28/P28*100</f>
        <v>398.4555984555985</v>
      </c>
      <c r="S28" s="44">
        <v>32.6</v>
      </c>
      <c r="T28" s="44">
        <v>32.3</v>
      </c>
      <c r="U28" s="11">
        <f>T28/S28*100</f>
        <v>99.07975460122698</v>
      </c>
      <c r="V28" s="44">
        <v>20.2</v>
      </c>
      <c r="W28" s="44">
        <v>19.4</v>
      </c>
      <c r="X28" s="11">
        <f>W28/V28*100</f>
        <v>96.03960396039604</v>
      </c>
      <c r="Y28" s="89">
        <f>P28+S28+V28</f>
        <v>78.7</v>
      </c>
      <c r="Z28" s="89">
        <f>Q28+T28+W28</f>
        <v>154.9</v>
      </c>
      <c r="AA28" s="11">
        <f>Z28/Y28*100</f>
        <v>196.8233799237611</v>
      </c>
      <c r="AB28" s="44">
        <v>18.7</v>
      </c>
      <c r="AC28" s="44">
        <v>18.3</v>
      </c>
      <c r="AD28" s="11">
        <f>AC28/AB28*100</f>
        <v>97.86096256684492</v>
      </c>
      <c r="AE28" s="44">
        <v>18.6</v>
      </c>
      <c r="AF28" s="99">
        <v>19.5</v>
      </c>
      <c r="AG28" s="94">
        <f>AF28/AE28*100</f>
        <v>104.83870967741935</v>
      </c>
      <c r="AH28" s="44"/>
      <c r="AI28" s="99"/>
      <c r="AJ28" s="89">
        <f>AB28+AE28+AH28</f>
        <v>37.3</v>
      </c>
      <c r="AK28" s="89">
        <f>AC28+AF28+AI28</f>
        <v>37.8</v>
      </c>
      <c r="AL28" s="11">
        <f>AK28/AJ28*100</f>
        <v>101.34048257372655</v>
      </c>
      <c r="AM28" s="44">
        <v>35.2</v>
      </c>
      <c r="AN28" s="99">
        <v>34.5</v>
      </c>
      <c r="AO28" s="72">
        <f>M28+Y28+AJ28+AM28</f>
        <v>232.3</v>
      </c>
      <c r="AP28" s="72">
        <f>N28+Z28+AK28+AN28</f>
        <v>230.5</v>
      </c>
      <c r="AQ28" s="11">
        <f>AP28/AO28*100</f>
        <v>99.22513990529487</v>
      </c>
      <c r="AR28" s="72">
        <f>AO28-AP28</f>
        <v>1.8000000000000114</v>
      </c>
      <c r="AS28" s="18">
        <f>C28+AO28-AP28</f>
        <v>1.8000000000000114</v>
      </c>
    </row>
    <row r="29" spans="1:45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72"/>
      <c r="AP29" s="72"/>
      <c r="AQ29" s="77"/>
      <c r="AR29" s="77"/>
      <c r="AS29" s="77"/>
    </row>
    <row r="30" spans="1:45" ht="24.75" customHeight="1">
      <c r="A30" s="13" t="s">
        <v>35</v>
      </c>
      <c r="B30" s="15" t="s">
        <v>111</v>
      </c>
      <c r="C30" s="127"/>
      <c r="D30" s="44"/>
      <c r="E30" s="44"/>
      <c r="F30" s="96"/>
      <c r="G30" s="44"/>
      <c r="H30" s="44"/>
      <c r="I30" s="75"/>
      <c r="J30" s="44"/>
      <c r="K30" s="44"/>
      <c r="L30" s="75"/>
      <c r="M30" s="89"/>
      <c r="N30" s="89"/>
      <c r="O30" s="11"/>
      <c r="P30" s="44"/>
      <c r="Q30" s="44"/>
      <c r="R30" s="75"/>
      <c r="S30" s="44"/>
      <c r="T30" s="44"/>
      <c r="U30" s="75"/>
      <c r="V30" s="44"/>
      <c r="W30" s="44"/>
      <c r="X30" s="75"/>
      <c r="Y30" s="89"/>
      <c r="Z30" s="89"/>
      <c r="AA30" s="11"/>
      <c r="AB30" s="44"/>
      <c r="AC30" s="44"/>
      <c r="AD30" s="75"/>
      <c r="AE30" s="44"/>
      <c r="AF30" s="44"/>
      <c r="AG30" s="141" t="e">
        <f aca="true" t="shared" si="1" ref="AG30:AG41">AF30/AE30*100</f>
        <v>#DIV/0!</v>
      </c>
      <c r="AH30" s="44"/>
      <c r="AI30" s="44"/>
      <c r="AJ30" s="89"/>
      <c r="AK30" s="89"/>
      <c r="AL30" s="11"/>
      <c r="AM30" s="44"/>
      <c r="AN30" s="44"/>
      <c r="AO30" s="72"/>
      <c r="AP30" s="72"/>
      <c r="AQ30" s="11"/>
      <c r="AR30" s="72"/>
      <c r="AS30" s="18"/>
    </row>
    <row r="31" spans="1:45" ht="24.75" customHeight="1">
      <c r="A31" s="13" t="s">
        <v>36</v>
      </c>
      <c r="B31" s="15" t="s">
        <v>112</v>
      </c>
      <c r="C31" s="14">
        <v>0</v>
      </c>
      <c r="D31" s="44">
        <v>0</v>
      </c>
      <c r="E31" s="44">
        <v>0</v>
      </c>
      <c r="F31" s="11">
        <v>0</v>
      </c>
      <c r="G31" s="44">
        <v>4.1</v>
      </c>
      <c r="H31" s="44">
        <v>4.1</v>
      </c>
      <c r="I31" s="11">
        <f>H31/G31*100</f>
        <v>100</v>
      </c>
      <c r="J31" s="44">
        <v>4.9</v>
      </c>
      <c r="K31" s="44">
        <v>4.9</v>
      </c>
      <c r="L31" s="11">
        <f>K31/J31*100</f>
        <v>100</v>
      </c>
      <c r="M31" s="89">
        <f aca="true" t="shared" si="2" ref="M31:N34">D31+G31+J31</f>
        <v>9</v>
      </c>
      <c r="N31" s="89">
        <f t="shared" si="2"/>
        <v>9</v>
      </c>
      <c r="O31" s="11">
        <f>N31/M31*100</f>
        <v>100</v>
      </c>
      <c r="P31" s="44">
        <v>4.4</v>
      </c>
      <c r="Q31" s="44">
        <v>4.4</v>
      </c>
      <c r="R31" s="11">
        <f>Q31/P31*100</f>
        <v>100</v>
      </c>
      <c r="S31" s="44">
        <v>4.5</v>
      </c>
      <c r="T31" s="44">
        <v>4.5</v>
      </c>
      <c r="U31" s="11">
        <f>T31/S31*100</f>
        <v>100</v>
      </c>
      <c r="V31" s="44">
        <v>2.8</v>
      </c>
      <c r="W31" s="44">
        <v>2.8</v>
      </c>
      <c r="X31" s="11">
        <f>W31/V31*100</f>
        <v>100</v>
      </c>
      <c r="Y31" s="89">
        <f aca="true" t="shared" si="3" ref="Y31:Z34">P31+S31+V31</f>
        <v>11.7</v>
      </c>
      <c r="Z31" s="89">
        <f t="shared" si="3"/>
        <v>11.7</v>
      </c>
      <c r="AA31" s="11">
        <f>Z31/Y31*100</f>
        <v>100</v>
      </c>
      <c r="AB31" s="44">
        <v>2.8</v>
      </c>
      <c r="AC31" s="44">
        <v>2.8</v>
      </c>
      <c r="AD31" s="11">
        <f>AC31/AB31*100</f>
        <v>100</v>
      </c>
      <c r="AE31" s="44">
        <v>2.3</v>
      </c>
      <c r="AF31" s="44">
        <v>2.3</v>
      </c>
      <c r="AG31" s="141">
        <f t="shared" si="1"/>
        <v>100</v>
      </c>
      <c r="AH31" s="44">
        <v>3.2</v>
      </c>
      <c r="AI31" s="44">
        <v>3.2</v>
      </c>
      <c r="AJ31" s="89">
        <f aca="true" t="shared" si="4" ref="AJ31:AK34">AB31+AE31+AH31</f>
        <v>8.3</v>
      </c>
      <c r="AK31" s="89">
        <f t="shared" si="4"/>
        <v>8.3</v>
      </c>
      <c r="AL31" s="11">
        <f>AK31/AJ31*100</f>
        <v>100</v>
      </c>
      <c r="AM31" s="44">
        <v>3.8</v>
      </c>
      <c r="AN31" s="44">
        <v>3.8</v>
      </c>
      <c r="AO31" s="72">
        <f aca="true" t="shared" si="5" ref="AO31:AP34">M31+Y31+AJ31+AM31</f>
        <v>32.8</v>
      </c>
      <c r="AP31" s="72">
        <f t="shared" si="5"/>
        <v>32.8</v>
      </c>
      <c r="AQ31" s="11">
        <f>AP31/AO31*100</f>
        <v>100</v>
      </c>
      <c r="AR31" s="72">
        <f>AO31-AP31</f>
        <v>0</v>
      </c>
      <c r="AS31" s="18">
        <f>C31+AO31-AP31</f>
        <v>0</v>
      </c>
    </row>
    <row r="32" spans="1:45" ht="24.75" customHeight="1">
      <c r="A32" s="13" t="s">
        <v>37</v>
      </c>
      <c r="B32" s="15" t="s">
        <v>113</v>
      </c>
      <c r="C32" s="78">
        <v>-1.2</v>
      </c>
      <c r="D32" s="44">
        <v>2.7</v>
      </c>
      <c r="E32" s="44">
        <v>0</v>
      </c>
      <c r="F32" s="11">
        <f>E32/D32*100</f>
        <v>0</v>
      </c>
      <c r="G32" s="44">
        <v>2.4</v>
      </c>
      <c r="H32" s="44">
        <v>0.8</v>
      </c>
      <c r="I32" s="11">
        <f>H32/G32*100</f>
        <v>33.333333333333336</v>
      </c>
      <c r="J32" s="44">
        <v>8.5</v>
      </c>
      <c r="K32" s="44">
        <v>6.2</v>
      </c>
      <c r="L32" s="11">
        <f>K32/J32*100</f>
        <v>72.94117647058825</v>
      </c>
      <c r="M32" s="89">
        <f t="shared" si="2"/>
        <v>13.6</v>
      </c>
      <c r="N32" s="89">
        <f t="shared" si="2"/>
        <v>7</v>
      </c>
      <c r="O32" s="11">
        <f>N32/M32*100</f>
        <v>51.47058823529412</v>
      </c>
      <c r="P32" s="44">
        <v>3.2</v>
      </c>
      <c r="Q32" s="44">
        <v>5.5</v>
      </c>
      <c r="R32" s="11">
        <f>Q32/P32*100</f>
        <v>171.875</v>
      </c>
      <c r="S32" s="44">
        <v>6.6</v>
      </c>
      <c r="T32" s="44">
        <v>6.5</v>
      </c>
      <c r="U32" s="11">
        <f>T32/S32*100</f>
        <v>98.48484848484848</v>
      </c>
      <c r="V32" s="44">
        <v>8.2</v>
      </c>
      <c r="W32" s="44">
        <v>5.9</v>
      </c>
      <c r="X32" s="11">
        <f>W32/V32*100</f>
        <v>71.95121951219512</v>
      </c>
      <c r="Y32" s="89">
        <f t="shared" si="3"/>
        <v>18</v>
      </c>
      <c r="Z32" s="89">
        <f t="shared" si="3"/>
        <v>17.9</v>
      </c>
      <c r="AA32" s="11">
        <f>Z32/Y32*100</f>
        <v>99.44444444444443</v>
      </c>
      <c r="AB32" s="44">
        <v>2.7</v>
      </c>
      <c r="AC32" s="44">
        <v>4.5</v>
      </c>
      <c r="AD32" s="11">
        <f>AC32/AB32*100</f>
        <v>166.66666666666666</v>
      </c>
      <c r="AE32" s="44">
        <v>2.7</v>
      </c>
      <c r="AF32" s="44">
        <v>2.7</v>
      </c>
      <c r="AG32" s="11">
        <f t="shared" si="1"/>
        <v>100</v>
      </c>
      <c r="AH32" s="44">
        <v>6.1</v>
      </c>
      <c r="AI32" s="44">
        <v>2.7</v>
      </c>
      <c r="AJ32" s="89">
        <f t="shared" si="4"/>
        <v>11.5</v>
      </c>
      <c r="AK32" s="89">
        <f t="shared" si="4"/>
        <v>9.9</v>
      </c>
      <c r="AL32" s="11">
        <f>AK32/AJ32*100</f>
        <v>86.08695652173914</v>
      </c>
      <c r="AM32" s="44">
        <v>8.4</v>
      </c>
      <c r="AN32" s="44">
        <v>3.9</v>
      </c>
      <c r="AO32" s="72">
        <f t="shared" si="5"/>
        <v>51.5</v>
      </c>
      <c r="AP32" s="72">
        <f t="shared" si="5"/>
        <v>38.699999999999996</v>
      </c>
      <c r="AQ32" s="11">
        <f>AP32/AO32*100</f>
        <v>75.14563106796116</v>
      </c>
      <c r="AR32" s="72">
        <f>AO32-AP32</f>
        <v>12.800000000000004</v>
      </c>
      <c r="AS32" s="18">
        <f>C32+AO32-AP32</f>
        <v>11.600000000000001</v>
      </c>
    </row>
    <row r="33" spans="1:45" ht="24.75" customHeight="1">
      <c r="A33" s="13" t="s">
        <v>38</v>
      </c>
      <c r="B33" s="15" t="s">
        <v>114</v>
      </c>
      <c r="C33" s="78">
        <v>0</v>
      </c>
      <c r="D33" s="43">
        <v>16.8</v>
      </c>
      <c r="E33" s="43">
        <v>16.8</v>
      </c>
      <c r="F33" s="11">
        <f>E33/D33*100</f>
        <v>100</v>
      </c>
      <c r="G33" s="44">
        <v>36.2</v>
      </c>
      <c r="H33" s="44">
        <v>30.6</v>
      </c>
      <c r="I33" s="11">
        <f>H33/G33*100</f>
        <v>84.5303867403315</v>
      </c>
      <c r="J33" s="44">
        <v>37.1</v>
      </c>
      <c r="K33" s="44">
        <v>42.6</v>
      </c>
      <c r="L33" s="11">
        <f>K33/J33*100</f>
        <v>114.82479784366578</v>
      </c>
      <c r="M33" s="89">
        <f t="shared" si="2"/>
        <v>90.1</v>
      </c>
      <c r="N33" s="89">
        <f t="shared" si="2"/>
        <v>90</v>
      </c>
      <c r="O33" s="11">
        <f>N33/M33*100</f>
        <v>99.88901220865706</v>
      </c>
      <c r="P33" s="44">
        <v>39.1</v>
      </c>
      <c r="Q33" s="44">
        <v>39.1</v>
      </c>
      <c r="R33" s="11">
        <f>Q33/P33*100</f>
        <v>100</v>
      </c>
      <c r="S33" s="44">
        <v>40.7</v>
      </c>
      <c r="T33" s="44">
        <v>40.7</v>
      </c>
      <c r="U33" s="11">
        <f>T33/S33*100</f>
        <v>100</v>
      </c>
      <c r="V33" s="44">
        <v>27.2</v>
      </c>
      <c r="W33" s="44">
        <v>27.2</v>
      </c>
      <c r="X33" s="11">
        <f>W33/V33*100</f>
        <v>100</v>
      </c>
      <c r="Y33" s="89">
        <f t="shared" si="3"/>
        <v>107.00000000000001</v>
      </c>
      <c r="Z33" s="89">
        <f t="shared" si="3"/>
        <v>107.00000000000001</v>
      </c>
      <c r="AA33" s="11">
        <f>Z33/Y33*100</f>
        <v>100</v>
      </c>
      <c r="AB33" s="44">
        <v>10.9</v>
      </c>
      <c r="AC33" s="44">
        <v>10.9</v>
      </c>
      <c r="AD33" s="11">
        <f>AC33/AB33*100</f>
        <v>100</v>
      </c>
      <c r="AE33" s="44">
        <v>12</v>
      </c>
      <c r="AF33" s="44">
        <v>12</v>
      </c>
      <c r="AG33" s="11">
        <f t="shared" si="1"/>
        <v>100</v>
      </c>
      <c r="AH33" s="44">
        <v>43.2</v>
      </c>
      <c r="AI33" s="44">
        <v>43.5</v>
      </c>
      <c r="AJ33" s="89">
        <f t="shared" si="4"/>
        <v>66.1</v>
      </c>
      <c r="AK33" s="89">
        <f t="shared" si="4"/>
        <v>66.4</v>
      </c>
      <c r="AL33" s="11">
        <f>AK33/AJ33*100</f>
        <v>100.45385779122545</v>
      </c>
      <c r="AM33" s="44">
        <v>44.9</v>
      </c>
      <c r="AN33" s="44">
        <v>44.6</v>
      </c>
      <c r="AO33" s="72">
        <f t="shared" si="5"/>
        <v>308.1</v>
      </c>
      <c r="AP33" s="72">
        <f t="shared" si="5"/>
        <v>308</v>
      </c>
      <c r="AQ33" s="11">
        <f>AP33/AO33*100</f>
        <v>99.96754300551768</v>
      </c>
      <c r="AR33" s="72">
        <f>AO33-AP33</f>
        <v>0.10000000000002274</v>
      </c>
      <c r="AS33" s="18">
        <f>C33+AO33-AP33</f>
        <v>0.10000000000002274</v>
      </c>
    </row>
    <row r="34" spans="1:45" ht="24.75" customHeight="1">
      <c r="A34" s="13" t="s">
        <v>39</v>
      </c>
      <c r="B34" s="47" t="s">
        <v>115</v>
      </c>
      <c r="C34" s="128">
        <v>-0.7</v>
      </c>
      <c r="D34" s="44">
        <v>13.1</v>
      </c>
      <c r="E34" s="44">
        <v>12.1</v>
      </c>
      <c r="F34" s="11">
        <f>E34/D34*100</f>
        <v>92.36641221374046</v>
      </c>
      <c r="G34" s="44">
        <v>13.6</v>
      </c>
      <c r="H34" s="44">
        <v>14.3</v>
      </c>
      <c r="I34" s="75">
        <f>H34/G34*100</f>
        <v>105.14705882352942</v>
      </c>
      <c r="J34" s="44">
        <v>10.7</v>
      </c>
      <c r="K34" s="44">
        <v>10.2</v>
      </c>
      <c r="L34" s="75">
        <f>K34/J34*100</f>
        <v>95.32710280373831</v>
      </c>
      <c r="M34" s="89">
        <f t="shared" si="2"/>
        <v>37.4</v>
      </c>
      <c r="N34" s="89">
        <f t="shared" si="2"/>
        <v>36.599999999999994</v>
      </c>
      <c r="O34" s="11">
        <f>N34/M34*100</f>
        <v>97.8609625668449</v>
      </c>
      <c r="P34" s="44">
        <v>10.3</v>
      </c>
      <c r="Q34" s="44">
        <v>10.3</v>
      </c>
      <c r="R34" s="140">
        <f>Q34/P34*100</f>
        <v>100</v>
      </c>
      <c r="S34" s="44">
        <v>13.1</v>
      </c>
      <c r="T34" s="44">
        <v>13.2</v>
      </c>
      <c r="U34" s="140">
        <f>T34/S34*100</f>
        <v>100.76335877862594</v>
      </c>
      <c r="V34" s="44">
        <v>12.9</v>
      </c>
      <c r="W34" s="44">
        <v>12.2</v>
      </c>
      <c r="X34" s="140">
        <f>W34/V34*100</f>
        <v>94.5736434108527</v>
      </c>
      <c r="Y34" s="89">
        <f t="shared" si="3"/>
        <v>36.3</v>
      </c>
      <c r="Z34" s="89">
        <f t="shared" si="3"/>
        <v>35.7</v>
      </c>
      <c r="AA34" s="11">
        <f>Z34/Y34*100</f>
        <v>98.34710743801655</v>
      </c>
      <c r="AB34" s="44">
        <v>23.1</v>
      </c>
      <c r="AC34" s="44">
        <v>1.6</v>
      </c>
      <c r="AD34" s="140">
        <f>AC34/AB34*100</f>
        <v>6.926406926406926</v>
      </c>
      <c r="AE34" s="44">
        <v>0</v>
      </c>
      <c r="AF34" s="44">
        <v>22.3</v>
      </c>
      <c r="AG34" s="11" t="e">
        <f t="shared" si="1"/>
        <v>#DIV/0!</v>
      </c>
      <c r="AH34" s="44">
        <v>0</v>
      </c>
      <c r="AI34" s="44">
        <v>0</v>
      </c>
      <c r="AJ34" s="89">
        <f t="shared" si="4"/>
        <v>23.1</v>
      </c>
      <c r="AK34" s="89">
        <f t="shared" si="4"/>
        <v>23.900000000000002</v>
      </c>
      <c r="AL34" s="11">
        <f>AK34/AJ34*100</f>
        <v>103.46320346320346</v>
      </c>
      <c r="AM34" s="44">
        <v>0</v>
      </c>
      <c r="AN34" s="44">
        <v>0</v>
      </c>
      <c r="AO34" s="72">
        <f t="shared" si="5"/>
        <v>96.79999999999998</v>
      </c>
      <c r="AP34" s="72">
        <f t="shared" si="5"/>
        <v>96.2</v>
      </c>
      <c r="AQ34" s="11">
        <f>AP34/AO34*100</f>
        <v>99.38016528925621</v>
      </c>
      <c r="AR34" s="72">
        <f>AO34-AP34</f>
        <v>0.5999999999999801</v>
      </c>
      <c r="AS34" s="18">
        <f>C34+AO34-AP34</f>
        <v>-0.10000000000002274</v>
      </c>
    </row>
    <row r="35" spans="1:45" ht="24.75" customHeight="1">
      <c r="A35" s="13" t="s">
        <v>40</v>
      </c>
      <c r="B35" s="15" t="s">
        <v>116</v>
      </c>
      <c r="C35" s="14"/>
      <c r="D35" s="44"/>
      <c r="E35" s="44"/>
      <c r="F35" s="11"/>
      <c r="G35" s="44"/>
      <c r="H35" s="44"/>
      <c r="I35" s="11"/>
      <c r="J35" s="44"/>
      <c r="K35" s="44"/>
      <c r="L35" s="11"/>
      <c r="M35" s="89"/>
      <c r="N35" s="89"/>
      <c r="O35" s="11"/>
      <c r="P35" s="44"/>
      <c r="Q35" s="44"/>
      <c r="R35" s="11"/>
      <c r="S35" s="44"/>
      <c r="T35" s="44"/>
      <c r="U35" s="11"/>
      <c r="V35" s="44"/>
      <c r="W35" s="44"/>
      <c r="X35" s="11"/>
      <c r="Y35" s="89"/>
      <c r="Z35" s="89"/>
      <c r="AA35" s="11"/>
      <c r="AB35" s="44"/>
      <c r="AC35" s="44"/>
      <c r="AD35" s="11"/>
      <c r="AE35" s="44"/>
      <c r="AF35" s="44"/>
      <c r="AG35" s="11" t="e">
        <f t="shared" si="1"/>
        <v>#DIV/0!</v>
      </c>
      <c r="AH35" s="44"/>
      <c r="AI35" s="44"/>
      <c r="AJ35" s="89"/>
      <c r="AK35" s="89"/>
      <c r="AL35" s="11"/>
      <c r="AM35" s="44"/>
      <c r="AN35" s="44"/>
      <c r="AO35" s="72"/>
      <c r="AP35" s="72"/>
      <c r="AQ35" s="11"/>
      <c r="AR35" s="72"/>
      <c r="AS35" s="18"/>
    </row>
    <row r="36" spans="1:45" ht="24.75" customHeight="1">
      <c r="A36" s="13" t="s">
        <v>41</v>
      </c>
      <c r="B36" s="15" t="s">
        <v>117</v>
      </c>
      <c r="C36" s="14">
        <v>-0.1</v>
      </c>
      <c r="D36" s="44">
        <v>14.7</v>
      </c>
      <c r="E36" s="44">
        <v>4.5</v>
      </c>
      <c r="F36" s="67">
        <f aca="true" t="shared" si="6" ref="F36:F41">E36/D36*100</f>
        <v>30.612244897959183</v>
      </c>
      <c r="G36" s="44">
        <v>28</v>
      </c>
      <c r="H36" s="44">
        <v>28.1</v>
      </c>
      <c r="I36" s="11">
        <f>H36/G36*100</f>
        <v>100.35714285714286</v>
      </c>
      <c r="J36" s="44">
        <v>29.7</v>
      </c>
      <c r="K36" s="44">
        <v>29.2</v>
      </c>
      <c r="L36" s="11">
        <f>K36/J36*100</f>
        <v>98.31649831649831</v>
      </c>
      <c r="M36" s="89">
        <f>D36+G36+J36</f>
        <v>72.4</v>
      </c>
      <c r="N36" s="89">
        <f>E36+H36+K36</f>
        <v>61.8</v>
      </c>
      <c r="O36" s="11">
        <f>N36/M36*100</f>
        <v>85.35911602209943</v>
      </c>
      <c r="P36" s="44">
        <v>32</v>
      </c>
      <c r="Q36" s="44">
        <v>32</v>
      </c>
      <c r="R36" s="11">
        <f>Q36/P36*100</f>
        <v>100</v>
      </c>
      <c r="S36" s="44">
        <v>27.4</v>
      </c>
      <c r="T36" s="44">
        <v>29.1</v>
      </c>
      <c r="U36" s="11">
        <f>T36/S36*100</f>
        <v>106.20437956204381</v>
      </c>
      <c r="V36" s="44">
        <v>27.4</v>
      </c>
      <c r="W36" s="44">
        <v>27.2</v>
      </c>
      <c r="X36" s="11">
        <f>W36/V36*100</f>
        <v>99.27007299270073</v>
      </c>
      <c r="Y36" s="89">
        <f>P36+S36+V36</f>
        <v>86.8</v>
      </c>
      <c r="Z36" s="89">
        <f>Q36+T36+W36</f>
        <v>88.3</v>
      </c>
      <c r="AA36" s="11">
        <f>Z36/Y36*100</f>
        <v>101.72811059907833</v>
      </c>
      <c r="AB36" s="44">
        <v>13.3</v>
      </c>
      <c r="AC36" s="44">
        <v>15.3</v>
      </c>
      <c r="AD36" s="11">
        <f>AC36/AB36*100</f>
        <v>115.0375939849624</v>
      </c>
      <c r="AE36" s="44">
        <v>11.8</v>
      </c>
      <c r="AF36" s="44">
        <v>15.5</v>
      </c>
      <c r="AG36" s="11">
        <f t="shared" si="1"/>
        <v>131.3559322033898</v>
      </c>
      <c r="AH36" s="44">
        <v>22.2</v>
      </c>
      <c r="AI36" s="44">
        <v>17.9</v>
      </c>
      <c r="AJ36" s="89">
        <f>AB36+AE36+AH36</f>
        <v>47.3</v>
      </c>
      <c r="AK36" s="89">
        <f>AC36+AF36+AI36</f>
        <v>48.7</v>
      </c>
      <c r="AL36" s="11">
        <f>AK36/AJ36*100</f>
        <v>102.95983086680762</v>
      </c>
      <c r="AM36" s="44">
        <v>30.2</v>
      </c>
      <c r="AN36" s="44">
        <v>23.9</v>
      </c>
      <c r="AO36" s="72">
        <f>M36+Y36+AJ36+AM36</f>
        <v>236.7</v>
      </c>
      <c r="AP36" s="72">
        <f>N36+Z36+AK36+AN36</f>
        <v>222.70000000000002</v>
      </c>
      <c r="AQ36" s="11">
        <f>AP36/AO36*100</f>
        <v>94.08534009294468</v>
      </c>
      <c r="AR36" s="72">
        <f>AO36-AP36</f>
        <v>13.999999999999972</v>
      </c>
      <c r="AS36" s="18">
        <f>C36+AO36-AP36</f>
        <v>13.899999999999977</v>
      </c>
    </row>
    <row r="37" spans="1:45" ht="24.75" customHeight="1">
      <c r="A37" s="13" t="s">
        <v>42</v>
      </c>
      <c r="B37" s="15" t="s">
        <v>118</v>
      </c>
      <c r="C37" s="14">
        <v>-1.5</v>
      </c>
      <c r="D37" s="44">
        <v>3.6</v>
      </c>
      <c r="E37" s="44">
        <v>0.1</v>
      </c>
      <c r="F37" s="11">
        <f t="shared" si="6"/>
        <v>2.777777777777778</v>
      </c>
      <c r="G37" s="44">
        <v>3</v>
      </c>
      <c r="H37" s="44">
        <v>0.2</v>
      </c>
      <c r="I37" s="11">
        <f>H37/G37*100</f>
        <v>6.666666666666667</v>
      </c>
      <c r="J37" s="44">
        <v>3</v>
      </c>
      <c r="K37" s="44">
        <v>1.9</v>
      </c>
      <c r="L37" s="11">
        <f>K37/J37*100</f>
        <v>63.33333333333333</v>
      </c>
      <c r="M37" s="89">
        <f>D37+G37+J37</f>
        <v>9.6</v>
      </c>
      <c r="N37" s="89">
        <f>E37+H37+K37</f>
        <v>2.2</v>
      </c>
      <c r="O37" s="11">
        <f>N37/M37*100</f>
        <v>22.916666666666668</v>
      </c>
      <c r="P37" s="44">
        <v>7.1</v>
      </c>
      <c r="Q37" s="44">
        <v>0.9</v>
      </c>
      <c r="R37" s="11">
        <f>Q37/P37*100</f>
        <v>12.676056338028168</v>
      </c>
      <c r="S37" s="44">
        <v>4.4</v>
      </c>
      <c r="T37" s="44">
        <v>13.8</v>
      </c>
      <c r="U37" s="11">
        <f>T37/S37*100</f>
        <v>313.6363636363636</v>
      </c>
      <c r="V37" s="44">
        <v>3.3</v>
      </c>
      <c r="W37" s="44">
        <v>4.7</v>
      </c>
      <c r="X37" s="11">
        <f>W37/V37*100</f>
        <v>142.42424242424244</v>
      </c>
      <c r="Y37" s="89">
        <f>P37+S37+V37</f>
        <v>14.8</v>
      </c>
      <c r="Z37" s="89">
        <f>Q37+T37+W37</f>
        <v>19.400000000000002</v>
      </c>
      <c r="AA37" s="11">
        <f>Z37/Y37*100</f>
        <v>131.0810810810811</v>
      </c>
      <c r="AB37" s="44">
        <v>6.4</v>
      </c>
      <c r="AC37" s="44">
        <v>3.1</v>
      </c>
      <c r="AD37" s="11">
        <f>AC37/AB37*100</f>
        <v>48.4375</v>
      </c>
      <c r="AE37" s="44">
        <v>10.3</v>
      </c>
      <c r="AF37" s="44">
        <v>0</v>
      </c>
      <c r="AG37" s="11">
        <f t="shared" si="1"/>
        <v>0</v>
      </c>
      <c r="AH37" s="44">
        <v>4.6</v>
      </c>
      <c r="AI37" s="44">
        <v>0</v>
      </c>
      <c r="AJ37" s="89">
        <f>AB37+AE37+AH37</f>
        <v>21.300000000000004</v>
      </c>
      <c r="AK37" s="89">
        <f>AC37+AF37+AI37</f>
        <v>3.1</v>
      </c>
      <c r="AL37" s="11">
        <f>AK37/AJ37*100</f>
        <v>14.553990610328635</v>
      </c>
      <c r="AM37" s="44">
        <v>7.3</v>
      </c>
      <c r="AN37" s="44">
        <v>13</v>
      </c>
      <c r="AO37" s="72">
        <f>M37+Y37+AJ37+AM37</f>
        <v>53</v>
      </c>
      <c r="AP37" s="72">
        <f>N37+Z37+AK37+AN37</f>
        <v>37.7</v>
      </c>
      <c r="AQ37" s="11">
        <f>AP37/AO37*100</f>
        <v>71.13207547169812</v>
      </c>
      <c r="AR37" s="72">
        <f>AO37-AP37</f>
        <v>15.299999999999997</v>
      </c>
      <c r="AS37" s="18">
        <f>C37+AO37-AP37</f>
        <v>13.799999999999997</v>
      </c>
    </row>
    <row r="38" spans="1:45" ht="24.75" customHeight="1">
      <c r="A38" s="13" t="s">
        <v>43</v>
      </c>
      <c r="B38" s="15" t="s">
        <v>126</v>
      </c>
      <c r="C38" s="14"/>
      <c r="D38" s="44"/>
      <c r="E38" s="44"/>
      <c r="F38" s="11"/>
      <c r="G38" s="44"/>
      <c r="H38" s="44"/>
      <c r="I38" s="11"/>
      <c r="J38" s="44"/>
      <c r="K38" s="44"/>
      <c r="L38" s="11"/>
      <c r="M38" s="89"/>
      <c r="N38" s="89"/>
      <c r="O38" s="11"/>
      <c r="P38" s="44"/>
      <c r="Q38" s="44"/>
      <c r="R38" s="11"/>
      <c r="S38" s="44"/>
      <c r="T38" s="44"/>
      <c r="U38" s="11"/>
      <c r="V38" s="44"/>
      <c r="W38" s="44"/>
      <c r="X38" s="11"/>
      <c r="Y38" s="89"/>
      <c r="Z38" s="89"/>
      <c r="AA38" s="11"/>
      <c r="AB38" s="44"/>
      <c r="AC38" s="44"/>
      <c r="AD38" s="11"/>
      <c r="AE38" s="44"/>
      <c r="AF38" s="44"/>
      <c r="AG38" s="11" t="e">
        <f t="shared" si="1"/>
        <v>#DIV/0!</v>
      </c>
      <c r="AH38" s="44"/>
      <c r="AI38" s="44"/>
      <c r="AJ38" s="89"/>
      <c r="AK38" s="89"/>
      <c r="AL38" s="11"/>
      <c r="AM38" s="44"/>
      <c r="AN38" s="44"/>
      <c r="AO38" s="72"/>
      <c r="AP38" s="72"/>
      <c r="AQ38" s="11"/>
      <c r="AR38" s="72"/>
      <c r="AS38" s="18"/>
    </row>
    <row r="39" spans="1:45" ht="24.75" customHeight="1">
      <c r="A39" s="13" t="s">
        <v>44</v>
      </c>
      <c r="B39" s="47" t="s">
        <v>127</v>
      </c>
      <c r="C39" s="90"/>
      <c r="D39" s="44"/>
      <c r="E39" s="44"/>
      <c r="F39" s="11"/>
      <c r="G39" s="44"/>
      <c r="H39" s="44"/>
      <c r="I39" s="75"/>
      <c r="J39" s="44"/>
      <c r="K39" s="44"/>
      <c r="L39" s="75"/>
      <c r="M39" s="89"/>
      <c r="N39" s="89"/>
      <c r="O39" s="11"/>
      <c r="P39" s="44"/>
      <c r="Q39" s="44"/>
      <c r="R39" s="75"/>
      <c r="S39" s="44"/>
      <c r="T39" s="44"/>
      <c r="U39" s="75"/>
      <c r="V39" s="44"/>
      <c r="W39" s="44"/>
      <c r="X39" s="75"/>
      <c r="Y39" s="89"/>
      <c r="Z39" s="89"/>
      <c r="AA39" s="11"/>
      <c r="AB39" s="44"/>
      <c r="AC39" s="44"/>
      <c r="AD39" s="75"/>
      <c r="AE39" s="44"/>
      <c r="AF39" s="44"/>
      <c r="AG39" s="11" t="e">
        <f t="shared" si="1"/>
        <v>#DIV/0!</v>
      </c>
      <c r="AH39" s="44"/>
      <c r="AI39" s="44"/>
      <c r="AJ39" s="89"/>
      <c r="AK39" s="89"/>
      <c r="AL39" s="11"/>
      <c r="AM39" s="44"/>
      <c r="AN39" s="44"/>
      <c r="AO39" s="72"/>
      <c r="AP39" s="72"/>
      <c r="AQ39" s="11"/>
      <c r="AR39" s="72"/>
      <c r="AS39" s="18"/>
    </row>
    <row r="40" spans="1:45" ht="24.75" customHeight="1">
      <c r="A40" s="13" t="s">
        <v>45</v>
      </c>
      <c r="B40" s="15" t="s">
        <v>119</v>
      </c>
      <c r="C40" s="14"/>
      <c r="D40" s="44"/>
      <c r="E40" s="44"/>
      <c r="F40" s="113"/>
      <c r="G40" s="44"/>
      <c r="H40" s="44"/>
      <c r="I40" s="113"/>
      <c r="J40" s="44"/>
      <c r="K40" s="44"/>
      <c r="L40" s="113"/>
      <c r="M40" s="89"/>
      <c r="N40" s="89"/>
      <c r="O40" s="11"/>
      <c r="P40" s="44"/>
      <c r="Q40" s="44"/>
      <c r="R40" s="113"/>
      <c r="S40" s="44"/>
      <c r="T40" s="44"/>
      <c r="U40" s="113"/>
      <c r="V40" s="44"/>
      <c r="W40" s="44"/>
      <c r="X40" s="113"/>
      <c r="Y40" s="89"/>
      <c r="Z40" s="89"/>
      <c r="AA40" s="11"/>
      <c r="AB40" s="44"/>
      <c r="AC40" s="44"/>
      <c r="AD40" s="113"/>
      <c r="AE40" s="44"/>
      <c r="AF40" s="44"/>
      <c r="AG40" s="11" t="e">
        <f t="shared" si="1"/>
        <v>#DIV/0!</v>
      </c>
      <c r="AH40" s="44"/>
      <c r="AI40" s="44"/>
      <c r="AJ40" s="89"/>
      <c r="AK40" s="89"/>
      <c r="AL40" s="11"/>
      <c r="AM40" s="44"/>
      <c r="AN40" s="44"/>
      <c r="AO40" s="72"/>
      <c r="AP40" s="72"/>
      <c r="AQ40" s="11"/>
      <c r="AR40" s="72"/>
      <c r="AS40" s="18"/>
    </row>
    <row r="41" spans="1:45" s="12" customFormat="1" ht="24.75" customHeight="1">
      <c r="A41" s="13" t="s">
        <v>46</v>
      </c>
      <c r="B41" s="16" t="s">
        <v>120</v>
      </c>
      <c r="C41" s="18">
        <f>SUM(C42:C42)</f>
        <v>-196.1</v>
      </c>
      <c r="D41" s="18">
        <f>SUM(D42:D42)</f>
        <v>885.3</v>
      </c>
      <c r="E41" s="18">
        <f>SUM(E42:E42)</f>
        <v>16</v>
      </c>
      <c r="F41" s="11">
        <f t="shared" si="6"/>
        <v>1.8072969614819836</v>
      </c>
      <c r="G41" s="18">
        <f>SUM(G42:G42)</f>
        <v>965.5</v>
      </c>
      <c r="H41" s="18">
        <f>SUM(H42:H42)</f>
        <v>883.4</v>
      </c>
      <c r="I41" s="11">
        <f>H41/G41*100</f>
        <v>91.49663386846193</v>
      </c>
      <c r="J41" s="18">
        <f>SUM(J42:J42)</f>
        <v>938.5</v>
      </c>
      <c r="K41" s="18">
        <f>SUM(K42:K42)</f>
        <v>1242.5</v>
      </c>
      <c r="L41" s="11">
        <f>K41/J41*100</f>
        <v>132.39211507725093</v>
      </c>
      <c r="M41" s="18">
        <f>SUM(M42:M42)</f>
        <v>2789.3</v>
      </c>
      <c r="N41" s="18">
        <f>SUM(N42:N42)</f>
        <v>2141.9</v>
      </c>
      <c r="O41" s="11">
        <f>N41/M41*100</f>
        <v>76.78987559602768</v>
      </c>
      <c r="P41" s="18">
        <f>SUM(P42:P42)</f>
        <v>978.9</v>
      </c>
      <c r="Q41" s="18">
        <f>SUM(Q42:Q42)</f>
        <v>926.2</v>
      </c>
      <c r="R41" s="11">
        <f>Q41/P41*100</f>
        <v>94.61640617019104</v>
      </c>
      <c r="S41" s="18">
        <f>SUM(S42:S42)</f>
        <v>936.1</v>
      </c>
      <c r="T41" s="18">
        <f>SUM(T42:T42)</f>
        <v>935.6</v>
      </c>
      <c r="U41" s="11">
        <f>T41/S41*100</f>
        <v>99.94658690310865</v>
      </c>
      <c r="V41" s="18">
        <f>SUM(V42:V42)</f>
        <v>855</v>
      </c>
      <c r="W41" s="18">
        <f>SUM(W42:W42)</f>
        <v>982.6</v>
      </c>
      <c r="X41" s="11">
        <f>W41/V41*100</f>
        <v>114.92397660818713</v>
      </c>
      <c r="Y41" s="18">
        <f>SUM(Y42:Y42)</f>
        <v>2770</v>
      </c>
      <c r="Z41" s="18">
        <f>SUM(Z42:Z42)</f>
        <v>2844.4</v>
      </c>
      <c r="AA41" s="11">
        <f>Z41/Y41*100</f>
        <v>102.68592057761734</v>
      </c>
      <c r="AB41" s="18">
        <f>SUM(AB42:AB42)</f>
        <v>839.9</v>
      </c>
      <c r="AC41" s="18">
        <f>SUM(AC42:AC42)</f>
        <v>801</v>
      </c>
      <c r="AD41" s="11">
        <f>AC41/AB41*100</f>
        <v>95.36849624955353</v>
      </c>
      <c r="AE41" s="18">
        <f>SUM(AE42:AE42)</f>
        <v>789.1</v>
      </c>
      <c r="AF41" s="18">
        <f>SUM(AF42:AF42)</f>
        <v>831.8</v>
      </c>
      <c r="AG41" s="11">
        <f t="shared" si="1"/>
        <v>105.41122798124445</v>
      </c>
      <c r="AH41" s="18">
        <f>SUM(AH42:AH42)</f>
        <v>960</v>
      </c>
      <c r="AI41" s="18">
        <f>SUM(AI42:AI42)</f>
        <v>898.1</v>
      </c>
      <c r="AJ41" s="18">
        <f>SUM(AJ42:AJ42)</f>
        <v>2589</v>
      </c>
      <c r="AK41" s="18">
        <f>SUM(AK42:AK42)</f>
        <v>2530.9</v>
      </c>
      <c r="AL41" s="11">
        <f>AK41/AJ41*100</f>
        <v>97.75589030513713</v>
      </c>
      <c r="AM41" s="18">
        <f>SUM(AM42:AM42)</f>
        <v>1010.8</v>
      </c>
      <c r="AN41" s="18">
        <f>SUM(AN42:AN42)</f>
        <v>872.2</v>
      </c>
      <c r="AO41" s="140">
        <f>AO42</f>
        <v>9159.1</v>
      </c>
      <c r="AP41" s="140">
        <f>AP42</f>
        <v>8389.400000000001</v>
      </c>
      <c r="AQ41" s="11">
        <f>AP41/AO41*100</f>
        <v>91.59633588453016</v>
      </c>
      <c r="AR41" s="18">
        <f>SUM(AR42:AR42)</f>
        <v>769.6999999999989</v>
      </c>
      <c r="AS41" s="18">
        <f>SUM(AS42:AS42)</f>
        <v>573.5999999999985</v>
      </c>
    </row>
    <row r="42" spans="1:45" s="12" customFormat="1" ht="28.5" customHeight="1">
      <c r="A42" s="8"/>
      <c r="B42" s="47" t="s">
        <v>121</v>
      </c>
      <c r="C42" s="14">
        <v>-196.1</v>
      </c>
      <c r="D42" s="44">
        <v>885.3</v>
      </c>
      <c r="E42" s="44">
        <v>16</v>
      </c>
      <c r="F42" s="11">
        <f>E42/D42*100</f>
        <v>1.8072969614819836</v>
      </c>
      <c r="G42" s="44">
        <v>965.5</v>
      </c>
      <c r="H42" s="44">
        <v>883.4</v>
      </c>
      <c r="I42" s="11">
        <f>H42/G42*100</f>
        <v>91.49663386846193</v>
      </c>
      <c r="J42" s="44">
        <v>938.5</v>
      </c>
      <c r="K42" s="44">
        <v>1242.5</v>
      </c>
      <c r="L42" s="11">
        <f>K42/J42*100</f>
        <v>132.39211507725093</v>
      </c>
      <c r="M42" s="89">
        <f>D42+G42+J42</f>
        <v>2789.3</v>
      </c>
      <c r="N42" s="89">
        <f>E42+H42+K42</f>
        <v>2141.9</v>
      </c>
      <c r="O42" s="11">
        <f>N42/M42*100</f>
        <v>76.78987559602768</v>
      </c>
      <c r="P42" s="44">
        <v>978.9</v>
      </c>
      <c r="Q42" s="44">
        <v>926.2</v>
      </c>
      <c r="R42" s="11">
        <f>Q42/P42*100</f>
        <v>94.61640617019104</v>
      </c>
      <c r="S42" s="44">
        <v>936.1</v>
      </c>
      <c r="T42" s="44">
        <v>935.6</v>
      </c>
      <c r="U42" s="11">
        <f>T42/S42*100</f>
        <v>99.94658690310865</v>
      </c>
      <c r="V42" s="44">
        <v>855</v>
      </c>
      <c r="W42" s="44">
        <v>982.6</v>
      </c>
      <c r="X42" s="11">
        <f>W42/V42*100</f>
        <v>114.92397660818713</v>
      </c>
      <c r="Y42" s="89">
        <f>P42+S42+V42</f>
        <v>2770</v>
      </c>
      <c r="Z42" s="89">
        <f>Q42+T42+W42</f>
        <v>2844.4</v>
      </c>
      <c r="AA42" s="11">
        <f>Z42/Y42*100</f>
        <v>102.68592057761734</v>
      </c>
      <c r="AB42" s="44">
        <v>839.9</v>
      </c>
      <c r="AC42" s="44">
        <v>801</v>
      </c>
      <c r="AD42" s="11">
        <f>AC42/AB42*100</f>
        <v>95.36849624955353</v>
      </c>
      <c r="AE42" s="44">
        <v>789.1</v>
      </c>
      <c r="AF42" s="44">
        <v>831.8</v>
      </c>
      <c r="AG42" s="11">
        <f>AF42/AE42*100</f>
        <v>105.41122798124445</v>
      </c>
      <c r="AH42" s="44">
        <v>960</v>
      </c>
      <c r="AI42" s="44">
        <v>898.1</v>
      </c>
      <c r="AJ42" s="89">
        <f>AB42+AE42+AH42</f>
        <v>2589</v>
      </c>
      <c r="AK42" s="89">
        <f>AC42+AF42+AI42</f>
        <v>2530.9</v>
      </c>
      <c r="AL42" s="11">
        <f>AK42/AJ42*100</f>
        <v>97.75589030513713</v>
      </c>
      <c r="AM42" s="44">
        <v>1010.8</v>
      </c>
      <c r="AN42" s="44">
        <v>872.2</v>
      </c>
      <c r="AO42" s="72">
        <f>M42+Y42+AJ42+AM42</f>
        <v>9159.1</v>
      </c>
      <c r="AP42" s="72">
        <f>N42+Z42+AK42+AN42</f>
        <v>8389.400000000001</v>
      </c>
      <c r="AQ42" s="11">
        <f>AP42/AO42*100</f>
        <v>91.59633588453016</v>
      </c>
      <c r="AR42" s="72">
        <f>AO42-AP42</f>
        <v>769.6999999999989</v>
      </c>
      <c r="AS42" s="18">
        <f>C42+AO42-AP42</f>
        <v>573.5999999999985</v>
      </c>
    </row>
    <row r="43" spans="1:45" ht="24.75" customHeight="1">
      <c r="A43" s="13"/>
      <c r="B43" s="16" t="s">
        <v>122</v>
      </c>
      <c r="C43" s="18">
        <f>C41+C7</f>
        <v>-213</v>
      </c>
      <c r="D43" s="18">
        <f>D41+D7</f>
        <v>997.1999999999999</v>
      </c>
      <c r="E43" s="18">
        <f>E41+E7</f>
        <v>93.09999999999998</v>
      </c>
      <c r="F43" s="11">
        <f>E43/D43*100</f>
        <v>9.33614119534697</v>
      </c>
      <c r="G43" s="18">
        <f>G7+G41</f>
        <v>1146.7</v>
      </c>
      <c r="H43" s="18">
        <f>H7+H41</f>
        <v>1030.7</v>
      </c>
      <c r="I43" s="11">
        <f>H43/G43*100</f>
        <v>89.88401499956396</v>
      </c>
      <c r="J43" s="18">
        <f>J7+J41</f>
        <v>1181.8</v>
      </c>
      <c r="K43" s="18">
        <f>K7+K41</f>
        <v>1437.3</v>
      </c>
      <c r="L43" s="11">
        <f>K43/J43*100</f>
        <v>121.61956337789812</v>
      </c>
      <c r="M43" s="18">
        <f>M7+M41</f>
        <v>3325.7000000000003</v>
      </c>
      <c r="N43" s="18">
        <f>N7+N41</f>
        <v>2561.1000000000004</v>
      </c>
      <c r="O43" s="11">
        <f>N43/M43*100</f>
        <v>77.00935141473975</v>
      </c>
      <c r="P43" s="18">
        <f>P7+P41</f>
        <v>1166.6</v>
      </c>
      <c r="Q43" s="18">
        <f>Q7+Q41</f>
        <v>1181</v>
      </c>
      <c r="R43" s="11">
        <f>Q43/P43*100</f>
        <v>101.23435624892852</v>
      </c>
      <c r="S43" s="18">
        <f>S7+S41</f>
        <v>1137.3</v>
      </c>
      <c r="T43" s="18">
        <f>T7+T41</f>
        <v>1162.3</v>
      </c>
      <c r="U43" s="11">
        <f>T43/S43*100</f>
        <v>102.19818869251736</v>
      </c>
      <c r="V43" s="18">
        <f>V7+V41</f>
        <v>1089.6</v>
      </c>
      <c r="W43" s="18">
        <f>W7+W41</f>
        <v>1214.4</v>
      </c>
      <c r="X43" s="11">
        <f>W43/V43*100</f>
        <v>111.4537444933921</v>
      </c>
      <c r="Y43" s="18">
        <f>Y7+Y41</f>
        <v>3393.5</v>
      </c>
      <c r="Z43" s="18">
        <f>Z7+Z41</f>
        <v>3557.7</v>
      </c>
      <c r="AA43" s="11">
        <f>Z43/Y43*100</f>
        <v>104.83866214822454</v>
      </c>
      <c r="AB43" s="18">
        <f>AB7+AB41</f>
        <v>984</v>
      </c>
      <c r="AC43" s="18">
        <f>AC7+AC41</f>
        <v>930.1</v>
      </c>
      <c r="AD43" s="11">
        <f>AC43/AB43*100</f>
        <v>94.52235772357723</v>
      </c>
      <c r="AE43" s="18">
        <f>AE41+AE7</f>
        <v>913.7</v>
      </c>
      <c r="AF43" s="18">
        <f>AF41+AF7</f>
        <v>974.5999999999999</v>
      </c>
      <c r="AG43" s="11">
        <f>AF43/AE43*100</f>
        <v>106.66520739848964</v>
      </c>
      <c r="AH43" s="18">
        <f>AH41+AH7</f>
        <v>1124.5</v>
      </c>
      <c r="AI43" s="18">
        <f>AI41+AI7</f>
        <v>1054.8</v>
      </c>
      <c r="AJ43" s="18">
        <f>AJ7+AJ41</f>
        <v>3022.2</v>
      </c>
      <c r="AK43" s="18">
        <f>AK7+AK41</f>
        <v>2959.5</v>
      </c>
      <c r="AL43" s="11">
        <f>AK43/AJ43*100</f>
        <v>97.925352392297</v>
      </c>
      <c r="AM43" s="18">
        <f>AM41+AM7</f>
        <v>1227.9</v>
      </c>
      <c r="AN43" s="18">
        <f>AN41+AN7</f>
        <v>1086.5</v>
      </c>
      <c r="AO43" s="83">
        <f>AO7+AO41</f>
        <v>10969.3</v>
      </c>
      <c r="AP43" s="83">
        <f>AP7+AP41</f>
        <v>10164.800000000001</v>
      </c>
      <c r="AQ43" s="11">
        <f>AP43/AO43*100</f>
        <v>92.66589481553063</v>
      </c>
      <c r="AR43" s="18">
        <f>AR7+AR41</f>
        <v>804.4999999999989</v>
      </c>
      <c r="AS43" s="18">
        <f>AS7+AS41</f>
        <v>591.4999999999985</v>
      </c>
    </row>
    <row r="44" spans="1:57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25"/>
      <c r="AP44" s="25"/>
      <c r="AQ44" s="86"/>
      <c r="AR44" s="86"/>
      <c r="AS44" s="85"/>
      <c r="AT44" s="85"/>
      <c r="AU44" s="85"/>
      <c r="AV44" s="85"/>
      <c r="AW44" s="85"/>
      <c r="AX44" s="85"/>
      <c r="AY44" s="85"/>
      <c r="AZ44" s="85"/>
      <c r="BA44" s="85"/>
      <c r="BB44" s="46"/>
      <c r="BC44" s="46"/>
      <c r="BD44" s="46"/>
      <c r="BE44" s="46"/>
    </row>
    <row r="45" spans="1:57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34"/>
      <c r="AP45" s="34"/>
      <c r="AQ45" s="61"/>
      <c r="AR45" s="166" t="s">
        <v>137</v>
      </c>
      <c r="AS45" s="167"/>
      <c r="AT45" s="28"/>
      <c r="AU45" s="28"/>
      <c r="AV45" s="28"/>
      <c r="AW45" s="28"/>
      <c r="AX45" s="28"/>
      <c r="AY45" s="27"/>
      <c r="AZ45" s="6"/>
      <c r="BA45" s="6"/>
      <c r="BB45" s="29"/>
      <c r="BC45" s="6"/>
      <c r="BE45" s="6"/>
    </row>
    <row r="46" spans="1:57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40"/>
      <c r="AP46" s="40"/>
      <c r="AQ46" s="41"/>
      <c r="AR46" s="2"/>
      <c r="AS46" s="4" t="s">
        <v>135</v>
      </c>
      <c r="AT46" s="28"/>
      <c r="AU46" s="28"/>
      <c r="AV46" s="28"/>
      <c r="AW46" s="28"/>
      <c r="AX46" s="28"/>
      <c r="AY46" s="27"/>
      <c r="AZ46" s="6"/>
      <c r="BA46" s="6"/>
      <c r="BB46" s="29"/>
      <c r="BC46" s="6"/>
      <c r="BE46" s="6"/>
    </row>
    <row r="47" spans="1:57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H47" s="28"/>
      <c r="AI47" s="28"/>
      <c r="AM47" s="28"/>
      <c r="AN47" s="28"/>
      <c r="AS47" s="2"/>
      <c r="AT47" s="28"/>
      <c r="AU47" s="28"/>
      <c r="AV47" s="28"/>
      <c r="AW47" s="28"/>
      <c r="AX47" s="28"/>
      <c r="AY47" s="27"/>
      <c r="AZ47" s="6"/>
      <c r="BA47" s="6"/>
      <c r="BB47" s="29"/>
      <c r="BC47" s="6"/>
      <c r="BE47" s="6"/>
    </row>
    <row r="48" spans="1:57" ht="24.75" customHeight="1">
      <c r="A48" s="2"/>
      <c r="C48" s="31"/>
      <c r="D48" s="21"/>
      <c r="E48" s="21"/>
      <c r="F48" s="28"/>
      <c r="AE48" s="60"/>
      <c r="AF48" s="60"/>
      <c r="AG48" s="60"/>
      <c r="AH48" s="60"/>
      <c r="AI48" s="60"/>
      <c r="AM48" s="60"/>
      <c r="AN48" s="60"/>
      <c r="AT48" s="129"/>
      <c r="AU48" s="21"/>
      <c r="AV48" s="21"/>
      <c r="AW48" s="21"/>
      <c r="AX48" s="21"/>
      <c r="AY48" s="21"/>
      <c r="AZ48" s="7"/>
      <c r="BA48" s="7"/>
      <c r="BB48" s="32"/>
      <c r="BC48" s="7"/>
      <c r="BE48" s="7"/>
    </row>
    <row r="49" spans="1:46" s="38" customFormat="1" ht="49.5" customHeight="1">
      <c r="A49" s="33"/>
      <c r="B49" s="150" t="s">
        <v>138</v>
      </c>
      <c r="C49" s="150"/>
      <c r="D49" s="150"/>
      <c r="E49" s="150"/>
      <c r="F49" s="150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61"/>
      <c r="AI49" s="61"/>
      <c r="AJ49" s="12"/>
      <c r="AK49" s="12"/>
      <c r="AL49" s="12"/>
      <c r="AM49" s="61"/>
      <c r="AN49" s="61"/>
      <c r="AO49" s="2"/>
      <c r="AP49" s="2"/>
      <c r="AQ49" s="12"/>
      <c r="AR49" s="2"/>
      <c r="AS49" s="2"/>
      <c r="AT49" s="37"/>
    </row>
    <row r="50" spans="1:45" ht="73.5" customHeight="1" hidden="1">
      <c r="A50" s="146" t="s">
        <v>134</v>
      </c>
      <c r="B50" s="146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21"/>
      <c r="AP50" s="21"/>
      <c r="AQ50" s="60"/>
      <c r="AR50" s="21"/>
      <c r="AS50" s="21"/>
    </row>
    <row r="51" spans="2:45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O51" s="21"/>
      <c r="AP51" s="21"/>
      <c r="AQ51" s="60"/>
      <c r="AR51" s="21"/>
      <c r="AS51" s="21"/>
    </row>
    <row r="52" spans="7:45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O52" s="21"/>
      <c r="AP52" s="21"/>
      <c r="AQ52" s="60"/>
      <c r="AR52" s="21"/>
      <c r="AS52" s="21"/>
    </row>
    <row r="53" spans="2:45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O53" s="21"/>
      <c r="AP53" s="21"/>
      <c r="AQ53" s="60"/>
      <c r="AR53" s="21"/>
      <c r="AS53" s="21"/>
    </row>
    <row r="54" spans="2:45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O54" s="21"/>
      <c r="AP54" s="21"/>
      <c r="AQ54" s="60"/>
      <c r="AR54" s="21"/>
      <c r="AS54" s="21"/>
    </row>
    <row r="55" spans="2:45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O55" s="21"/>
      <c r="AP55" s="21"/>
      <c r="AQ55" s="60"/>
      <c r="AR55" s="21"/>
      <c r="AS55" s="21"/>
    </row>
    <row r="56" spans="2:45" ht="18.75">
      <c r="B56" s="123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O56" s="21"/>
      <c r="AP56" s="21"/>
      <c r="AQ56" s="60"/>
      <c r="AR56" s="21"/>
      <c r="AS56" s="21"/>
    </row>
    <row r="57" spans="7:45" ht="18.75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O57" s="21"/>
      <c r="AP57" s="21"/>
      <c r="AQ57" s="60"/>
      <c r="AR57" s="21"/>
      <c r="AS57" s="21"/>
    </row>
    <row r="58" spans="7:45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O58" s="21"/>
      <c r="AP58" s="21"/>
      <c r="AQ58" s="60"/>
      <c r="AR58" s="21"/>
      <c r="AS58" s="21"/>
    </row>
    <row r="59" spans="7:45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O59" s="21"/>
      <c r="AP59" s="21"/>
      <c r="AQ59" s="60"/>
      <c r="AR59" s="21"/>
      <c r="AS59" s="21"/>
    </row>
    <row r="60" spans="7:45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O60" s="21"/>
      <c r="AP60" s="21"/>
      <c r="AQ60" s="60"/>
      <c r="AR60" s="21"/>
      <c r="AS60" s="21"/>
    </row>
    <row r="61" spans="7:45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O61" s="21"/>
      <c r="AP61" s="21"/>
      <c r="AQ61" s="60"/>
      <c r="AR61" s="21"/>
      <c r="AS61" s="21"/>
    </row>
    <row r="62" spans="7:45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O62" s="21"/>
      <c r="AP62" s="21"/>
      <c r="AQ62" s="60"/>
      <c r="AR62" s="21"/>
      <c r="AS62" s="21"/>
    </row>
    <row r="63" spans="7:45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O63" s="21"/>
      <c r="AP63" s="21"/>
      <c r="AQ63" s="60"/>
      <c r="AR63" s="21"/>
      <c r="AS63" s="21"/>
    </row>
    <row r="64" spans="7:45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O64" s="21"/>
      <c r="AP64" s="21"/>
      <c r="AQ64" s="60"/>
      <c r="AR64" s="21"/>
      <c r="AS64" s="21"/>
    </row>
    <row r="65" spans="7:45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O65" s="21"/>
      <c r="AP65" s="21"/>
      <c r="AQ65" s="60"/>
      <c r="AR65" s="21"/>
      <c r="AS65" s="21"/>
    </row>
    <row r="66" spans="7:45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O66" s="21"/>
      <c r="AP66" s="21"/>
      <c r="AQ66" s="60"/>
      <c r="AR66" s="21"/>
      <c r="AS66" s="21"/>
    </row>
    <row r="67" spans="7:45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O67" s="21"/>
      <c r="AP67" s="21"/>
      <c r="AQ67" s="60"/>
      <c r="AR67" s="21"/>
      <c r="AS67" s="21"/>
    </row>
    <row r="68" spans="7:45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O68" s="21"/>
      <c r="AP68" s="21"/>
      <c r="AQ68" s="60"/>
      <c r="AR68" s="21"/>
      <c r="AS68" s="21"/>
    </row>
    <row r="69" spans="7:45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O69" s="21"/>
      <c r="AP69" s="21"/>
      <c r="AQ69" s="60"/>
      <c r="AR69" s="21"/>
      <c r="AS69" s="21"/>
    </row>
    <row r="70" spans="7:45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O70" s="21"/>
      <c r="AP70" s="21"/>
      <c r="AQ70" s="60"/>
      <c r="AR70" s="21"/>
      <c r="AS70" s="21"/>
    </row>
    <row r="71" spans="7:45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O71" s="21"/>
      <c r="AP71" s="21"/>
      <c r="AQ71" s="60"/>
      <c r="AR71" s="21"/>
      <c r="AS71" s="21"/>
    </row>
    <row r="72" spans="7:45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O72" s="21"/>
      <c r="AP72" s="21"/>
      <c r="AQ72" s="60"/>
      <c r="AR72" s="21"/>
      <c r="AS72" s="21"/>
    </row>
    <row r="73" spans="7:45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O73" s="21"/>
      <c r="AP73" s="21"/>
      <c r="AQ73" s="60"/>
      <c r="AR73" s="21"/>
      <c r="AS73" s="21"/>
    </row>
    <row r="74" spans="7:45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O74" s="21"/>
      <c r="AP74" s="21"/>
      <c r="AQ74" s="60"/>
      <c r="AR74" s="21"/>
      <c r="AS74" s="21"/>
    </row>
    <row r="75" spans="7:45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O75" s="21"/>
      <c r="AP75" s="21"/>
      <c r="AQ75" s="60"/>
      <c r="AR75" s="21"/>
      <c r="AS75" s="21"/>
    </row>
    <row r="76" spans="7:45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O76" s="21"/>
      <c r="AP76" s="21"/>
      <c r="AQ76" s="60"/>
      <c r="AR76" s="21"/>
      <c r="AS76" s="21"/>
    </row>
    <row r="77" spans="7:45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O77" s="21"/>
      <c r="AP77" s="21"/>
      <c r="AQ77" s="60"/>
      <c r="AR77" s="21"/>
      <c r="AS77" s="21"/>
    </row>
    <row r="78" spans="7:45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O78" s="21"/>
      <c r="AP78" s="21"/>
      <c r="AQ78" s="60"/>
      <c r="AR78" s="21"/>
      <c r="AS78" s="21"/>
    </row>
    <row r="79" spans="7:45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O79" s="21"/>
      <c r="AP79" s="21"/>
      <c r="AQ79" s="60"/>
      <c r="AR79" s="21"/>
      <c r="AS79" s="21"/>
    </row>
    <row r="80" spans="7:45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O80" s="21"/>
      <c r="AP80" s="21"/>
      <c r="AQ80" s="60"/>
      <c r="AR80" s="21"/>
      <c r="AS80" s="21"/>
    </row>
    <row r="81" spans="7:45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O81" s="21"/>
      <c r="AP81" s="21"/>
      <c r="AQ81" s="60"/>
      <c r="AR81" s="21"/>
      <c r="AS81" s="21"/>
    </row>
    <row r="82" spans="7:45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O82" s="21"/>
      <c r="AP82" s="21"/>
      <c r="AQ82" s="60"/>
      <c r="AR82" s="21"/>
      <c r="AS82" s="21"/>
    </row>
    <row r="83" spans="7:45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O83" s="21"/>
      <c r="AP83" s="21"/>
      <c r="AQ83" s="60"/>
      <c r="AR83" s="21"/>
      <c r="AS83" s="21"/>
    </row>
    <row r="84" spans="7:45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O84" s="21"/>
      <c r="AP84" s="21"/>
      <c r="AQ84" s="60"/>
      <c r="AR84" s="21"/>
      <c r="AS84" s="21"/>
    </row>
    <row r="85" spans="7:45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O85" s="21"/>
      <c r="AP85" s="21"/>
      <c r="AQ85" s="60"/>
      <c r="AR85" s="21"/>
      <c r="AS85" s="21"/>
    </row>
    <row r="86" spans="7:45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O86" s="21"/>
      <c r="AP86" s="21"/>
      <c r="AQ86" s="60"/>
      <c r="AR86" s="21"/>
      <c r="AS86" s="21"/>
    </row>
    <row r="87" spans="7:45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O87" s="21"/>
      <c r="AP87" s="21"/>
      <c r="AQ87" s="60"/>
      <c r="AR87" s="21"/>
      <c r="AS87" s="21"/>
    </row>
    <row r="88" spans="7:45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O88" s="21"/>
      <c r="AP88" s="21"/>
      <c r="AQ88" s="60"/>
      <c r="AR88" s="21"/>
      <c r="AS88" s="21"/>
    </row>
    <row r="89" spans="7:45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O89" s="21"/>
      <c r="AP89" s="21"/>
      <c r="AQ89" s="60"/>
      <c r="AR89" s="21"/>
      <c r="AS89" s="21"/>
    </row>
    <row r="90" spans="7:45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O90" s="21"/>
      <c r="AP90" s="21"/>
      <c r="AQ90" s="60"/>
      <c r="AR90" s="21"/>
      <c r="AS90" s="21"/>
    </row>
    <row r="91" spans="7:45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O91" s="21"/>
      <c r="AP91" s="21"/>
      <c r="AQ91" s="60"/>
      <c r="AR91" s="21"/>
      <c r="AS91" s="21"/>
    </row>
    <row r="92" spans="7:45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O92" s="21"/>
      <c r="AP92" s="21"/>
      <c r="AQ92" s="60"/>
      <c r="AR92" s="21"/>
      <c r="AS92" s="21"/>
    </row>
    <row r="93" spans="7:45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O93" s="21"/>
      <c r="AP93" s="21"/>
      <c r="AQ93" s="60"/>
      <c r="AR93" s="21"/>
      <c r="AS93" s="21"/>
    </row>
    <row r="94" spans="7:45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O94" s="21"/>
      <c r="AP94" s="21"/>
      <c r="AQ94" s="60"/>
      <c r="AR94" s="21"/>
      <c r="AS94" s="21"/>
    </row>
    <row r="95" spans="7:45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O95" s="21"/>
      <c r="AP95" s="21"/>
      <c r="AQ95" s="60"/>
      <c r="AR95" s="21"/>
      <c r="AS95" s="21"/>
    </row>
  </sheetData>
  <sheetProtection/>
  <mergeCells count="23">
    <mergeCell ref="I1:AS1"/>
    <mergeCell ref="B4:F4"/>
    <mergeCell ref="A2:AS2"/>
    <mergeCell ref="AR5:AR6"/>
    <mergeCell ref="AS5:AS6"/>
    <mergeCell ref="J5:L5"/>
    <mergeCell ref="P5:R5"/>
    <mergeCell ref="B3:AS3"/>
    <mergeCell ref="S5:U5"/>
    <mergeCell ref="AR45:AS45"/>
    <mergeCell ref="B49:F49"/>
    <mergeCell ref="D5:F5"/>
    <mergeCell ref="G5:I5"/>
    <mergeCell ref="AO5:AQ5"/>
    <mergeCell ref="AH5:AI5"/>
    <mergeCell ref="AM5:AN5"/>
    <mergeCell ref="AJ5:AL5"/>
    <mergeCell ref="A50:B50"/>
    <mergeCell ref="M5:O5"/>
    <mergeCell ref="V5:X5"/>
    <mergeCell ref="AB5:AD5"/>
    <mergeCell ref="AE5:AG5"/>
    <mergeCell ref="Y5:AA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E95"/>
  <sheetViews>
    <sheetView tabSelected="1" view="pageBreakPreview" zoomScale="77" zoomScaleNormal="50" zoomScaleSheetLayoutView="77" zoomScalePageLayoutView="0" workbookViewId="0" topLeftCell="A1">
      <pane xSplit="6" ySplit="8" topLeftCell="Z3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O36" sqref="AO36"/>
    </sheetView>
  </sheetViews>
  <sheetFormatPr defaultColWidth="6.75390625" defaultRowHeight="12.75"/>
  <cols>
    <col min="1" max="1" width="5.625" style="1" customWidth="1"/>
    <col min="2" max="2" width="48.75390625" style="2" customWidth="1"/>
    <col min="3" max="3" width="17.125" style="107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3.75390625" style="12" customWidth="1"/>
    <col min="26" max="26" width="12.375" style="12" customWidth="1"/>
    <col min="27" max="27" width="11.125" style="12" customWidth="1"/>
    <col min="28" max="28" width="15.25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25390625" style="12" hidden="1" customWidth="1"/>
    <col min="35" max="35" width="11.00390625" style="12" hidden="1" customWidth="1"/>
    <col min="36" max="36" width="13.75390625" style="12" customWidth="1"/>
    <col min="37" max="37" width="12.375" style="12" customWidth="1"/>
    <col min="38" max="38" width="11.125" style="12" customWidth="1"/>
    <col min="39" max="39" width="12.25390625" style="12" customWidth="1"/>
    <col min="40" max="40" width="11.00390625" style="12" customWidth="1"/>
    <col min="41" max="42" width="14.75390625" style="2" customWidth="1"/>
    <col min="43" max="43" width="11.125" style="12" customWidth="1"/>
    <col min="44" max="44" width="16.75390625" style="2" customWidth="1"/>
    <col min="45" max="45" width="18.25390625" style="2" customWidth="1"/>
    <col min="46" max="46" width="10.625" style="2" customWidth="1"/>
    <col min="47" max="47" width="12.00390625" style="2" customWidth="1"/>
    <col min="48" max="16384" width="6.75390625" style="2" customWidth="1"/>
  </cols>
  <sheetData>
    <row r="1" spans="9:45" ht="19.5" customHeight="1">
      <c r="I1" s="158" t="s">
        <v>50</v>
      </c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</row>
    <row r="2" spans="1:45" s="63" customFormat="1" ht="42" customHeight="1">
      <c r="A2" s="62"/>
      <c r="B2" s="159" t="s">
        <v>132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</row>
    <row r="3" spans="1:45" s="63" customFormat="1" ht="42" customHeight="1">
      <c r="A3" s="62"/>
      <c r="B3" s="159" t="s">
        <v>159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</row>
    <row r="4" spans="2:45" ht="18.75">
      <c r="B4" s="160"/>
      <c r="C4" s="160"/>
      <c r="D4" s="160"/>
      <c r="E4" s="160"/>
      <c r="F4" s="160"/>
      <c r="AE4" s="6"/>
      <c r="AF4" s="6"/>
      <c r="AG4" s="6"/>
      <c r="AH4" s="6"/>
      <c r="AI4" s="6"/>
      <c r="AM4" s="6"/>
      <c r="AN4" s="6"/>
      <c r="AS4" s="5" t="s">
        <v>7</v>
      </c>
    </row>
    <row r="5" spans="1:45" ht="58.5" customHeight="1">
      <c r="A5" s="50" t="s">
        <v>55</v>
      </c>
      <c r="B5" s="51"/>
      <c r="C5" s="52" t="s">
        <v>1</v>
      </c>
      <c r="D5" s="151" t="s">
        <v>142</v>
      </c>
      <c r="E5" s="152"/>
      <c r="F5" s="153"/>
      <c r="G5" s="154" t="s">
        <v>143</v>
      </c>
      <c r="H5" s="155"/>
      <c r="I5" s="156"/>
      <c r="J5" s="154" t="s">
        <v>147</v>
      </c>
      <c r="K5" s="155"/>
      <c r="L5" s="156"/>
      <c r="M5" s="154" t="s">
        <v>149</v>
      </c>
      <c r="N5" s="155"/>
      <c r="O5" s="156"/>
      <c r="P5" s="154" t="s">
        <v>148</v>
      </c>
      <c r="Q5" s="155"/>
      <c r="R5" s="156"/>
      <c r="S5" s="154" t="s">
        <v>150</v>
      </c>
      <c r="T5" s="155"/>
      <c r="U5" s="156"/>
      <c r="V5" s="154" t="s">
        <v>151</v>
      </c>
      <c r="W5" s="155"/>
      <c r="X5" s="156"/>
      <c r="Y5" s="154" t="s">
        <v>153</v>
      </c>
      <c r="Z5" s="155"/>
      <c r="AA5" s="156"/>
      <c r="AB5" s="154" t="s">
        <v>154</v>
      </c>
      <c r="AC5" s="155"/>
      <c r="AD5" s="156"/>
      <c r="AE5" s="154" t="s">
        <v>155</v>
      </c>
      <c r="AF5" s="155"/>
      <c r="AG5" s="156"/>
      <c r="AH5" s="154" t="s">
        <v>156</v>
      </c>
      <c r="AI5" s="156"/>
      <c r="AJ5" s="154" t="s">
        <v>157</v>
      </c>
      <c r="AK5" s="155"/>
      <c r="AL5" s="156"/>
      <c r="AM5" s="154" t="s">
        <v>158</v>
      </c>
      <c r="AN5" s="156"/>
      <c r="AO5" s="151" t="s">
        <v>144</v>
      </c>
      <c r="AP5" s="152"/>
      <c r="AQ5" s="153"/>
      <c r="AR5" s="161" t="s">
        <v>160</v>
      </c>
      <c r="AS5" s="161" t="s">
        <v>161</v>
      </c>
    </row>
    <row r="6" spans="1:45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8" t="s">
        <v>0</v>
      </c>
      <c r="AR6" s="162"/>
      <c r="AS6" s="162"/>
    </row>
    <row r="7" spans="1:47" s="12" customFormat="1" ht="36" customHeight="1">
      <c r="A7" s="8"/>
      <c r="B7" s="9" t="s">
        <v>89</v>
      </c>
      <c r="C7" s="67">
        <f>SUM(C8:C40)</f>
        <v>3982.8999999999996</v>
      </c>
      <c r="D7" s="11">
        <f>SUM(D8:D40)</f>
        <v>2480.4</v>
      </c>
      <c r="E7" s="11">
        <f>SUM(E8:E40)</f>
        <v>2195.3999999999996</v>
      </c>
      <c r="F7" s="11">
        <f aca="true" t="shared" si="0" ref="F7:F20">E7/D7*100</f>
        <v>88.50991775520075</v>
      </c>
      <c r="G7" s="11">
        <f>SUM(G8:G40)</f>
        <v>2650.4</v>
      </c>
      <c r="H7" s="11">
        <f>SUM(H8:H40)</f>
        <v>2160.3</v>
      </c>
      <c r="I7" s="11">
        <f aca="true" t="shared" si="1" ref="I7:I43">H7/G7*100</f>
        <v>81.50845155448235</v>
      </c>
      <c r="J7" s="11">
        <f>SUM(J8:J40)</f>
        <v>2634.2000000000003</v>
      </c>
      <c r="K7" s="11">
        <f>SUM(K8:K40)</f>
        <v>2781.5</v>
      </c>
      <c r="L7" s="11">
        <f aca="true" t="shared" si="2" ref="L7:L20">K7/J7*100</f>
        <v>105.59183053678535</v>
      </c>
      <c r="M7" s="11">
        <f>SUM(M8:M40)</f>
        <v>7764.999999999999</v>
      </c>
      <c r="N7" s="11">
        <f>SUM(N8:N40)</f>
        <v>7137.199999999999</v>
      </c>
      <c r="O7" s="11">
        <f>N7/M7*100</f>
        <v>91.91500321957501</v>
      </c>
      <c r="P7" s="11">
        <f>SUM(P8:P40)</f>
        <v>2473.1</v>
      </c>
      <c r="Q7" s="11">
        <f>SUM(Q8:Q40)</f>
        <v>2084.8</v>
      </c>
      <c r="R7" s="11">
        <f aca="true" t="shared" si="3" ref="R7:R20">Q7/P7*100</f>
        <v>84.2990578626016</v>
      </c>
      <c r="S7" s="11">
        <f>SUM(S8:S40)</f>
        <v>2472.4000000000005</v>
      </c>
      <c r="T7" s="11">
        <f>SUM(T8:T40)</f>
        <v>2426.1000000000004</v>
      </c>
      <c r="U7" s="11">
        <f aca="true" t="shared" si="4" ref="U7:U20">T7/S7*100</f>
        <v>98.12732567545703</v>
      </c>
      <c r="V7" s="11">
        <f>SUM(V8:V40)</f>
        <v>2537.1000000000004</v>
      </c>
      <c r="W7" s="11">
        <f>SUM(W8:W40)</f>
        <v>2259.2</v>
      </c>
      <c r="X7" s="11">
        <f aca="true" t="shared" si="5" ref="X7:X24">W7/V7*100</f>
        <v>89.04654920972762</v>
      </c>
      <c r="Y7" s="11">
        <f>SUM(Y8:Y40)</f>
        <v>7482.599999999999</v>
      </c>
      <c r="Z7" s="11">
        <f>SUM(Z8:Z40)</f>
        <v>6770.0999999999985</v>
      </c>
      <c r="AA7" s="11">
        <f aca="true" t="shared" si="6" ref="AA7:AA20">Z7/Y7*100</f>
        <v>90.47790874829603</v>
      </c>
      <c r="AB7" s="11">
        <f>SUM(AB8:AB40)</f>
        <v>2684.4</v>
      </c>
      <c r="AC7" s="11">
        <f>SUM(AC8:AC40)</f>
        <v>3256.2000000000003</v>
      </c>
      <c r="AD7" s="11">
        <f aca="true" t="shared" si="7" ref="AD7:AD24">AC7/AB7*100</f>
        <v>121.30084935181047</v>
      </c>
      <c r="AE7" s="11">
        <f>SUM(AE8:AE40)</f>
        <v>2618.7</v>
      </c>
      <c r="AF7" s="11">
        <f>SUM(AF8:AF40)</f>
        <v>1979.1000000000004</v>
      </c>
      <c r="AG7" s="11">
        <f>AF7/AE7*100</f>
        <v>75.57566731584376</v>
      </c>
      <c r="AH7" s="11">
        <f>SUM(AH8:AH40)</f>
        <v>2493.8</v>
      </c>
      <c r="AI7" s="11">
        <f>SUM(AI8:AI40)</f>
        <v>1968.3999999999999</v>
      </c>
      <c r="AJ7" s="11">
        <f>SUM(AJ8:AJ40)</f>
        <v>7796.900000000001</v>
      </c>
      <c r="AK7" s="11">
        <f>SUM(AK8:AK40)</f>
        <v>7203.699999999999</v>
      </c>
      <c r="AL7" s="11">
        <f aca="true" t="shared" si="8" ref="AL7:AL20">AK7/AJ7*100</f>
        <v>92.3918480421706</v>
      </c>
      <c r="AM7" s="11">
        <f>SUM(AM8:AM40)</f>
        <v>2966.3</v>
      </c>
      <c r="AN7" s="11">
        <f>SUM(AN8:AN40)</f>
        <v>2400.2000000000003</v>
      </c>
      <c r="AO7" s="67">
        <f>SUM(AO8:AO40)</f>
        <v>26010.799999999996</v>
      </c>
      <c r="AP7" s="67">
        <f>SUM(AP8:AP40)</f>
        <v>23511.2</v>
      </c>
      <c r="AQ7" s="11">
        <f aca="true" t="shared" si="9" ref="AQ7:AQ42">AP7/AO7*100</f>
        <v>90.3901456318145</v>
      </c>
      <c r="AR7" s="67">
        <f>SUM(AR8:AR40)</f>
        <v>2499.600000000001</v>
      </c>
      <c r="AS7" s="67">
        <f>SUM(AS8:AS40)</f>
        <v>6482.5</v>
      </c>
      <c r="AT7" s="27">
        <f>SUM(AR8:AR40)</f>
        <v>2499.600000000001</v>
      </c>
      <c r="AU7" s="27">
        <f>SUM(AS8:AS40)</f>
        <v>6482.5</v>
      </c>
    </row>
    <row r="8" spans="1:45" ht="24.75" customHeight="1">
      <c r="A8" s="13" t="s">
        <v>13</v>
      </c>
      <c r="B8" s="47" t="s">
        <v>91</v>
      </c>
      <c r="C8" s="108">
        <v>55.1</v>
      </c>
      <c r="D8" s="44">
        <v>181.1</v>
      </c>
      <c r="E8" s="44">
        <v>164.6</v>
      </c>
      <c r="F8" s="11">
        <f t="shared" si="0"/>
        <v>90.88901159580342</v>
      </c>
      <c r="G8" s="44">
        <v>170.5</v>
      </c>
      <c r="H8" s="44">
        <v>164.3</v>
      </c>
      <c r="I8" s="11">
        <f t="shared" si="1"/>
        <v>96.36363636363637</v>
      </c>
      <c r="J8" s="44">
        <v>170</v>
      </c>
      <c r="K8" s="44">
        <v>177.8</v>
      </c>
      <c r="L8" s="11">
        <f t="shared" si="2"/>
        <v>104.58823529411765</v>
      </c>
      <c r="M8" s="89">
        <f>D8+G8+J8</f>
        <v>521.6</v>
      </c>
      <c r="N8" s="89">
        <f>E8+H8+K8</f>
        <v>506.7</v>
      </c>
      <c r="O8" s="11">
        <f aca="true" t="shared" si="10" ref="O8:O43">N8/M8*100</f>
        <v>97.14340490797545</v>
      </c>
      <c r="P8" s="44">
        <v>161.6</v>
      </c>
      <c r="Q8" s="44">
        <v>161.7</v>
      </c>
      <c r="R8" s="11">
        <f t="shared" si="3"/>
        <v>100.0618811881188</v>
      </c>
      <c r="S8" s="44">
        <v>196.7</v>
      </c>
      <c r="T8" s="44">
        <v>173.9</v>
      </c>
      <c r="U8" s="11">
        <f t="shared" si="4"/>
        <v>88.40874428063042</v>
      </c>
      <c r="V8" s="44">
        <v>184.8</v>
      </c>
      <c r="W8" s="44">
        <v>187</v>
      </c>
      <c r="X8" s="11">
        <f t="shared" si="5"/>
        <v>101.19047619047619</v>
      </c>
      <c r="Y8" s="89">
        <f aca="true" t="shared" si="11" ref="Y8:Y20">P8+S8+V8</f>
        <v>543.0999999999999</v>
      </c>
      <c r="Z8" s="89">
        <f aca="true" t="shared" si="12" ref="Z8:Z20">Q8+T8+W8</f>
        <v>522.6</v>
      </c>
      <c r="AA8" s="11">
        <f t="shared" si="6"/>
        <v>96.22537285951024</v>
      </c>
      <c r="AB8" s="44">
        <v>234.6</v>
      </c>
      <c r="AC8" s="44">
        <v>244.8</v>
      </c>
      <c r="AD8" s="11">
        <f t="shared" si="7"/>
        <v>104.34782608695652</v>
      </c>
      <c r="AE8" s="44">
        <v>218.6</v>
      </c>
      <c r="AF8" s="44">
        <v>238.3</v>
      </c>
      <c r="AG8" s="11">
        <f>AF8/AE8*100</f>
        <v>109.01189387008235</v>
      </c>
      <c r="AH8" s="44">
        <v>184.8</v>
      </c>
      <c r="AI8" s="44">
        <v>156.5</v>
      </c>
      <c r="AJ8" s="89">
        <f>AB8+AE8+AH8</f>
        <v>638</v>
      </c>
      <c r="AK8" s="89">
        <f>AC8+AF8+AI8</f>
        <v>639.6</v>
      </c>
      <c r="AL8" s="11">
        <f t="shared" si="8"/>
        <v>100.25078369905958</v>
      </c>
      <c r="AM8" s="44">
        <v>192.9</v>
      </c>
      <c r="AN8" s="44">
        <v>189</v>
      </c>
      <c r="AO8" s="72">
        <f>M8+Y8+AJ8+AM8</f>
        <v>1895.6</v>
      </c>
      <c r="AP8" s="72">
        <f>N8+Z8+AK8+AN8</f>
        <v>1857.9</v>
      </c>
      <c r="AQ8" s="11">
        <f t="shared" si="9"/>
        <v>98.01118379404939</v>
      </c>
      <c r="AR8" s="72">
        <f>AO8-AP8</f>
        <v>37.69999999999982</v>
      </c>
      <c r="AS8" s="18">
        <f aca="true" t="shared" si="13" ref="AS8:AS20">C8+AO8-AP8</f>
        <v>92.79999999999973</v>
      </c>
    </row>
    <row r="9" spans="1:45" ht="24.75" customHeight="1">
      <c r="A9" s="13" t="s">
        <v>14</v>
      </c>
      <c r="B9" s="47" t="s">
        <v>92</v>
      </c>
      <c r="C9" s="120">
        <v>5.2</v>
      </c>
      <c r="D9" s="44">
        <v>10.3</v>
      </c>
      <c r="E9" s="44">
        <v>6.8</v>
      </c>
      <c r="F9" s="11">
        <f t="shared" si="0"/>
        <v>66.01941747572815</v>
      </c>
      <c r="G9" s="44">
        <v>10.8</v>
      </c>
      <c r="H9" s="44">
        <v>9.4</v>
      </c>
      <c r="I9" s="11">
        <f t="shared" si="1"/>
        <v>87.03703703703704</v>
      </c>
      <c r="J9" s="44">
        <v>9.8</v>
      </c>
      <c r="K9" s="44">
        <v>12.8</v>
      </c>
      <c r="L9" s="11">
        <f t="shared" si="2"/>
        <v>130.6122448979592</v>
      </c>
      <c r="M9" s="89">
        <f aca="true" t="shared" si="14" ref="M9:M42">D9+G9+J9</f>
        <v>30.900000000000002</v>
      </c>
      <c r="N9" s="89">
        <f aca="true" t="shared" si="15" ref="N9:N42">E9+H9+K9</f>
        <v>29</v>
      </c>
      <c r="O9" s="11">
        <f t="shared" si="10"/>
        <v>93.85113268608414</v>
      </c>
      <c r="P9" s="44">
        <v>10.1</v>
      </c>
      <c r="Q9" s="44">
        <v>13</v>
      </c>
      <c r="R9" s="11">
        <f t="shared" si="3"/>
        <v>128.7128712871287</v>
      </c>
      <c r="S9" s="44">
        <v>10.7</v>
      </c>
      <c r="T9" s="44">
        <v>10.4</v>
      </c>
      <c r="U9" s="11">
        <f t="shared" si="4"/>
        <v>97.196261682243</v>
      </c>
      <c r="V9" s="44">
        <v>11.3</v>
      </c>
      <c r="W9" s="44">
        <v>10.2</v>
      </c>
      <c r="X9" s="11">
        <f t="shared" si="5"/>
        <v>90.2654867256637</v>
      </c>
      <c r="Y9" s="89">
        <f t="shared" si="11"/>
        <v>32.099999999999994</v>
      </c>
      <c r="Z9" s="89">
        <f t="shared" si="12"/>
        <v>33.599999999999994</v>
      </c>
      <c r="AA9" s="11">
        <f t="shared" si="6"/>
        <v>104.67289719626169</v>
      </c>
      <c r="AB9" s="44">
        <v>14.4</v>
      </c>
      <c r="AC9" s="44">
        <v>14.2</v>
      </c>
      <c r="AD9" s="11">
        <f t="shared" si="7"/>
        <v>98.6111111111111</v>
      </c>
      <c r="AE9" s="44">
        <v>15.4</v>
      </c>
      <c r="AF9" s="44">
        <f>8.2+3.2</f>
        <v>11.399999999999999</v>
      </c>
      <c r="AG9" s="11">
        <f>AF9/AE9*100</f>
        <v>74.02597402597402</v>
      </c>
      <c r="AH9" s="44">
        <v>11.5</v>
      </c>
      <c r="AI9" s="44">
        <f>0.3+10.8</f>
        <v>11.100000000000001</v>
      </c>
      <c r="AJ9" s="89">
        <f aca="true" t="shared" si="16" ref="AJ9:AJ40">AB9+AE9+AH9</f>
        <v>41.3</v>
      </c>
      <c r="AK9" s="89">
        <f aca="true" t="shared" si="17" ref="AK9:AK40">AC9+AF9+AI9</f>
        <v>36.7</v>
      </c>
      <c r="AL9" s="11">
        <f t="shared" si="8"/>
        <v>88.86198547215498</v>
      </c>
      <c r="AM9" s="44">
        <v>12.9</v>
      </c>
      <c r="AN9" s="44">
        <v>8.2</v>
      </c>
      <c r="AO9" s="72">
        <f aca="true" t="shared" si="18" ref="AO9:AO40">M9+Y9+AJ9+AM9</f>
        <v>117.2</v>
      </c>
      <c r="AP9" s="72">
        <f aca="true" t="shared" si="19" ref="AP9:AP40">N9+Z9+AK9+AN9</f>
        <v>107.5</v>
      </c>
      <c r="AQ9" s="11">
        <f t="shared" si="9"/>
        <v>91.7235494880546</v>
      </c>
      <c r="AR9" s="72">
        <f aca="true" t="shared" si="20" ref="AR9:AR28">AO9-AP9</f>
        <v>9.700000000000003</v>
      </c>
      <c r="AS9" s="18">
        <f t="shared" si="13"/>
        <v>14.900000000000006</v>
      </c>
    </row>
    <row r="10" spans="1:45" ht="24.75" customHeight="1">
      <c r="A10" s="13" t="s">
        <v>15</v>
      </c>
      <c r="B10" s="15" t="s">
        <v>133</v>
      </c>
      <c r="C10" s="108">
        <v>0.5</v>
      </c>
      <c r="D10" s="44">
        <v>1</v>
      </c>
      <c r="E10" s="44">
        <v>1</v>
      </c>
      <c r="F10" s="11">
        <f t="shared" si="0"/>
        <v>100</v>
      </c>
      <c r="G10" s="44">
        <v>1</v>
      </c>
      <c r="H10" s="44">
        <v>0.9</v>
      </c>
      <c r="I10" s="11">
        <f t="shared" si="1"/>
        <v>90</v>
      </c>
      <c r="J10" s="44">
        <v>0.8</v>
      </c>
      <c r="K10" s="44">
        <v>1</v>
      </c>
      <c r="L10" s="11">
        <f t="shared" si="2"/>
        <v>125</v>
      </c>
      <c r="M10" s="89">
        <f t="shared" si="14"/>
        <v>2.8</v>
      </c>
      <c r="N10" s="89">
        <f t="shared" si="15"/>
        <v>2.9</v>
      </c>
      <c r="O10" s="11">
        <f t="shared" si="10"/>
        <v>103.57142857142858</v>
      </c>
      <c r="P10" s="44">
        <v>0.7</v>
      </c>
      <c r="Q10" s="44">
        <v>1.2</v>
      </c>
      <c r="R10" s="11">
        <f t="shared" si="3"/>
        <v>171.42857142857144</v>
      </c>
      <c r="S10" s="44">
        <v>0.8</v>
      </c>
      <c r="T10" s="44">
        <v>0.7</v>
      </c>
      <c r="U10" s="11">
        <f t="shared" si="4"/>
        <v>87.49999999999999</v>
      </c>
      <c r="V10" s="44">
        <v>2</v>
      </c>
      <c r="W10" s="44">
        <v>1.8</v>
      </c>
      <c r="X10" s="11">
        <f t="shared" si="5"/>
        <v>90</v>
      </c>
      <c r="Y10" s="89">
        <f t="shared" si="11"/>
        <v>3.5</v>
      </c>
      <c r="Z10" s="89">
        <f t="shared" si="12"/>
        <v>3.7</v>
      </c>
      <c r="AA10" s="11">
        <f t="shared" si="6"/>
        <v>105.71428571428572</v>
      </c>
      <c r="AB10" s="44">
        <v>2.6</v>
      </c>
      <c r="AC10" s="44">
        <v>2.5</v>
      </c>
      <c r="AD10" s="11">
        <f t="shared" si="7"/>
        <v>96.15384615384615</v>
      </c>
      <c r="AE10" s="44">
        <v>3.3</v>
      </c>
      <c r="AF10" s="44">
        <v>3.3</v>
      </c>
      <c r="AG10" s="11">
        <f>AF10/AE10*100</f>
        <v>100</v>
      </c>
      <c r="AH10" s="44">
        <v>2.9</v>
      </c>
      <c r="AI10" s="44">
        <v>2.8</v>
      </c>
      <c r="AJ10" s="89">
        <f t="shared" si="16"/>
        <v>8.8</v>
      </c>
      <c r="AK10" s="89">
        <f t="shared" si="17"/>
        <v>8.6</v>
      </c>
      <c r="AL10" s="11">
        <f t="shared" si="8"/>
        <v>97.72727272727272</v>
      </c>
      <c r="AM10" s="44">
        <v>2.7</v>
      </c>
      <c r="AN10" s="44">
        <v>2.7</v>
      </c>
      <c r="AO10" s="72">
        <f t="shared" si="18"/>
        <v>17.8</v>
      </c>
      <c r="AP10" s="72">
        <f t="shared" si="19"/>
        <v>17.9</v>
      </c>
      <c r="AQ10" s="11">
        <f t="shared" si="9"/>
        <v>100.56179775280899</v>
      </c>
      <c r="AR10" s="72">
        <f t="shared" si="20"/>
        <v>-0.09999999999999787</v>
      </c>
      <c r="AS10" s="18">
        <f t="shared" si="13"/>
        <v>0.40000000000000213</v>
      </c>
    </row>
    <row r="11" spans="1:45" ht="24.75" customHeight="1">
      <c r="A11" s="13" t="s">
        <v>16</v>
      </c>
      <c r="B11" s="47" t="s">
        <v>93</v>
      </c>
      <c r="C11" s="108">
        <v>7.1</v>
      </c>
      <c r="D11" s="44">
        <v>68.3</v>
      </c>
      <c r="E11" s="44">
        <v>91</v>
      </c>
      <c r="F11" s="11">
        <f t="shared" si="0"/>
        <v>133.23572474377744</v>
      </c>
      <c r="G11" s="44">
        <v>103.2</v>
      </c>
      <c r="H11" s="44">
        <v>48.4</v>
      </c>
      <c r="I11" s="11">
        <f>H11/G11*100</f>
        <v>46.89922480620155</v>
      </c>
      <c r="J11" s="44">
        <v>67.5</v>
      </c>
      <c r="K11" s="44">
        <v>65.1</v>
      </c>
      <c r="L11" s="11">
        <f t="shared" si="2"/>
        <v>96.44444444444443</v>
      </c>
      <c r="M11" s="89">
        <f t="shared" si="14"/>
        <v>239</v>
      </c>
      <c r="N11" s="89">
        <f t="shared" si="15"/>
        <v>204.5</v>
      </c>
      <c r="O11" s="11">
        <f t="shared" si="10"/>
        <v>85.56485355648536</v>
      </c>
      <c r="P11" s="44">
        <v>83.3</v>
      </c>
      <c r="Q11" s="44">
        <v>106.2</v>
      </c>
      <c r="R11" s="11">
        <f t="shared" si="3"/>
        <v>127.49099639855943</v>
      </c>
      <c r="S11" s="44">
        <v>71.4</v>
      </c>
      <c r="T11" s="44">
        <v>104.7</v>
      </c>
      <c r="U11" s="11">
        <f t="shared" si="4"/>
        <v>146.63865546218486</v>
      </c>
      <c r="V11" s="44">
        <v>95.3</v>
      </c>
      <c r="W11" s="44">
        <v>85.7</v>
      </c>
      <c r="X11" s="11">
        <f t="shared" si="5"/>
        <v>89.92654774396642</v>
      </c>
      <c r="Y11" s="89">
        <f t="shared" si="11"/>
        <v>250</v>
      </c>
      <c r="Z11" s="89">
        <f t="shared" si="12"/>
        <v>296.6</v>
      </c>
      <c r="AA11" s="11">
        <f t="shared" si="6"/>
        <v>118.64000000000001</v>
      </c>
      <c r="AB11" s="44">
        <v>63</v>
      </c>
      <c r="AC11" s="44">
        <v>106.6</v>
      </c>
      <c r="AD11" s="11">
        <f t="shared" si="7"/>
        <v>169.20634920634922</v>
      </c>
      <c r="AE11" s="44">
        <v>82.8</v>
      </c>
      <c r="AF11" s="44">
        <v>61.7</v>
      </c>
      <c r="AG11" s="11">
        <f>AF11/AE11*100</f>
        <v>74.5169082125604</v>
      </c>
      <c r="AH11" s="44">
        <v>74.5</v>
      </c>
      <c r="AI11" s="44">
        <v>80.5</v>
      </c>
      <c r="AJ11" s="89">
        <f t="shared" si="16"/>
        <v>220.3</v>
      </c>
      <c r="AK11" s="89">
        <f t="shared" si="17"/>
        <v>248.8</v>
      </c>
      <c r="AL11" s="11">
        <f t="shared" si="8"/>
        <v>112.93690422151612</v>
      </c>
      <c r="AM11" s="44">
        <v>100.9</v>
      </c>
      <c r="AN11" s="44">
        <v>51.7</v>
      </c>
      <c r="AO11" s="72">
        <f t="shared" si="18"/>
        <v>810.1999999999999</v>
      </c>
      <c r="AP11" s="72">
        <f t="shared" si="19"/>
        <v>801.6000000000001</v>
      </c>
      <c r="AQ11" s="11">
        <f t="shared" si="9"/>
        <v>98.93853369538388</v>
      </c>
      <c r="AR11" s="72">
        <f t="shared" si="20"/>
        <v>8.599999999999795</v>
      </c>
      <c r="AS11" s="18">
        <f t="shared" si="13"/>
        <v>15.699999999999818</v>
      </c>
    </row>
    <row r="12" spans="1:45" ht="24.75" customHeight="1">
      <c r="A12" s="13" t="s">
        <v>17</v>
      </c>
      <c r="B12" s="47" t="s">
        <v>94</v>
      </c>
      <c r="C12" s="108">
        <v>35.3</v>
      </c>
      <c r="D12" s="44">
        <v>13.9</v>
      </c>
      <c r="E12" s="44">
        <v>15.5</v>
      </c>
      <c r="F12" s="11">
        <f t="shared" si="0"/>
        <v>111.51079136690647</v>
      </c>
      <c r="G12" s="44">
        <v>18.1</v>
      </c>
      <c r="H12" s="44">
        <v>18</v>
      </c>
      <c r="I12" s="11">
        <f>H12/G12*100</f>
        <v>99.44751381215468</v>
      </c>
      <c r="J12" s="44">
        <v>12.7</v>
      </c>
      <c r="K12" s="44">
        <v>11.4</v>
      </c>
      <c r="L12" s="11">
        <f t="shared" si="2"/>
        <v>89.76377952755907</v>
      </c>
      <c r="M12" s="89">
        <f t="shared" si="14"/>
        <v>44.7</v>
      </c>
      <c r="N12" s="89">
        <f t="shared" si="15"/>
        <v>44.9</v>
      </c>
      <c r="O12" s="11">
        <f t="shared" si="10"/>
        <v>100.44742729306486</v>
      </c>
      <c r="P12" s="44">
        <v>13.1</v>
      </c>
      <c r="Q12" s="44">
        <v>7.4</v>
      </c>
      <c r="R12" s="11">
        <f t="shared" si="3"/>
        <v>56.48854961832062</v>
      </c>
      <c r="S12" s="44">
        <v>8.8</v>
      </c>
      <c r="T12" s="44">
        <v>11.9</v>
      </c>
      <c r="U12" s="11">
        <f t="shared" si="4"/>
        <v>135.22727272727272</v>
      </c>
      <c r="V12" s="44">
        <v>11.2</v>
      </c>
      <c r="W12" s="44">
        <v>10.7</v>
      </c>
      <c r="X12" s="11">
        <f t="shared" si="5"/>
        <v>95.53571428571429</v>
      </c>
      <c r="Y12" s="89">
        <f t="shared" si="11"/>
        <v>33.099999999999994</v>
      </c>
      <c r="Z12" s="89">
        <f t="shared" si="12"/>
        <v>30</v>
      </c>
      <c r="AA12" s="11">
        <f t="shared" si="6"/>
        <v>90.63444108761331</v>
      </c>
      <c r="AB12" s="44">
        <v>10.7</v>
      </c>
      <c r="AC12" s="44">
        <v>12.7</v>
      </c>
      <c r="AD12" s="11">
        <f t="shared" si="7"/>
        <v>118.69158878504673</v>
      </c>
      <c r="AE12" s="44">
        <v>14.6</v>
      </c>
      <c r="AF12" s="44">
        <v>10.7</v>
      </c>
      <c r="AG12" s="141">
        <f aca="true" t="shared" si="21" ref="AG12:AG24">AF12/AE12*100</f>
        <v>73.2876712328767</v>
      </c>
      <c r="AH12" s="44">
        <v>9.6</v>
      </c>
      <c r="AI12" s="44">
        <v>9.6</v>
      </c>
      <c r="AJ12" s="89">
        <f t="shared" si="16"/>
        <v>34.9</v>
      </c>
      <c r="AK12" s="89">
        <f t="shared" si="17"/>
        <v>33</v>
      </c>
      <c r="AL12" s="11">
        <f t="shared" si="8"/>
        <v>94.55587392550143</v>
      </c>
      <c r="AM12" s="44">
        <v>14.9</v>
      </c>
      <c r="AN12" s="44">
        <v>19.7</v>
      </c>
      <c r="AO12" s="72">
        <f t="shared" si="18"/>
        <v>127.6</v>
      </c>
      <c r="AP12" s="72">
        <f t="shared" si="19"/>
        <v>127.60000000000001</v>
      </c>
      <c r="AQ12" s="11">
        <f t="shared" si="9"/>
        <v>100.00000000000003</v>
      </c>
      <c r="AR12" s="72">
        <f t="shared" si="20"/>
        <v>0</v>
      </c>
      <c r="AS12" s="18">
        <f t="shared" si="13"/>
        <v>35.29999999999997</v>
      </c>
    </row>
    <row r="13" spans="1:45" ht="24.75" customHeight="1">
      <c r="A13" s="13" t="s">
        <v>18</v>
      </c>
      <c r="B13" s="47" t="s">
        <v>95</v>
      </c>
      <c r="C13" s="108">
        <v>37.1</v>
      </c>
      <c r="D13" s="44">
        <v>32.5</v>
      </c>
      <c r="E13" s="44">
        <v>25.2</v>
      </c>
      <c r="F13" s="11">
        <f t="shared" si="0"/>
        <v>77.53846153846153</v>
      </c>
      <c r="G13" s="44">
        <v>41.3</v>
      </c>
      <c r="H13" s="44">
        <v>44.4</v>
      </c>
      <c r="I13" s="75">
        <f t="shared" si="1"/>
        <v>107.50605326876514</v>
      </c>
      <c r="J13" s="44">
        <v>24.9</v>
      </c>
      <c r="K13" s="44">
        <v>23.3</v>
      </c>
      <c r="L13" s="75">
        <f t="shared" si="2"/>
        <v>93.57429718875503</v>
      </c>
      <c r="M13" s="89">
        <f t="shared" si="14"/>
        <v>98.69999999999999</v>
      </c>
      <c r="N13" s="89">
        <f t="shared" si="15"/>
        <v>92.89999999999999</v>
      </c>
      <c r="O13" s="11">
        <f t="shared" si="10"/>
        <v>94.12360688956434</v>
      </c>
      <c r="P13" s="44">
        <v>30.6</v>
      </c>
      <c r="Q13" s="44">
        <v>39.7</v>
      </c>
      <c r="R13" s="140">
        <f t="shared" si="3"/>
        <v>129.73856209150327</v>
      </c>
      <c r="S13" s="44">
        <v>32.4</v>
      </c>
      <c r="T13" s="44">
        <v>32</v>
      </c>
      <c r="U13" s="140">
        <f t="shared" si="4"/>
        <v>98.76543209876544</v>
      </c>
      <c r="V13" s="44">
        <v>31.8</v>
      </c>
      <c r="W13" s="44">
        <v>31.3</v>
      </c>
      <c r="X13" s="11">
        <f t="shared" si="5"/>
        <v>98.42767295597484</v>
      </c>
      <c r="Y13" s="89">
        <f t="shared" si="11"/>
        <v>94.8</v>
      </c>
      <c r="Z13" s="89">
        <f t="shared" si="12"/>
        <v>103</v>
      </c>
      <c r="AA13" s="11">
        <f t="shared" si="6"/>
        <v>108.64978902953585</v>
      </c>
      <c r="AB13" s="44">
        <v>31.8</v>
      </c>
      <c r="AC13" s="44">
        <v>31.3</v>
      </c>
      <c r="AD13" s="11">
        <f t="shared" si="7"/>
        <v>98.42767295597484</v>
      </c>
      <c r="AE13" s="44">
        <v>106.6</v>
      </c>
      <c r="AF13" s="44">
        <v>81.8</v>
      </c>
      <c r="AG13" s="11">
        <f t="shared" si="21"/>
        <v>76.73545966228893</v>
      </c>
      <c r="AH13" s="44">
        <v>54.8</v>
      </c>
      <c r="AI13" s="44">
        <v>30.1</v>
      </c>
      <c r="AJ13" s="89">
        <f t="shared" si="16"/>
        <v>193.2</v>
      </c>
      <c r="AK13" s="89">
        <f t="shared" si="17"/>
        <v>143.2</v>
      </c>
      <c r="AL13" s="11">
        <f t="shared" si="8"/>
        <v>74.12008281573499</v>
      </c>
      <c r="AM13" s="44">
        <v>28.7</v>
      </c>
      <c r="AN13" s="44">
        <v>37</v>
      </c>
      <c r="AO13" s="72">
        <f t="shared" si="18"/>
        <v>415.4</v>
      </c>
      <c r="AP13" s="72">
        <f t="shared" si="19"/>
        <v>376.09999999999997</v>
      </c>
      <c r="AQ13" s="11">
        <f t="shared" si="9"/>
        <v>90.53923928743379</v>
      </c>
      <c r="AR13" s="72">
        <f t="shared" si="20"/>
        <v>39.30000000000001</v>
      </c>
      <c r="AS13" s="18">
        <f t="shared" si="13"/>
        <v>76.40000000000003</v>
      </c>
    </row>
    <row r="14" spans="1:45" ht="24.75" customHeight="1">
      <c r="A14" s="13" t="s">
        <v>19</v>
      </c>
      <c r="B14" s="47" t="s">
        <v>96</v>
      </c>
      <c r="C14" s="108">
        <v>-0.3</v>
      </c>
      <c r="D14" s="44">
        <v>4.8</v>
      </c>
      <c r="E14" s="44">
        <v>3.8</v>
      </c>
      <c r="F14" s="11">
        <f t="shared" si="0"/>
        <v>79.16666666666666</v>
      </c>
      <c r="G14" s="44">
        <v>4.9</v>
      </c>
      <c r="H14" s="44">
        <v>6.1</v>
      </c>
      <c r="I14" s="11">
        <f t="shared" si="1"/>
        <v>124.48979591836734</v>
      </c>
      <c r="J14" s="44">
        <v>5.4</v>
      </c>
      <c r="K14" s="44">
        <v>5.5</v>
      </c>
      <c r="L14" s="11">
        <f t="shared" si="2"/>
        <v>101.85185185185183</v>
      </c>
      <c r="M14" s="89">
        <f t="shared" si="14"/>
        <v>15.1</v>
      </c>
      <c r="N14" s="89">
        <f t="shared" si="15"/>
        <v>15.399999999999999</v>
      </c>
      <c r="O14" s="11">
        <f t="shared" si="10"/>
        <v>101.9867549668874</v>
      </c>
      <c r="P14" s="44">
        <v>11.7</v>
      </c>
      <c r="Q14" s="44">
        <v>11.3</v>
      </c>
      <c r="R14" s="11">
        <f t="shared" si="3"/>
        <v>96.5811965811966</v>
      </c>
      <c r="S14" s="44">
        <v>4.3</v>
      </c>
      <c r="T14" s="44">
        <v>4.4</v>
      </c>
      <c r="U14" s="11">
        <f t="shared" si="4"/>
        <v>102.32558139534885</v>
      </c>
      <c r="V14" s="44">
        <v>8.9</v>
      </c>
      <c r="W14" s="44">
        <v>9</v>
      </c>
      <c r="X14" s="11">
        <f t="shared" si="5"/>
        <v>101.12359550561798</v>
      </c>
      <c r="Y14" s="89">
        <f t="shared" si="11"/>
        <v>24.9</v>
      </c>
      <c r="Z14" s="89">
        <f t="shared" si="12"/>
        <v>24.700000000000003</v>
      </c>
      <c r="AA14" s="11">
        <f t="shared" si="6"/>
        <v>99.1967871485944</v>
      </c>
      <c r="AB14" s="44">
        <v>6.4</v>
      </c>
      <c r="AC14" s="44">
        <v>6</v>
      </c>
      <c r="AD14" s="11">
        <f t="shared" si="7"/>
        <v>93.75</v>
      </c>
      <c r="AE14" s="44">
        <v>8.6</v>
      </c>
      <c r="AF14" s="44">
        <v>8.7</v>
      </c>
      <c r="AG14" s="11">
        <f t="shared" si="21"/>
        <v>101.16279069767442</v>
      </c>
      <c r="AH14" s="44">
        <v>9.7</v>
      </c>
      <c r="AI14" s="44">
        <v>8.4</v>
      </c>
      <c r="AJ14" s="89">
        <f t="shared" si="16"/>
        <v>24.7</v>
      </c>
      <c r="AK14" s="89">
        <f t="shared" si="17"/>
        <v>23.1</v>
      </c>
      <c r="AL14" s="11">
        <f t="shared" si="8"/>
        <v>93.52226720647774</v>
      </c>
      <c r="AM14" s="44">
        <v>19.1</v>
      </c>
      <c r="AN14" s="44">
        <v>21.7</v>
      </c>
      <c r="AO14" s="72">
        <f t="shared" si="18"/>
        <v>83.80000000000001</v>
      </c>
      <c r="AP14" s="72">
        <f t="shared" si="19"/>
        <v>84.9</v>
      </c>
      <c r="AQ14" s="11">
        <f t="shared" si="9"/>
        <v>101.3126491646778</v>
      </c>
      <c r="AR14" s="72">
        <f t="shared" si="20"/>
        <v>-1.0999999999999943</v>
      </c>
      <c r="AS14" s="18">
        <f t="shared" si="13"/>
        <v>-1.3999999999999915</v>
      </c>
    </row>
    <row r="15" spans="1:45" ht="24.75" customHeight="1">
      <c r="A15" s="13" t="s">
        <v>20</v>
      </c>
      <c r="B15" s="47" t="s">
        <v>97</v>
      </c>
      <c r="C15" s="108">
        <v>106.6</v>
      </c>
      <c r="D15" s="44">
        <v>18.7</v>
      </c>
      <c r="E15" s="44">
        <v>25</v>
      </c>
      <c r="F15" s="11">
        <f t="shared" si="0"/>
        <v>133.6898395721925</v>
      </c>
      <c r="G15" s="44">
        <v>19.2</v>
      </c>
      <c r="H15" s="44">
        <v>51.6</v>
      </c>
      <c r="I15" s="75">
        <f t="shared" si="1"/>
        <v>268.75</v>
      </c>
      <c r="J15" s="44">
        <v>108.2</v>
      </c>
      <c r="K15" s="44">
        <v>83.4</v>
      </c>
      <c r="L15" s="75">
        <f t="shared" si="2"/>
        <v>77.07948243992607</v>
      </c>
      <c r="M15" s="89">
        <f t="shared" si="14"/>
        <v>146.1</v>
      </c>
      <c r="N15" s="89">
        <f t="shared" si="15"/>
        <v>160</v>
      </c>
      <c r="O15" s="11">
        <f t="shared" si="10"/>
        <v>109.51403148528405</v>
      </c>
      <c r="P15" s="44">
        <v>51.8</v>
      </c>
      <c r="Q15" s="44">
        <v>70.8</v>
      </c>
      <c r="R15" s="140">
        <f t="shared" si="3"/>
        <v>136.67953667953668</v>
      </c>
      <c r="S15" s="44">
        <v>33.1</v>
      </c>
      <c r="T15" s="44">
        <v>50.5</v>
      </c>
      <c r="U15" s="140">
        <f t="shared" si="4"/>
        <v>152.5679758308157</v>
      </c>
      <c r="V15" s="44">
        <v>45</v>
      </c>
      <c r="W15" s="44">
        <v>43.2</v>
      </c>
      <c r="X15" s="11">
        <f t="shared" si="5"/>
        <v>96.00000000000001</v>
      </c>
      <c r="Y15" s="89">
        <f t="shared" si="11"/>
        <v>129.9</v>
      </c>
      <c r="Z15" s="89">
        <f t="shared" si="12"/>
        <v>164.5</v>
      </c>
      <c r="AA15" s="11">
        <f t="shared" si="6"/>
        <v>126.63587374903771</v>
      </c>
      <c r="AB15" s="44">
        <v>52.6</v>
      </c>
      <c r="AC15" s="44">
        <v>56</v>
      </c>
      <c r="AD15" s="11">
        <f t="shared" si="7"/>
        <v>106.4638783269962</v>
      </c>
      <c r="AE15" s="44">
        <v>63.2</v>
      </c>
      <c r="AF15" s="44">
        <v>42.4</v>
      </c>
      <c r="AG15" s="11">
        <f t="shared" si="21"/>
        <v>67.0886075949367</v>
      </c>
      <c r="AH15" s="44">
        <v>59.4</v>
      </c>
      <c r="AI15" s="44">
        <v>70</v>
      </c>
      <c r="AJ15" s="89">
        <f t="shared" si="16"/>
        <v>175.20000000000002</v>
      </c>
      <c r="AK15" s="89">
        <f t="shared" si="17"/>
        <v>168.4</v>
      </c>
      <c r="AL15" s="11">
        <f t="shared" si="8"/>
        <v>96.1187214611872</v>
      </c>
      <c r="AM15" s="44">
        <v>90.3</v>
      </c>
      <c r="AN15" s="44">
        <v>93.9</v>
      </c>
      <c r="AO15" s="72">
        <f t="shared" si="18"/>
        <v>541.5</v>
      </c>
      <c r="AP15" s="72">
        <f t="shared" si="19"/>
        <v>586.8</v>
      </c>
      <c r="AQ15" s="11">
        <f t="shared" si="9"/>
        <v>108.36565096952909</v>
      </c>
      <c r="AR15" s="72">
        <f t="shared" si="20"/>
        <v>-45.299999999999955</v>
      </c>
      <c r="AS15" s="18">
        <f t="shared" si="13"/>
        <v>61.30000000000007</v>
      </c>
    </row>
    <row r="16" spans="1:45" ht="24.75" customHeight="1">
      <c r="A16" s="13" t="s">
        <v>21</v>
      </c>
      <c r="B16" s="47" t="s">
        <v>98</v>
      </c>
      <c r="C16" s="117">
        <v>1.3</v>
      </c>
      <c r="D16" s="44">
        <v>0.9</v>
      </c>
      <c r="E16" s="44">
        <v>0.6</v>
      </c>
      <c r="F16" s="11">
        <f t="shared" si="0"/>
        <v>66.66666666666666</v>
      </c>
      <c r="G16" s="44">
        <v>1.4</v>
      </c>
      <c r="H16" s="44">
        <v>0.9</v>
      </c>
      <c r="I16" s="11">
        <f t="shared" si="1"/>
        <v>64.28571428571429</v>
      </c>
      <c r="J16" s="44">
        <v>0.8</v>
      </c>
      <c r="K16" s="44">
        <v>1.6</v>
      </c>
      <c r="L16" s="11">
        <f t="shared" si="2"/>
        <v>200</v>
      </c>
      <c r="M16" s="89">
        <f t="shared" si="14"/>
        <v>3.0999999999999996</v>
      </c>
      <c r="N16" s="89">
        <f t="shared" si="15"/>
        <v>3.1</v>
      </c>
      <c r="O16" s="11">
        <f t="shared" si="10"/>
        <v>100.00000000000003</v>
      </c>
      <c r="P16" s="44">
        <v>1.6</v>
      </c>
      <c r="Q16" s="44">
        <v>1.4</v>
      </c>
      <c r="R16" s="11">
        <f t="shared" si="3"/>
        <v>87.49999999999999</v>
      </c>
      <c r="S16" s="44">
        <v>0.9</v>
      </c>
      <c r="T16" s="44">
        <v>1.1</v>
      </c>
      <c r="U16" s="11">
        <f t="shared" si="4"/>
        <v>122.22222222222223</v>
      </c>
      <c r="V16" s="44">
        <v>0.8</v>
      </c>
      <c r="W16" s="44">
        <v>0.5</v>
      </c>
      <c r="X16" s="11">
        <f t="shared" si="5"/>
        <v>62.5</v>
      </c>
      <c r="Y16" s="89">
        <f t="shared" si="11"/>
        <v>3.3</v>
      </c>
      <c r="Z16" s="89">
        <f t="shared" si="12"/>
        <v>3</v>
      </c>
      <c r="AA16" s="11">
        <f t="shared" si="6"/>
        <v>90.90909090909092</v>
      </c>
      <c r="AB16" s="44">
        <v>1.2</v>
      </c>
      <c r="AC16" s="44">
        <v>1</v>
      </c>
      <c r="AD16" s="11">
        <f t="shared" si="7"/>
        <v>83.33333333333334</v>
      </c>
      <c r="AE16" s="44">
        <v>0.8</v>
      </c>
      <c r="AF16" s="44">
        <v>0.6</v>
      </c>
      <c r="AG16" s="11">
        <f t="shared" si="21"/>
        <v>74.99999999999999</v>
      </c>
      <c r="AH16" s="44">
        <v>0.7</v>
      </c>
      <c r="AI16" s="44">
        <v>0.8</v>
      </c>
      <c r="AJ16" s="89">
        <f t="shared" si="16"/>
        <v>2.7</v>
      </c>
      <c r="AK16" s="89">
        <f t="shared" si="17"/>
        <v>2.4000000000000004</v>
      </c>
      <c r="AL16" s="11">
        <f t="shared" si="8"/>
        <v>88.8888888888889</v>
      </c>
      <c r="AM16" s="44">
        <v>0.9</v>
      </c>
      <c r="AN16" s="44">
        <v>0.6</v>
      </c>
      <c r="AO16" s="72">
        <f t="shared" si="18"/>
        <v>10</v>
      </c>
      <c r="AP16" s="72">
        <f t="shared" si="19"/>
        <v>9.1</v>
      </c>
      <c r="AQ16" s="11">
        <f t="shared" si="9"/>
        <v>90.99999999999999</v>
      </c>
      <c r="AR16" s="72">
        <f t="shared" si="20"/>
        <v>0.9000000000000004</v>
      </c>
      <c r="AS16" s="18">
        <f t="shared" si="13"/>
        <v>2.200000000000001</v>
      </c>
    </row>
    <row r="17" spans="1:45" ht="24.75" customHeight="1">
      <c r="A17" s="13" t="s">
        <v>22</v>
      </c>
      <c r="B17" s="15" t="s">
        <v>99</v>
      </c>
      <c r="C17" s="117">
        <f>9.6+1593.3</f>
        <v>1602.8999999999999</v>
      </c>
      <c r="D17" s="44">
        <f>14.6+148.5</f>
        <v>163.1</v>
      </c>
      <c r="E17" s="44">
        <f>12.3+118.8</f>
        <v>131.1</v>
      </c>
      <c r="F17" s="11">
        <f t="shared" si="0"/>
        <v>80.38013488657265</v>
      </c>
      <c r="G17" s="44">
        <f>9.6+147.9</f>
        <v>157.5</v>
      </c>
      <c r="H17" s="44">
        <f>5.8+109</f>
        <v>114.8</v>
      </c>
      <c r="I17" s="11">
        <f t="shared" si="1"/>
        <v>72.88888888888889</v>
      </c>
      <c r="J17" s="44">
        <f>124.9+12.1</f>
        <v>137</v>
      </c>
      <c r="K17" s="44">
        <f>207.8+11.3</f>
        <v>219.10000000000002</v>
      </c>
      <c r="L17" s="11">
        <f t="shared" si="2"/>
        <v>159.9270072992701</v>
      </c>
      <c r="M17" s="89">
        <f t="shared" si="14"/>
        <v>457.6</v>
      </c>
      <c r="N17" s="89">
        <f t="shared" si="15"/>
        <v>465</v>
      </c>
      <c r="O17" s="11">
        <f t="shared" si="10"/>
        <v>101.61713286713285</v>
      </c>
      <c r="P17" s="44">
        <f>13.7+150.9</f>
        <v>164.6</v>
      </c>
      <c r="Q17" s="44">
        <f>10.8+110.1</f>
        <v>120.89999999999999</v>
      </c>
      <c r="R17" s="11">
        <f t="shared" si="3"/>
        <v>73.45078979343863</v>
      </c>
      <c r="S17" s="44">
        <f>154.4+12.6</f>
        <v>167</v>
      </c>
      <c r="T17" s="44">
        <f>9.8+11.7</f>
        <v>21.5</v>
      </c>
      <c r="U17" s="11">
        <f t="shared" si="4"/>
        <v>12.874251497005988</v>
      </c>
      <c r="V17" s="44">
        <f>147.1+12.4</f>
        <v>159.5</v>
      </c>
      <c r="W17" s="44">
        <f>15.3+11.9</f>
        <v>27.200000000000003</v>
      </c>
      <c r="X17" s="11">
        <f t="shared" si="5"/>
        <v>17.053291536050157</v>
      </c>
      <c r="Y17" s="89">
        <f t="shared" si="11"/>
        <v>491.1</v>
      </c>
      <c r="Z17" s="89">
        <f t="shared" si="12"/>
        <v>169.59999999999997</v>
      </c>
      <c r="AA17" s="11">
        <f t="shared" si="6"/>
        <v>34.53471798004479</v>
      </c>
      <c r="AB17" s="44">
        <f>23+12.3+11.8</f>
        <v>47.099999999999994</v>
      </c>
      <c r="AC17" s="44">
        <f>34.5+12</f>
        <v>46.5</v>
      </c>
      <c r="AD17" s="11">
        <f t="shared" si="7"/>
        <v>98.72611464968153</v>
      </c>
      <c r="AE17" s="44">
        <f>2.6+13.2+27</f>
        <v>42.8</v>
      </c>
      <c r="AF17" s="44">
        <f>6.2+12.9+3.5</f>
        <v>22.6</v>
      </c>
      <c r="AG17" s="11">
        <f t="shared" si="21"/>
        <v>52.80373831775702</v>
      </c>
      <c r="AH17" s="44">
        <f>0.1+12.9+30.3</f>
        <v>43.3</v>
      </c>
      <c r="AI17" s="44">
        <f>2.8+16.8+20.4</f>
        <v>40</v>
      </c>
      <c r="AJ17" s="89">
        <f t="shared" si="16"/>
        <v>133.2</v>
      </c>
      <c r="AK17" s="89">
        <f t="shared" si="17"/>
        <v>109.1</v>
      </c>
      <c r="AL17" s="11">
        <f t="shared" si="8"/>
        <v>81.90690690690691</v>
      </c>
      <c r="AM17" s="44">
        <f>12.7+92</f>
        <v>104.7</v>
      </c>
      <c r="AN17" s="44">
        <f>0.3+11.3+37</f>
        <v>48.6</v>
      </c>
      <c r="AO17" s="72">
        <f t="shared" si="18"/>
        <v>1186.6000000000001</v>
      </c>
      <c r="AP17" s="72">
        <f t="shared" si="19"/>
        <v>792.3</v>
      </c>
      <c r="AQ17" s="11">
        <f t="shared" si="9"/>
        <v>66.77060509017359</v>
      </c>
      <c r="AR17" s="72">
        <f t="shared" si="20"/>
        <v>394.3000000000002</v>
      </c>
      <c r="AS17" s="18">
        <f t="shared" si="13"/>
        <v>1997.2</v>
      </c>
    </row>
    <row r="18" spans="1:45" ht="24.75" customHeight="1">
      <c r="A18" s="13" t="s">
        <v>23</v>
      </c>
      <c r="B18" s="15" t="s">
        <v>100</v>
      </c>
      <c r="C18" s="108">
        <v>5.8</v>
      </c>
      <c r="D18" s="44">
        <v>10.4</v>
      </c>
      <c r="E18" s="44">
        <v>10.7</v>
      </c>
      <c r="F18" s="11">
        <f t="shared" si="0"/>
        <v>102.88461538461537</v>
      </c>
      <c r="G18" s="44">
        <v>9.7</v>
      </c>
      <c r="H18" s="44">
        <v>9.7</v>
      </c>
      <c r="I18" s="11">
        <f t="shared" si="1"/>
        <v>100</v>
      </c>
      <c r="J18" s="44">
        <v>9.2</v>
      </c>
      <c r="K18" s="44">
        <v>11.1</v>
      </c>
      <c r="L18" s="11">
        <f t="shared" si="2"/>
        <v>120.65217391304348</v>
      </c>
      <c r="M18" s="89">
        <f t="shared" si="14"/>
        <v>29.3</v>
      </c>
      <c r="N18" s="89">
        <f t="shared" si="15"/>
        <v>31.5</v>
      </c>
      <c r="O18" s="11">
        <f t="shared" si="10"/>
        <v>107.5085324232082</v>
      </c>
      <c r="P18" s="44">
        <v>14.9</v>
      </c>
      <c r="Q18" s="44">
        <v>12.4</v>
      </c>
      <c r="R18" s="11">
        <f t="shared" si="3"/>
        <v>83.22147651006712</v>
      </c>
      <c r="S18" s="44">
        <v>11</v>
      </c>
      <c r="T18" s="44">
        <v>11.5</v>
      </c>
      <c r="U18" s="11">
        <f t="shared" si="4"/>
        <v>104.54545454545455</v>
      </c>
      <c r="V18" s="44">
        <v>11.4</v>
      </c>
      <c r="W18" s="44">
        <v>6</v>
      </c>
      <c r="X18" s="11">
        <f t="shared" si="5"/>
        <v>52.63157894736842</v>
      </c>
      <c r="Y18" s="89">
        <f t="shared" si="11"/>
        <v>37.3</v>
      </c>
      <c r="Z18" s="89">
        <f t="shared" si="12"/>
        <v>29.9</v>
      </c>
      <c r="AA18" s="11">
        <f t="shared" si="6"/>
        <v>80.16085790884718</v>
      </c>
      <c r="AB18" s="44">
        <v>11.3</v>
      </c>
      <c r="AC18" s="44">
        <v>14.5</v>
      </c>
      <c r="AD18" s="11">
        <f t="shared" si="7"/>
        <v>128.31858407079645</v>
      </c>
      <c r="AE18" s="44">
        <v>9.3</v>
      </c>
      <c r="AF18" s="44">
        <v>7.3</v>
      </c>
      <c r="AG18" s="11">
        <f t="shared" si="21"/>
        <v>78.49462365591397</v>
      </c>
      <c r="AH18" s="44">
        <v>9.1</v>
      </c>
      <c r="AI18" s="44">
        <v>12.6</v>
      </c>
      <c r="AJ18" s="89">
        <f t="shared" si="16"/>
        <v>29.700000000000003</v>
      </c>
      <c r="AK18" s="89">
        <f t="shared" si="17"/>
        <v>34.4</v>
      </c>
      <c r="AL18" s="11">
        <f t="shared" si="8"/>
        <v>115.8249158249158</v>
      </c>
      <c r="AM18" s="44">
        <v>10.4</v>
      </c>
      <c r="AN18" s="44">
        <v>7.9</v>
      </c>
      <c r="AO18" s="72">
        <f t="shared" si="18"/>
        <v>106.7</v>
      </c>
      <c r="AP18" s="72">
        <f t="shared" si="19"/>
        <v>103.7</v>
      </c>
      <c r="AQ18" s="11">
        <f t="shared" si="9"/>
        <v>97.1883786316776</v>
      </c>
      <c r="AR18" s="72">
        <f t="shared" si="20"/>
        <v>3</v>
      </c>
      <c r="AS18" s="18">
        <f t="shared" si="13"/>
        <v>8.799999999999997</v>
      </c>
    </row>
    <row r="19" spans="1:45" ht="24.75" customHeight="1">
      <c r="A19" s="13" t="s">
        <v>24</v>
      </c>
      <c r="B19" s="47" t="s">
        <v>101</v>
      </c>
      <c r="C19" s="108">
        <v>211.3</v>
      </c>
      <c r="D19" s="44">
        <v>169.4</v>
      </c>
      <c r="E19" s="44">
        <v>78.4</v>
      </c>
      <c r="F19" s="67">
        <f t="shared" si="0"/>
        <v>46.28099173553719</v>
      </c>
      <c r="G19" s="44">
        <v>178.6</v>
      </c>
      <c r="H19" s="44">
        <v>268.6</v>
      </c>
      <c r="I19" s="75">
        <f t="shared" si="1"/>
        <v>150.3919372900336</v>
      </c>
      <c r="J19" s="44">
        <v>179.6</v>
      </c>
      <c r="K19" s="44">
        <v>188.1</v>
      </c>
      <c r="L19" s="75">
        <f t="shared" si="2"/>
        <v>104.73273942093542</v>
      </c>
      <c r="M19" s="89">
        <f t="shared" si="14"/>
        <v>527.6</v>
      </c>
      <c r="N19" s="89">
        <f t="shared" si="15"/>
        <v>535.1</v>
      </c>
      <c r="O19" s="11">
        <f t="shared" si="10"/>
        <v>101.42153146322971</v>
      </c>
      <c r="P19" s="44">
        <v>112.2</v>
      </c>
      <c r="Q19" s="44">
        <v>173.3</v>
      </c>
      <c r="R19" s="140">
        <f t="shared" si="3"/>
        <v>154.45632798573976</v>
      </c>
      <c r="S19" s="44">
        <v>162</v>
      </c>
      <c r="T19" s="44">
        <v>100.1</v>
      </c>
      <c r="U19" s="140">
        <f t="shared" si="4"/>
        <v>61.79012345679013</v>
      </c>
      <c r="V19" s="44">
        <v>157</v>
      </c>
      <c r="W19" s="44">
        <v>173.8</v>
      </c>
      <c r="X19" s="11">
        <f t="shared" si="5"/>
        <v>110.70063694267516</v>
      </c>
      <c r="Y19" s="89">
        <f t="shared" si="11"/>
        <v>431.2</v>
      </c>
      <c r="Z19" s="89">
        <f t="shared" si="12"/>
        <v>447.2</v>
      </c>
      <c r="AA19" s="11">
        <f t="shared" si="6"/>
        <v>103.71057513914657</v>
      </c>
      <c r="AB19" s="44">
        <v>165.5</v>
      </c>
      <c r="AC19" s="44">
        <v>158.1</v>
      </c>
      <c r="AD19" s="11">
        <f t="shared" si="7"/>
        <v>95.52870090634441</v>
      </c>
      <c r="AE19" s="44">
        <v>173.3</v>
      </c>
      <c r="AF19" s="44">
        <v>131.2</v>
      </c>
      <c r="AG19" s="141">
        <f t="shared" si="21"/>
        <v>75.7068667051356</v>
      </c>
      <c r="AH19" s="44">
        <v>177.9</v>
      </c>
      <c r="AI19" s="44">
        <v>155.2</v>
      </c>
      <c r="AJ19" s="89">
        <f t="shared" si="16"/>
        <v>516.7</v>
      </c>
      <c r="AK19" s="89">
        <f t="shared" si="17"/>
        <v>444.49999999999994</v>
      </c>
      <c r="AL19" s="11">
        <f t="shared" si="8"/>
        <v>86.02670795432552</v>
      </c>
      <c r="AM19" s="44">
        <v>183.7</v>
      </c>
      <c r="AN19" s="44">
        <v>188.4</v>
      </c>
      <c r="AO19" s="72">
        <f t="shared" si="18"/>
        <v>1659.2</v>
      </c>
      <c r="AP19" s="72">
        <f t="shared" si="19"/>
        <v>1615.2</v>
      </c>
      <c r="AQ19" s="11">
        <f t="shared" si="9"/>
        <v>97.34811957569913</v>
      </c>
      <c r="AR19" s="72">
        <f t="shared" si="20"/>
        <v>44</v>
      </c>
      <c r="AS19" s="18">
        <f t="shared" si="13"/>
        <v>255.29999999999995</v>
      </c>
    </row>
    <row r="20" spans="1:45" ht="24.75" customHeight="1">
      <c r="A20" s="13" t="s">
        <v>25</v>
      </c>
      <c r="B20" s="15" t="s">
        <v>102</v>
      </c>
      <c r="C20" s="118">
        <v>3.1</v>
      </c>
      <c r="D20" s="44">
        <v>4.6</v>
      </c>
      <c r="E20" s="44">
        <v>5.6</v>
      </c>
      <c r="F20" s="94">
        <f t="shared" si="0"/>
        <v>121.73913043478262</v>
      </c>
      <c r="G20" s="44">
        <v>6</v>
      </c>
      <c r="H20" s="44">
        <v>4.6</v>
      </c>
      <c r="I20" s="75">
        <f t="shared" si="1"/>
        <v>76.66666666666666</v>
      </c>
      <c r="J20" s="44">
        <v>5.4</v>
      </c>
      <c r="K20" s="44">
        <v>5.4</v>
      </c>
      <c r="L20" s="75">
        <f t="shared" si="2"/>
        <v>100</v>
      </c>
      <c r="M20" s="89">
        <f t="shared" si="14"/>
        <v>16</v>
      </c>
      <c r="N20" s="89">
        <f t="shared" si="15"/>
        <v>15.6</v>
      </c>
      <c r="O20" s="11">
        <f t="shared" si="10"/>
        <v>97.5</v>
      </c>
      <c r="P20" s="44">
        <v>4.4</v>
      </c>
      <c r="Q20" s="44">
        <v>4.8</v>
      </c>
      <c r="R20" s="140">
        <f t="shared" si="3"/>
        <v>109.09090909090908</v>
      </c>
      <c r="S20" s="44">
        <v>10.1</v>
      </c>
      <c r="T20" s="44">
        <v>10.8</v>
      </c>
      <c r="U20" s="140">
        <f t="shared" si="4"/>
        <v>106.93069306930694</v>
      </c>
      <c r="V20" s="44">
        <v>8.8</v>
      </c>
      <c r="W20" s="44">
        <v>6.2</v>
      </c>
      <c r="X20" s="11">
        <f t="shared" si="5"/>
        <v>70.45454545454545</v>
      </c>
      <c r="Y20" s="89">
        <f t="shared" si="11"/>
        <v>23.3</v>
      </c>
      <c r="Z20" s="89">
        <f t="shared" si="12"/>
        <v>21.8</v>
      </c>
      <c r="AA20" s="11">
        <f t="shared" si="6"/>
        <v>93.56223175965665</v>
      </c>
      <c r="AB20" s="44">
        <v>9.6</v>
      </c>
      <c r="AC20" s="44">
        <v>9.6</v>
      </c>
      <c r="AD20" s="11">
        <f t="shared" si="7"/>
        <v>100</v>
      </c>
      <c r="AE20" s="44">
        <v>7.4</v>
      </c>
      <c r="AF20" s="44">
        <v>4.9</v>
      </c>
      <c r="AG20" s="11">
        <f t="shared" si="21"/>
        <v>66.21621621621621</v>
      </c>
      <c r="AH20" s="44">
        <v>7.7</v>
      </c>
      <c r="AI20" s="44">
        <v>10.3</v>
      </c>
      <c r="AJ20" s="89">
        <f t="shared" si="16"/>
        <v>24.7</v>
      </c>
      <c r="AK20" s="89">
        <f t="shared" si="17"/>
        <v>24.8</v>
      </c>
      <c r="AL20" s="11">
        <f t="shared" si="8"/>
        <v>100.40485829959516</v>
      </c>
      <c r="AM20" s="44">
        <v>6.1</v>
      </c>
      <c r="AN20" s="44">
        <v>30.1</v>
      </c>
      <c r="AO20" s="72">
        <f t="shared" si="18"/>
        <v>70.1</v>
      </c>
      <c r="AP20" s="72">
        <f t="shared" si="19"/>
        <v>92.30000000000001</v>
      </c>
      <c r="AQ20" s="11">
        <f t="shared" si="9"/>
        <v>131.66904422253927</v>
      </c>
      <c r="AR20" s="72">
        <f t="shared" si="20"/>
        <v>-22.200000000000017</v>
      </c>
      <c r="AS20" s="18">
        <f t="shared" si="13"/>
        <v>-19.100000000000023</v>
      </c>
    </row>
    <row r="21" spans="1:45" ht="24.75" customHeight="1">
      <c r="A21" s="13" t="s">
        <v>26</v>
      </c>
      <c r="B21" s="56" t="s">
        <v>103</v>
      </c>
      <c r="C21" s="108"/>
      <c r="D21" s="44"/>
      <c r="E21" s="44"/>
      <c r="F21" s="18"/>
      <c r="G21" s="44"/>
      <c r="H21" s="44"/>
      <c r="I21" s="75"/>
      <c r="J21" s="44"/>
      <c r="K21" s="44"/>
      <c r="L21" s="75"/>
      <c r="M21" s="89"/>
      <c r="N21" s="89"/>
      <c r="O21" s="11"/>
      <c r="P21" s="44"/>
      <c r="Q21" s="44"/>
      <c r="R21" s="75"/>
      <c r="S21" s="44"/>
      <c r="T21" s="44"/>
      <c r="U21" s="75"/>
      <c r="V21" s="44"/>
      <c r="W21" s="44"/>
      <c r="X21" s="11" t="e">
        <f t="shared" si="5"/>
        <v>#DIV/0!</v>
      </c>
      <c r="Y21" s="89"/>
      <c r="Z21" s="89"/>
      <c r="AA21" s="11"/>
      <c r="AB21" s="44"/>
      <c r="AC21" s="44"/>
      <c r="AD21" s="111" t="e">
        <f t="shared" si="7"/>
        <v>#DIV/0!</v>
      </c>
      <c r="AE21" s="44"/>
      <c r="AF21" s="44"/>
      <c r="AG21" s="11" t="e">
        <f t="shared" si="21"/>
        <v>#DIV/0!</v>
      </c>
      <c r="AH21" s="44"/>
      <c r="AI21" s="44"/>
      <c r="AJ21" s="89">
        <f t="shared" si="16"/>
        <v>0</v>
      </c>
      <c r="AK21" s="89">
        <f t="shared" si="17"/>
        <v>0</v>
      </c>
      <c r="AL21" s="11"/>
      <c r="AM21" s="44"/>
      <c r="AN21" s="44"/>
      <c r="AO21" s="72">
        <f t="shared" si="18"/>
        <v>0</v>
      </c>
      <c r="AP21" s="72">
        <f t="shared" si="19"/>
        <v>0</v>
      </c>
      <c r="AQ21" s="11"/>
      <c r="AR21" s="72"/>
      <c r="AS21" s="18"/>
    </row>
    <row r="22" spans="1:45" ht="24.75" customHeight="1">
      <c r="A22" s="13" t="s">
        <v>27</v>
      </c>
      <c r="B22" s="15" t="s">
        <v>104</v>
      </c>
      <c r="C22" s="119">
        <v>3.3</v>
      </c>
      <c r="D22" s="44">
        <v>1.3</v>
      </c>
      <c r="E22" s="44">
        <v>1.3</v>
      </c>
      <c r="F22" s="130">
        <f aca="true" t="shared" si="22" ref="F22:F28">E22/D22*100</f>
        <v>100</v>
      </c>
      <c r="G22" s="44">
        <v>10.1</v>
      </c>
      <c r="H22" s="44">
        <v>6.1</v>
      </c>
      <c r="I22" s="75">
        <f t="shared" si="1"/>
        <v>60.396039603960396</v>
      </c>
      <c r="J22" s="44">
        <v>7.8</v>
      </c>
      <c r="K22" s="44">
        <v>8.1</v>
      </c>
      <c r="L22" s="75">
        <f>K22/J22*100</f>
        <v>103.84615384615385</v>
      </c>
      <c r="M22" s="89">
        <f t="shared" si="14"/>
        <v>19.2</v>
      </c>
      <c r="N22" s="89">
        <f t="shared" si="15"/>
        <v>15.5</v>
      </c>
      <c r="O22" s="11">
        <f t="shared" si="10"/>
        <v>80.72916666666667</v>
      </c>
      <c r="P22" s="44">
        <v>7.8</v>
      </c>
      <c r="Q22" s="44">
        <v>3.9</v>
      </c>
      <c r="R22" s="140">
        <f>Q22/P22*100</f>
        <v>50</v>
      </c>
      <c r="S22" s="44">
        <v>5.1</v>
      </c>
      <c r="T22" s="44">
        <v>5.3</v>
      </c>
      <c r="U22" s="140">
        <f>T22/S22*100</f>
        <v>103.921568627451</v>
      </c>
      <c r="V22" s="44">
        <v>1.8</v>
      </c>
      <c r="W22" s="44">
        <v>1.7</v>
      </c>
      <c r="X22" s="11">
        <f t="shared" si="5"/>
        <v>94.44444444444444</v>
      </c>
      <c r="Y22" s="89">
        <f aca="true" t="shared" si="23" ref="Y22:Z28">P22+S22+V22</f>
        <v>14.7</v>
      </c>
      <c r="Z22" s="89">
        <f t="shared" si="23"/>
        <v>10.899999999999999</v>
      </c>
      <c r="AA22" s="11">
        <f aca="true" t="shared" si="24" ref="AA22:AA28">Z22/Y22*100</f>
        <v>74.14965986394557</v>
      </c>
      <c r="AB22" s="44">
        <v>2.7</v>
      </c>
      <c r="AC22" s="44">
        <v>4.7</v>
      </c>
      <c r="AD22" s="11">
        <f t="shared" si="7"/>
        <v>174.07407407407408</v>
      </c>
      <c r="AE22" s="44">
        <v>7.4</v>
      </c>
      <c r="AF22" s="44">
        <v>7.2</v>
      </c>
      <c r="AG22" s="142">
        <f t="shared" si="21"/>
        <v>97.29729729729729</v>
      </c>
      <c r="AH22" s="44">
        <v>7.9</v>
      </c>
      <c r="AI22" s="44">
        <v>3.4</v>
      </c>
      <c r="AJ22" s="89">
        <f t="shared" si="16"/>
        <v>18</v>
      </c>
      <c r="AK22" s="89">
        <f t="shared" si="17"/>
        <v>15.3</v>
      </c>
      <c r="AL22" s="11">
        <f aca="true" t="shared" si="25" ref="AL22:AL28">AK22/AJ22*100</f>
        <v>85.00000000000001</v>
      </c>
      <c r="AM22" s="44">
        <v>5.3</v>
      </c>
      <c r="AN22" s="44">
        <v>8.8</v>
      </c>
      <c r="AO22" s="72">
        <f t="shared" si="18"/>
        <v>57.199999999999996</v>
      </c>
      <c r="AP22" s="72">
        <f t="shared" si="19"/>
        <v>50.5</v>
      </c>
      <c r="AQ22" s="11">
        <f t="shared" si="9"/>
        <v>88.2867132867133</v>
      </c>
      <c r="AR22" s="72">
        <f t="shared" si="20"/>
        <v>6.699999999999996</v>
      </c>
      <c r="AS22" s="18">
        <f aca="true" t="shared" si="26" ref="AS22:AS28">C22+AO22-AP22</f>
        <v>9.999999999999993</v>
      </c>
    </row>
    <row r="23" spans="1:45" ht="24.75" customHeight="1">
      <c r="A23" s="13" t="s">
        <v>28</v>
      </c>
      <c r="B23" s="15" t="s">
        <v>125</v>
      </c>
      <c r="C23" s="108">
        <v>7.9</v>
      </c>
      <c r="D23" s="44">
        <v>4.5</v>
      </c>
      <c r="E23" s="44">
        <v>11.7</v>
      </c>
      <c r="F23" s="96">
        <f t="shared" si="22"/>
        <v>259.99999999999994</v>
      </c>
      <c r="G23" s="44">
        <v>6.4</v>
      </c>
      <c r="H23" s="44">
        <v>3.8</v>
      </c>
      <c r="I23" s="11">
        <f t="shared" si="1"/>
        <v>59.374999999999986</v>
      </c>
      <c r="J23" s="44">
        <v>5.9</v>
      </c>
      <c r="K23" s="44">
        <v>2.8</v>
      </c>
      <c r="L23" s="11">
        <f>K23/J23*100</f>
        <v>47.45762711864406</v>
      </c>
      <c r="M23" s="89">
        <f t="shared" si="14"/>
        <v>16.8</v>
      </c>
      <c r="N23" s="89">
        <f t="shared" si="15"/>
        <v>18.3</v>
      </c>
      <c r="O23" s="11">
        <f t="shared" si="10"/>
        <v>108.92857142857142</v>
      </c>
      <c r="P23" s="44">
        <v>6.6</v>
      </c>
      <c r="Q23" s="44">
        <v>3.7</v>
      </c>
      <c r="R23" s="11">
        <f>Q23/P23*100</f>
        <v>56.06060606060607</v>
      </c>
      <c r="S23" s="44">
        <v>8.1</v>
      </c>
      <c r="T23" s="44">
        <v>6.6</v>
      </c>
      <c r="U23" s="11">
        <f>T23/S23*100</f>
        <v>81.48148148148148</v>
      </c>
      <c r="V23" s="44">
        <v>8.6</v>
      </c>
      <c r="W23" s="44">
        <v>8.7</v>
      </c>
      <c r="X23" s="11">
        <f t="shared" si="5"/>
        <v>101.16279069767442</v>
      </c>
      <c r="Y23" s="89">
        <f t="shared" si="23"/>
        <v>23.299999999999997</v>
      </c>
      <c r="Z23" s="89">
        <f t="shared" si="23"/>
        <v>19</v>
      </c>
      <c r="AA23" s="11">
        <f t="shared" si="24"/>
        <v>81.54506437768241</v>
      </c>
      <c r="AB23" s="44">
        <v>6.1</v>
      </c>
      <c r="AC23" s="44">
        <v>9.9</v>
      </c>
      <c r="AD23" s="11">
        <f t="shared" si="7"/>
        <v>162.29508196721315</v>
      </c>
      <c r="AE23" s="44">
        <v>5.9</v>
      </c>
      <c r="AF23" s="44">
        <v>5.6</v>
      </c>
      <c r="AG23" s="142">
        <f t="shared" si="21"/>
        <v>94.91525423728812</v>
      </c>
      <c r="AH23" s="44">
        <v>4</v>
      </c>
      <c r="AI23" s="44">
        <v>5.5</v>
      </c>
      <c r="AJ23" s="89">
        <f t="shared" si="16"/>
        <v>16</v>
      </c>
      <c r="AK23" s="89">
        <f t="shared" si="17"/>
        <v>21</v>
      </c>
      <c r="AL23" s="11">
        <f t="shared" si="25"/>
        <v>131.25</v>
      </c>
      <c r="AM23" s="44">
        <v>2.7</v>
      </c>
      <c r="AN23" s="44">
        <v>3.9</v>
      </c>
      <c r="AO23" s="72">
        <f t="shared" si="18"/>
        <v>58.8</v>
      </c>
      <c r="AP23" s="72">
        <f t="shared" si="19"/>
        <v>62.199999999999996</v>
      </c>
      <c r="AQ23" s="11">
        <f t="shared" si="9"/>
        <v>105.78231292517006</v>
      </c>
      <c r="AR23" s="72">
        <f t="shared" si="20"/>
        <v>-3.3999999999999986</v>
      </c>
      <c r="AS23" s="18">
        <f t="shared" si="26"/>
        <v>4.500000000000007</v>
      </c>
    </row>
    <row r="24" spans="1:45" ht="24.75" customHeight="1">
      <c r="A24" s="13" t="s">
        <v>29</v>
      </c>
      <c r="B24" s="15" t="s">
        <v>105</v>
      </c>
      <c r="C24" s="108">
        <v>1.3</v>
      </c>
      <c r="D24" s="44">
        <v>121.4</v>
      </c>
      <c r="E24" s="44">
        <v>113.7</v>
      </c>
      <c r="F24" s="11">
        <f t="shared" si="22"/>
        <v>93.65733113673805</v>
      </c>
      <c r="G24" s="44">
        <v>108.8</v>
      </c>
      <c r="H24" s="44">
        <v>100.9</v>
      </c>
      <c r="I24" s="11">
        <f t="shared" si="1"/>
        <v>92.7389705882353</v>
      </c>
      <c r="J24" s="44">
        <v>109.6</v>
      </c>
      <c r="K24" s="44">
        <v>113.5</v>
      </c>
      <c r="L24" s="11">
        <f>K24/J24*100</f>
        <v>103.55839416058394</v>
      </c>
      <c r="M24" s="89">
        <f t="shared" si="14"/>
        <v>339.79999999999995</v>
      </c>
      <c r="N24" s="89">
        <f t="shared" si="15"/>
        <v>328.1</v>
      </c>
      <c r="O24" s="11">
        <f t="shared" si="10"/>
        <v>96.55679811653916</v>
      </c>
      <c r="P24" s="44">
        <v>113.2</v>
      </c>
      <c r="Q24" s="44">
        <v>99.2</v>
      </c>
      <c r="R24" s="11">
        <f>Q24/P24*100</f>
        <v>87.63250883392226</v>
      </c>
      <c r="S24" s="44">
        <v>105.3</v>
      </c>
      <c r="T24" s="44">
        <v>115.3</v>
      </c>
      <c r="U24" s="11">
        <f>T24/S24*100</f>
        <v>109.49667616334283</v>
      </c>
      <c r="V24" s="44">
        <v>116</v>
      </c>
      <c r="W24" s="44">
        <v>101.7</v>
      </c>
      <c r="X24" s="11">
        <f t="shared" si="5"/>
        <v>87.67241379310346</v>
      </c>
      <c r="Y24" s="89">
        <f t="shared" si="23"/>
        <v>334.5</v>
      </c>
      <c r="Z24" s="89">
        <f t="shared" si="23"/>
        <v>316.2</v>
      </c>
      <c r="AA24" s="11">
        <f t="shared" si="24"/>
        <v>94.52914798206278</v>
      </c>
      <c r="AB24" s="44">
        <v>134.3</v>
      </c>
      <c r="AC24" s="44">
        <v>139.5</v>
      </c>
      <c r="AD24" s="11">
        <f t="shared" si="7"/>
        <v>103.87192851824274</v>
      </c>
      <c r="AE24" s="44">
        <v>146.2</v>
      </c>
      <c r="AF24" s="44">
        <v>133.7</v>
      </c>
      <c r="AG24" s="142">
        <f t="shared" si="21"/>
        <v>91.4500683994528</v>
      </c>
      <c r="AH24" s="44">
        <v>128.9</v>
      </c>
      <c r="AI24" s="44">
        <v>132.5</v>
      </c>
      <c r="AJ24" s="89">
        <f t="shared" si="16"/>
        <v>409.4</v>
      </c>
      <c r="AK24" s="89">
        <f t="shared" si="17"/>
        <v>405.7</v>
      </c>
      <c r="AL24" s="11">
        <f t="shared" si="25"/>
        <v>99.09623839765511</v>
      </c>
      <c r="AM24" s="44">
        <v>122.9</v>
      </c>
      <c r="AN24" s="44">
        <v>130.6</v>
      </c>
      <c r="AO24" s="72">
        <f t="shared" si="18"/>
        <v>1206.6</v>
      </c>
      <c r="AP24" s="72">
        <f t="shared" si="19"/>
        <v>1180.6</v>
      </c>
      <c r="AQ24" s="11">
        <f t="shared" si="9"/>
        <v>97.84518481684071</v>
      </c>
      <c r="AR24" s="72">
        <f t="shared" si="20"/>
        <v>26</v>
      </c>
      <c r="AS24" s="18">
        <f t="shared" si="26"/>
        <v>27.299999999999955</v>
      </c>
    </row>
    <row r="25" spans="1:45" ht="24.75" customHeight="1">
      <c r="A25" s="13" t="s">
        <v>30</v>
      </c>
      <c r="B25" s="47" t="s">
        <v>106</v>
      </c>
      <c r="C25" s="108">
        <v>17.7</v>
      </c>
      <c r="D25" s="44">
        <v>12.5</v>
      </c>
      <c r="E25" s="44">
        <v>14.6</v>
      </c>
      <c r="F25" s="11">
        <f t="shared" si="22"/>
        <v>116.8</v>
      </c>
      <c r="G25" s="44">
        <v>16.3</v>
      </c>
      <c r="H25" s="44">
        <v>13.6</v>
      </c>
      <c r="I25" s="11">
        <f t="shared" si="1"/>
        <v>83.43558282208589</v>
      </c>
      <c r="J25" s="44">
        <v>17.5</v>
      </c>
      <c r="K25" s="44">
        <v>13.9</v>
      </c>
      <c r="L25" s="11">
        <f>K25/J25*100</f>
        <v>79.42857142857143</v>
      </c>
      <c r="M25" s="89">
        <f t="shared" si="14"/>
        <v>46.3</v>
      </c>
      <c r="N25" s="89">
        <f t="shared" si="15"/>
        <v>42.1</v>
      </c>
      <c r="O25" s="11">
        <f t="shared" si="10"/>
        <v>90.92872570194386</v>
      </c>
      <c r="P25" s="44">
        <v>18</v>
      </c>
      <c r="Q25" s="44">
        <v>18.6</v>
      </c>
      <c r="R25" s="11">
        <f>Q25/P25*100</f>
        <v>103.33333333333334</v>
      </c>
      <c r="S25" s="44">
        <v>20.9</v>
      </c>
      <c r="T25" s="44">
        <v>16</v>
      </c>
      <c r="U25" s="11">
        <f>T25/S25*100</f>
        <v>76.55502392344498</v>
      </c>
      <c r="V25" s="44">
        <v>18.4</v>
      </c>
      <c r="W25" s="44">
        <v>17.3</v>
      </c>
      <c r="X25" s="11">
        <f>W25/V25*100</f>
        <v>94.0217391304348</v>
      </c>
      <c r="Y25" s="89">
        <f t="shared" si="23"/>
        <v>57.3</v>
      </c>
      <c r="Z25" s="89">
        <f t="shared" si="23"/>
        <v>51.900000000000006</v>
      </c>
      <c r="AA25" s="11">
        <f t="shared" si="24"/>
        <v>90.5759162303665</v>
      </c>
      <c r="AB25" s="44">
        <v>23.5</v>
      </c>
      <c r="AC25" s="44">
        <v>18.1</v>
      </c>
      <c r="AD25" s="11">
        <f>AC25/AB25*100</f>
        <v>77.0212765957447</v>
      </c>
      <c r="AE25" s="44">
        <v>20.6</v>
      </c>
      <c r="AF25" s="44">
        <v>18</v>
      </c>
      <c r="AG25" s="11">
        <f>AF25/AE25*100</f>
        <v>87.37864077669903</v>
      </c>
      <c r="AH25" s="44">
        <v>19</v>
      </c>
      <c r="AI25" s="44">
        <v>17</v>
      </c>
      <c r="AJ25" s="89">
        <f t="shared" si="16"/>
        <v>63.1</v>
      </c>
      <c r="AK25" s="89">
        <f t="shared" si="17"/>
        <v>53.1</v>
      </c>
      <c r="AL25" s="11">
        <f t="shared" si="25"/>
        <v>84.15213946117274</v>
      </c>
      <c r="AM25" s="44">
        <v>19.6</v>
      </c>
      <c r="AN25" s="44">
        <v>20.3</v>
      </c>
      <c r="AO25" s="72">
        <f t="shared" si="18"/>
        <v>186.29999999999998</v>
      </c>
      <c r="AP25" s="72">
        <f t="shared" si="19"/>
        <v>167.4</v>
      </c>
      <c r="AQ25" s="11">
        <f t="shared" si="9"/>
        <v>89.85507246376812</v>
      </c>
      <c r="AR25" s="72">
        <f t="shared" si="20"/>
        <v>18.899999999999977</v>
      </c>
      <c r="AS25" s="18">
        <f t="shared" si="26"/>
        <v>36.599999999999966</v>
      </c>
    </row>
    <row r="26" spans="1:45" ht="24.75" customHeight="1">
      <c r="A26" s="13" t="s">
        <v>31</v>
      </c>
      <c r="B26" s="15" t="s">
        <v>107</v>
      </c>
      <c r="C26" s="108">
        <v>0.7</v>
      </c>
      <c r="D26" s="44">
        <v>0.1</v>
      </c>
      <c r="E26" s="44">
        <v>0.1</v>
      </c>
      <c r="F26" s="11">
        <f t="shared" si="22"/>
        <v>100</v>
      </c>
      <c r="G26" s="44">
        <v>0</v>
      </c>
      <c r="H26" s="44">
        <v>0</v>
      </c>
      <c r="I26" s="11">
        <v>0</v>
      </c>
      <c r="J26" s="44">
        <v>0.1</v>
      </c>
      <c r="K26" s="44">
        <v>0.2</v>
      </c>
      <c r="L26" s="11">
        <v>0</v>
      </c>
      <c r="M26" s="89">
        <f t="shared" si="14"/>
        <v>0.2</v>
      </c>
      <c r="N26" s="89">
        <f t="shared" si="15"/>
        <v>0.30000000000000004</v>
      </c>
      <c r="O26" s="11">
        <f t="shared" si="10"/>
        <v>150.00000000000003</v>
      </c>
      <c r="P26" s="44">
        <v>0.5</v>
      </c>
      <c r="Q26" s="44">
        <v>0.6</v>
      </c>
      <c r="R26" s="11">
        <v>0</v>
      </c>
      <c r="S26" s="44">
        <v>0.1</v>
      </c>
      <c r="T26" s="44">
        <v>0.1</v>
      </c>
      <c r="U26" s="11">
        <v>0</v>
      </c>
      <c r="V26" s="44">
        <v>0.1</v>
      </c>
      <c r="W26" s="44">
        <v>0.1</v>
      </c>
      <c r="X26" s="11">
        <v>0</v>
      </c>
      <c r="Y26" s="89">
        <f t="shared" si="23"/>
        <v>0.7</v>
      </c>
      <c r="Z26" s="89">
        <f t="shared" si="23"/>
        <v>0.7999999999999999</v>
      </c>
      <c r="AA26" s="11">
        <f t="shared" si="24"/>
        <v>114.28571428571428</v>
      </c>
      <c r="AB26" s="44">
        <v>0</v>
      </c>
      <c r="AC26" s="44">
        <v>0</v>
      </c>
      <c r="AD26" s="11">
        <v>0</v>
      </c>
      <c r="AE26" s="44">
        <v>0.1</v>
      </c>
      <c r="AF26" s="44">
        <v>0.1</v>
      </c>
      <c r="AG26" s="11">
        <f>AF26/AE26*100</f>
        <v>100</v>
      </c>
      <c r="AH26" s="44">
        <v>0.1</v>
      </c>
      <c r="AI26" s="44">
        <v>0.1</v>
      </c>
      <c r="AJ26" s="89">
        <f t="shared" si="16"/>
        <v>0.2</v>
      </c>
      <c r="AK26" s="89">
        <f t="shared" si="17"/>
        <v>0.2</v>
      </c>
      <c r="AL26" s="11">
        <f t="shared" si="25"/>
        <v>100</v>
      </c>
      <c r="AM26" s="44">
        <v>1.4</v>
      </c>
      <c r="AN26" s="44">
        <v>0.2</v>
      </c>
      <c r="AO26" s="72">
        <f t="shared" si="18"/>
        <v>2.5</v>
      </c>
      <c r="AP26" s="72">
        <f t="shared" si="19"/>
        <v>1.5</v>
      </c>
      <c r="AQ26" s="11">
        <f t="shared" si="9"/>
        <v>60</v>
      </c>
      <c r="AR26" s="72">
        <f t="shared" si="20"/>
        <v>1</v>
      </c>
      <c r="AS26" s="18">
        <f t="shared" si="26"/>
        <v>1.7000000000000002</v>
      </c>
    </row>
    <row r="27" spans="1:45" ht="24.75" customHeight="1">
      <c r="A27" s="13" t="s">
        <v>32</v>
      </c>
      <c r="B27" s="15" t="s">
        <v>108</v>
      </c>
      <c r="C27" s="108">
        <v>0</v>
      </c>
      <c r="D27" s="44">
        <v>8.4</v>
      </c>
      <c r="E27" s="44">
        <v>8.4</v>
      </c>
      <c r="F27" s="11">
        <f t="shared" si="22"/>
        <v>100</v>
      </c>
      <c r="G27" s="44">
        <v>7.5</v>
      </c>
      <c r="H27" s="44">
        <v>7.5</v>
      </c>
      <c r="I27" s="11">
        <v>0</v>
      </c>
      <c r="J27" s="44">
        <v>13.6</v>
      </c>
      <c r="K27" s="44">
        <v>13.6</v>
      </c>
      <c r="L27" s="11">
        <v>0</v>
      </c>
      <c r="M27" s="89">
        <f t="shared" si="14"/>
        <v>29.5</v>
      </c>
      <c r="N27" s="89">
        <f t="shared" si="15"/>
        <v>29.5</v>
      </c>
      <c r="O27" s="11">
        <f t="shared" si="10"/>
        <v>100</v>
      </c>
      <c r="P27" s="44">
        <v>8.5</v>
      </c>
      <c r="Q27" s="44">
        <v>8.5</v>
      </c>
      <c r="R27" s="11">
        <v>0</v>
      </c>
      <c r="S27" s="44">
        <v>7.1</v>
      </c>
      <c r="T27" s="44">
        <v>7.1</v>
      </c>
      <c r="U27" s="11">
        <v>0</v>
      </c>
      <c r="V27" s="44">
        <v>20</v>
      </c>
      <c r="W27" s="44">
        <v>20</v>
      </c>
      <c r="X27" s="11">
        <v>0</v>
      </c>
      <c r="Y27" s="89">
        <f t="shared" si="23"/>
        <v>35.6</v>
      </c>
      <c r="Z27" s="89">
        <f t="shared" si="23"/>
        <v>35.6</v>
      </c>
      <c r="AA27" s="11">
        <f t="shared" si="24"/>
        <v>100</v>
      </c>
      <c r="AB27" s="44">
        <v>17.4</v>
      </c>
      <c r="AC27" s="44">
        <v>17.4</v>
      </c>
      <c r="AD27" s="11">
        <v>0</v>
      </c>
      <c r="AE27" s="44">
        <v>13.6</v>
      </c>
      <c r="AF27" s="44">
        <v>13.6</v>
      </c>
      <c r="AG27" s="11">
        <f>AF27/AE27*100</f>
        <v>100</v>
      </c>
      <c r="AH27" s="44">
        <v>13.1</v>
      </c>
      <c r="AI27" s="44">
        <v>13.1</v>
      </c>
      <c r="AJ27" s="89">
        <f t="shared" si="16"/>
        <v>44.1</v>
      </c>
      <c r="AK27" s="89">
        <f t="shared" si="17"/>
        <v>44.1</v>
      </c>
      <c r="AL27" s="11">
        <f t="shared" si="25"/>
        <v>100</v>
      </c>
      <c r="AM27" s="44">
        <v>11.7</v>
      </c>
      <c r="AN27" s="44">
        <v>11.7</v>
      </c>
      <c r="AO27" s="72">
        <f t="shared" si="18"/>
        <v>120.89999999999999</v>
      </c>
      <c r="AP27" s="72">
        <f t="shared" si="19"/>
        <v>120.89999999999999</v>
      </c>
      <c r="AQ27" s="11">
        <f t="shared" si="9"/>
        <v>100</v>
      </c>
      <c r="AR27" s="72">
        <f t="shared" si="20"/>
        <v>0</v>
      </c>
      <c r="AS27" s="18">
        <f t="shared" si="26"/>
        <v>0</v>
      </c>
    </row>
    <row r="28" spans="1:45" ht="24.75" customHeight="1">
      <c r="A28" s="13" t="s">
        <v>33</v>
      </c>
      <c r="B28" s="47" t="s">
        <v>109</v>
      </c>
      <c r="C28" s="118">
        <v>65.1</v>
      </c>
      <c r="D28" s="44">
        <v>60.3</v>
      </c>
      <c r="E28" s="44">
        <v>70.1</v>
      </c>
      <c r="F28" s="11">
        <f t="shared" si="22"/>
        <v>116.25207296849086</v>
      </c>
      <c r="G28" s="44">
        <v>88.9</v>
      </c>
      <c r="H28" s="44">
        <v>61.5</v>
      </c>
      <c r="I28" s="11">
        <v>0</v>
      </c>
      <c r="J28" s="44">
        <v>78.7</v>
      </c>
      <c r="K28" s="44">
        <v>81.4</v>
      </c>
      <c r="L28" s="11">
        <v>0</v>
      </c>
      <c r="M28" s="89">
        <f t="shared" si="14"/>
        <v>227.89999999999998</v>
      </c>
      <c r="N28" s="89">
        <f t="shared" si="15"/>
        <v>213</v>
      </c>
      <c r="O28" s="11">
        <f t="shared" si="10"/>
        <v>93.46204475647215</v>
      </c>
      <c r="P28" s="44">
        <v>73.4</v>
      </c>
      <c r="Q28" s="44">
        <v>50.4</v>
      </c>
      <c r="R28" s="11">
        <v>0</v>
      </c>
      <c r="S28" s="44">
        <v>76.8</v>
      </c>
      <c r="T28" s="44">
        <v>83.1</v>
      </c>
      <c r="U28" s="11">
        <v>0</v>
      </c>
      <c r="V28" s="44">
        <v>91.9</v>
      </c>
      <c r="W28" s="44">
        <v>81.4</v>
      </c>
      <c r="X28" s="11">
        <v>0</v>
      </c>
      <c r="Y28" s="89">
        <f t="shared" si="23"/>
        <v>242.1</v>
      </c>
      <c r="Z28" s="89">
        <f t="shared" si="23"/>
        <v>214.9</v>
      </c>
      <c r="AA28" s="11">
        <f t="shared" si="24"/>
        <v>88.76497315159025</v>
      </c>
      <c r="AB28" s="44">
        <v>84.4</v>
      </c>
      <c r="AC28" s="44">
        <v>87.3</v>
      </c>
      <c r="AD28" s="11">
        <v>0</v>
      </c>
      <c r="AE28" s="44">
        <v>87.5</v>
      </c>
      <c r="AF28" s="99">
        <v>83.2</v>
      </c>
      <c r="AG28" s="94">
        <f>AF28/AE28*100</f>
        <v>95.08571428571429</v>
      </c>
      <c r="AH28" s="44"/>
      <c r="AI28" s="99"/>
      <c r="AJ28" s="89">
        <f t="shared" si="16"/>
        <v>171.9</v>
      </c>
      <c r="AK28" s="89">
        <f t="shared" si="17"/>
        <v>170.5</v>
      </c>
      <c r="AL28" s="11">
        <f t="shared" si="25"/>
        <v>99.18557300756254</v>
      </c>
      <c r="AM28" s="44">
        <v>81.2</v>
      </c>
      <c r="AN28" s="99">
        <v>100.8</v>
      </c>
      <c r="AO28" s="72">
        <f t="shared" si="18"/>
        <v>723.1</v>
      </c>
      <c r="AP28" s="72">
        <f t="shared" si="19"/>
        <v>699.1999999999999</v>
      </c>
      <c r="AQ28" s="11">
        <f t="shared" si="9"/>
        <v>96.69478633660627</v>
      </c>
      <c r="AR28" s="72">
        <f t="shared" si="20"/>
        <v>23.90000000000009</v>
      </c>
      <c r="AS28" s="18">
        <f t="shared" si="26"/>
        <v>89.00000000000011</v>
      </c>
    </row>
    <row r="29" spans="1:45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66"/>
      <c r="AI29" s="66"/>
      <c r="AJ29" s="89">
        <f t="shared" si="16"/>
        <v>0</v>
      </c>
      <c r="AK29" s="89">
        <f t="shared" si="17"/>
        <v>0</v>
      </c>
      <c r="AL29" s="11"/>
      <c r="AM29" s="66"/>
      <c r="AN29" s="66"/>
      <c r="AO29" s="72">
        <f t="shared" si="18"/>
        <v>0</v>
      </c>
      <c r="AP29" s="72">
        <f t="shared" si="19"/>
        <v>0</v>
      </c>
      <c r="AQ29" s="77"/>
      <c r="AR29" s="77"/>
      <c r="AS29" s="77"/>
    </row>
    <row r="30" spans="1:45" ht="24.75" customHeight="1">
      <c r="A30" s="13" t="s">
        <v>35</v>
      </c>
      <c r="B30" s="15" t="s">
        <v>111</v>
      </c>
      <c r="C30" s="120">
        <v>0.9</v>
      </c>
      <c r="D30" s="44">
        <v>22.4</v>
      </c>
      <c r="E30" s="44">
        <v>18.5</v>
      </c>
      <c r="F30" s="96">
        <f>E30/D30*100</f>
        <v>82.58928571428572</v>
      </c>
      <c r="G30" s="44">
        <v>31</v>
      </c>
      <c r="H30" s="44">
        <v>28.2</v>
      </c>
      <c r="I30" s="75">
        <f t="shared" si="1"/>
        <v>90.96774193548387</v>
      </c>
      <c r="J30" s="44">
        <v>15.2</v>
      </c>
      <c r="K30" s="44">
        <v>16</v>
      </c>
      <c r="L30" s="75">
        <f aca="true" t="shared" si="27" ref="L30:L42">K30/J30*100</f>
        <v>105.26315789473684</v>
      </c>
      <c r="M30" s="89">
        <f t="shared" si="14"/>
        <v>68.6</v>
      </c>
      <c r="N30" s="89">
        <f t="shared" si="15"/>
        <v>62.7</v>
      </c>
      <c r="O30" s="11">
        <f t="shared" si="10"/>
        <v>91.399416909621</v>
      </c>
      <c r="P30" s="44">
        <v>23.6</v>
      </c>
      <c r="Q30" s="44">
        <v>20</v>
      </c>
      <c r="R30" s="140">
        <f aca="true" t="shared" si="28" ref="R30:R43">Q30/P30*100</f>
        <v>84.7457627118644</v>
      </c>
      <c r="S30" s="44">
        <v>23.1</v>
      </c>
      <c r="T30" s="44">
        <v>22.6</v>
      </c>
      <c r="U30" s="140">
        <f aca="true" t="shared" si="29" ref="U30:U43">T30/S30*100</f>
        <v>97.83549783549783</v>
      </c>
      <c r="V30" s="44">
        <v>20.2</v>
      </c>
      <c r="W30" s="44">
        <v>20.6</v>
      </c>
      <c r="X30" s="140">
        <f aca="true" t="shared" si="30" ref="X30:X43">W30/V30*100</f>
        <v>101.98019801980197</v>
      </c>
      <c r="Y30" s="89">
        <f aca="true" t="shared" si="31" ref="Y30:Y40">P30+S30+V30</f>
        <v>66.9</v>
      </c>
      <c r="Z30" s="89">
        <f aca="true" t="shared" si="32" ref="Z30:Z40">Q30+T30+W30</f>
        <v>63.2</v>
      </c>
      <c r="AA30" s="11">
        <f aca="true" t="shared" si="33" ref="AA30:AA43">Z30/Y30*100</f>
        <v>94.46935724962631</v>
      </c>
      <c r="AB30" s="44">
        <v>25.2</v>
      </c>
      <c r="AC30" s="44">
        <v>33</v>
      </c>
      <c r="AD30" s="140">
        <f aca="true" t="shared" si="34" ref="AD30:AD43">AC30/AB30*100</f>
        <v>130.95238095238096</v>
      </c>
      <c r="AE30" s="44">
        <v>20.4</v>
      </c>
      <c r="AF30" s="44">
        <v>18.2</v>
      </c>
      <c r="AG30" s="141">
        <f aca="true" t="shared" si="35" ref="AG30:AG41">AF30/AE30*100</f>
        <v>89.2156862745098</v>
      </c>
      <c r="AH30" s="44">
        <v>26.7</v>
      </c>
      <c r="AI30" s="44">
        <v>27.5</v>
      </c>
      <c r="AJ30" s="89">
        <f t="shared" si="16"/>
        <v>72.3</v>
      </c>
      <c r="AK30" s="89">
        <f t="shared" si="17"/>
        <v>78.7</v>
      </c>
      <c r="AL30" s="11">
        <f aca="true" t="shared" si="36" ref="AL30:AL43">AK30/AJ30*100</f>
        <v>108.85200553250347</v>
      </c>
      <c r="AM30" s="44">
        <v>29.7</v>
      </c>
      <c r="AN30" s="44">
        <v>32.6</v>
      </c>
      <c r="AO30" s="72">
        <f t="shared" si="18"/>
        <v>237.5</v>
      </c>
      <c r="AP30" s="72">
        <f t="shared" si="19"/>
        <v>237.20000000000002</v>
      </c>
      <c r="AQ30" s="11">
        <f t="shared" si="9"/>
        <v>99.87368421052632</v>
      </c>
      <c r="AR30" s="72">
        <f aca="true" t="shared" si="37" ref="AR30:AR42">AO30-AP30</f>
        <v>0.29999999999998295</v>
      </c>
      <c r="AS30" s="18">
        <f aca="true" t="shared" si="38" ref="AS30:AS40">C30+AO30-AP30</f>
        <v>1.1999999999999886</v>
      </c>
    </row>
    <row r="31" spans="1:45" ht="24.75" customHeight="1">
      <c r="A31" s="13" t="s">
        <v>36</v>
      </c>
      <c r="B31" s="15" t="s">
        <v>112</v>
      </c>
      <c r="C31" s="108">
        <v>2.1</v>
      </c>
      <c r="D31" s="44">
        <v>7.1</v>
      </c>
      <c r="E31" s="44">
        <v>6.9</v>
      </c>
      <c r="F31" s="11">
        <f>E31/D31*100</f>
        <v>97.18309859154931</v>
      </c>
      <c r="G31" s="44">
        <v>8</v>
      </c>
      <c r="H31" s="44">
        <v>6.3</v>
      </c>
      <c r="I31" s="11">
        <f t="shared" si="1"/>
        <v>78.75</v>
      </c>
      <c r="J31" s="44">
        <v>8</v>
      </c>
      <c r="K31" s="44">
        <v>9.7</v>
      </c>
      <c r="L31" s="11">
        <f t="shared" si="27"/>
        <v>121.24999999999999</v>
      </c>
      <c r="M31" s="89">
        <f t="shared" si="14"/>
        <v>23.1</v>
      </c>
      <c r="N31" s="89">
        <f t="shared" si="15"/>
        <v>22.9</v>
      </c>
      <c r="O31" s="11">
        <f t="shared" si="10"/>
        <v>99.13419913419912</v>
      </c>
      <c r="P31" s="44">
        <v>8.7</v>
      </c>
      <c r="Q31" s="44">
        <v>7.3</v>
      </c>
      <c r="R31" s="11">
        <f t="shared" si="28"/>
        <v>83.9080459770115</v>
      </c>
      <c r="S31" s="44">
        <v>8.9</v>
      </c>
      <c r="T31" s="44">
        <v>10.9</v>
      </c>
      <c r="U31" s="11">
        <f t="shared" si="29"/>
        <v>122.47191011235954</v>
      </c>
      <c r="V31" s="44">
        <v>8.7</v>
      </c>
      <c r="W31" s="44">
        <v>6.5</v>
      </c>
      <c r="X31" s="11">
        <f t="shared" si="30"/>
        <v>74.71264367816093</v>
      </c>
      <c r="Y31" s="89">
        <f t="shared" si="31"/>
        <v>26.3</v>
      </c>
      <c r="Z31" s="89">
        <f t="shared" si="32"/>
        <v>24.7</v>
      </c>
      <c r="AA31" s="11">
        <f t="shared" si="33"/>
        <v>93.91634980988593</v>
      </c>
      <c r="AB31" s="44">
        <v>11.4</v>
      </c>
      <c r="AC31" s="44">
        <v>8.6</v>
      </c>
      <c r="AD31" s="11">
        <f t="shared" si="34"/>
        <v>75.43859649122805</v>
      </c>
      <c r="AE31" s="44">
        <v>13.2</v>
      </c>
      <c r="AF31" s="44">
        <v>9.7</v>
      </c>
      <c r="AG31" s="141">
        <f t="shared" si="35"/>
        <v>73.48484848484848</v>
      </c>
      <c r="AH31" s="44">
        <v>13.3</v>
      </c>
      <c r="AI31" s="44">
        <v>13.7</v>
      </c>
      <c r="AJ31" s="89">
        <f t="shared" si="16"/>
        <v>37.900000000000006</v>
      </c>
      <c r="AK31" s="89">
        <f t="shared" si="17"/>
        <v>31.999999999999996</v>
      </c>
      <c r="AL31" s="11">
        <f t="shared" si="36"/>
        <v>84.43271767810025</v>
      </c>
      <c r="AM31" s="44">
        <v>11.5</v>
      </c>
      <c r="AN31" s="44">
        <v>16</v>
      </c>
      <c r="AO31" s="72">
        <f t="shared" si="18"/>
        <v>98.80000000000001</v>
      </c>
      <c r="AP31" s="72">
        <f t="shared" si="19"/>
        <v>95.6</v>
      </c>
      <c r="AQ31" s="11">
        <f t="shared" si="9"/>
        <v>96.76113360323885</v>
      </c>
      <c r="AR31" s="72">
        <f t="shared" si="37"/>
        <v>3.200000000000017</v>
      </c>
      <c r="AS31" s="18">
        <f t="shared" si="38"/>
        <v>5.300000000000011</v>
      </c>
    </row>
    <row r="32" spans="1:45" ht="24.75" customHeight="1">
      <c r="A32" s="13" t="s">
        <v>37</v>
      </c>
      <c r="B32" s="15" t="s">
        <v>113</v>
      </c>
      <c r="C32" s="108">
        <v>377.8</v>
      </c>
      <c r="D32" s="99">
        <v>67.9</v>
      </c>
      <c r="E32" s="99">
        <v>55.1</v>
      </c>
      <c r="F32" s="67">
        <f>E32/D32*100</f>
        <v>81.14874815905743</v>
      </c>
      <c r="G32" s="44">
        <v>259.9</v>
      </c>
      <c r="H32" s="44">
        <v>62</v>
      </c>
      <c r="I32" s="11">
        <f t="shared" si="1"/>
        <v>23.855328972681804</v>
      </c>
      <c r="J32" s="44">
        <v>167.3</v>
      </c>
      <c r="K32" s="44">
        <v>256.9</v>
      </c>
      <c r="L32" s="11">
        <f t="shared" si="27"/>
        <v>153.55648535564853</v>
      </c>
      <c r="M32" s="89">
        <f t="shared" si="14"/>
        <v>495.09999999999997</v>
      </c>
      <c r="N32" s="89">
        <f t="shared" si="15"/>
        <v>374</v>
      </c>
      <c r="O32" s="11">
        <f t="shared" si="10"/>
        <v>75.54029488992123</v>
      </c>
      <c r="P32" s="44">
        <v>197.8</v>
      </c>
      <c r="Q32" s="44">
        <v>103.2</v>
      </c>
      <c r="R32" s="11">
        <f t="shared" si="28"/>
        <v>52.17391304347826</v>
      </c>
      <c r="S32" s="44">
        <v>144.1</v>
      </c>
      <c r="T32" s="44">
        <v>250.9</v>
      </c>
      <c r="U32" s="11">
        <f t="shared" si="29"/>
        <v>174.1151977793199</v>
      </c>
      <c r="V32" s="44">
        <v>172.4</v>
      </c>
      <c r="W32" s="44">
        <v>140.3</v>
      </c>
      <c r="X32" s="11">
        <f t="shared" si="30"/>
        <v>81.38051044083528</v>
      </c>
      <c r="Y32" s="89">
        <f t="shared" si="31"/>
        <v>514.3</v>
      </c>
      <c r="Z32" s="89">
        <f t="shared" si="32"/>
        <v>494.40000000000003</v>
      </c>
      <c r="AA32" s="11">
        <f t="shared" si="33"/>
        <v>96.13066303713788</v>
      </c>
      <c r="AB32" s="44">
        <v>235.9</v>
      </c>
      <c r="AC32" s="44">
        <v>398.5</v>
      </c>
      <c r="AD32" s="11">
        <f t="shared" si="34"/>
        <v>168.927511657482</v>
      </c>
      <c r="AE32" s="44">
        <v>43.4</v>
      </c>
      <c r="AF32" s="44">
        <v>39.2</v>
      </c>
      <c r="AG32" s="11">
        <f t="shared" si="35"/>
        <v>90.3225806451613</v>
      </c>
      <c r="AH32" s="44">
        <v>50.5</v>
      </c>
      <c r="AI32" s="44">
        <v>44.1</v>
      </c>
      <c r="AJ32" s="89">
        <f t="shared" si="16"/>
        <v>329.8</v>
      </c>
      <c r="AK32" s="89">
        <f t="shared" si="17"/>
        <v>481.8</v>
      </c>
      <c r="AL32" s="11">
        <f t="shared" si="36"/>
        <v>146.08853850818676</v>
      </c>
      <c r="AM32" s="44">
        <v>65.2</v>
      </c>
      <c r="AN32" s="44">
        <v>78.2</v>
      </c>
      <c r="AO32" s="72">
        <f t="shared" si="18"/>
        <v>1404.3999999999999</v>
      </c>
      <c r="AP32" s="72">
        <f t="shared" si="19"/>
        <v>1428.4</v>
      </c>
      <c r="AQ32" s="11">
        <f t="shared" si="9"/>
        <v>101.70891483907721</v>
      </c>
      <c r="AR32" s="72">
        <f t="shared" si="37"/>
        <v>-24.000000000000227</v>
      </c>
      <c r="AS32" s="18">
        <f t="shared" si="38"/>
        <v>353.7999999999997</v>
      </c>
    </row>
    <row r="33" spans="1:45" ht="24.75" customHeight="1">
      <c r="A33" s="13" t="s">
        <v>38</v>
      </c>
      <c r="B33" s="15" t="s">
        <v>114</v>
      </c>
      <c r="C33" s="114">
        <v>176</v>
      </c>
      <c r="D33" s="43">
        <v>151</v>
      </c>
      <c r="E33" s="43">
        <v>140.4</v>
      </c>
      <c r="F33" s="11">
        <f>E33/D33*100</f>
        <v>92.98013245033113</v>
      </c>
      <c r="G33" s="44">
        <v>193.6</v>
      </c>
      <c r="H33" s="44">
        <v>88.9</v>
      </c>
      <c r="I33" s="11">
        <f t="shared" si="1"/>
        <v>45.919421487603316</v>
      </c>
      <c r="J33" s="44">
        <v>173.6</v>
      </c>
      <c r="K33" s="44">
        <v>50.7</v>
      </c>
      <c r="L33" s="11">
        <f t="shared" si="27"/>
        <v>29.205069124423964</v>
      </c>
      <c r="M33" s="89">
        <f t="shared" si="14"/>
        <v>518.2</v>
      </c>
      <c r="N33" s="89">
        <f t="shared" si="15"/>
        <v>280</v>
      </c>
      <c r="O33" s="11">
        <f t="shared" si="10"/>
        <v>54.033191817830954</v>
      </c>
      <c r="P33" s="44">
        <v>178.3</v>
      </c>
      <c r="Q33" s="44">
        <v>49.1</v>
      </c>
      <c r="R33" s="11">
        <f t="shared" si="28"/>
        <v>27.537857543466064</v>
      </c>
      <c r="S33" s="44">
        <v>169.4</v>
      </c>
      <c r="T33" s="44">
        <v>70.5</v>
      </c>
      <c r="U33" s="11">
        <f t="shared" si="29"/>
        <v>41.61747343565525</v>
      </c>
      <c r="V33" s="44">
        <v>167.4</v>
      </c>
      <c r="W33" s="44">
        <v>78.5</v>
      </c>
      <c r="X33" s="11">
        <f t="shared" si="30"/>
        <v>46.893667861409796</v>
      </c>
      <c r="Y33" s="89">
        <f t="shared" si="31"/>
        <v>515.1</v>
      </c>
      <c r="Z33" s="89">
        <f t="shared" si="32"/>
        <v>198.1</v>
      </c>
      <c r="AA33" s="11">
        <f t="shared" si="33"/>
        <v>38.45855173752669</v>
      </c>
      <c r="AB33" s="44">
        <v>218.4</v>
      </c>
      <c r="AC33" s="44">
        <v>80.4</v>
      </c>
      <c r="AD33" s="11">
        <f t="shared" si="34"/>
        <v>36.81318681318682</v>
      </c>
      <c r="AE33" s="44">
        <v>233.3</v>
      </c>
      <c r="AF33" s="44">
        <v>73.4</v>
      </c>
      <c r="AG33" s="11">
        <f t="shared" si="35"/>
        <v>31.46163737676811</v>
      </c>
      <c r="AH33" s="44">
        <v>226.2</v>
      </c>
      <c r="AI33" s="44">
        <v>62.8</v>
      </c>
      <c r="AJ33" s="89">
        <f t="shared" si="16"/>
        <v>677.9000000000001</v>
      </c>
      <c r="AK33" s="89">
        <f t="shared" si="17"/>
        <v>216.60000000000002</v>
      </c>
      <c r="AL33" s="11">
        <f t="shared" si="36"/>
        <v>31.951615282490042</v>
      </c>
      <c r="AM33" s="44">
        <v>239.8</v>
      </c>
      <c r="AN33" s="44">
        <v>111.6</v>
      </c>
      <c r="AO33" s="72">
        <f t="shared" si="18"/>
        <v>1951.0000000000002</v>
      </c>
      <c r="AP33" s="72">
        <f t="shared" si="19"/>
        <v>806.3000000000001</v>
      </c>
      <c r="AQ33" s="11">
        <f t="shared" si="9"/>
        <v>41.32752434648898</v>
      </c>
      <c r="AR33" s="72">
        <f t="shared" si="37"/>
        <v>1144.7000000000003</v>
      </c>
      <c r="AS33" s="18">
        <f t="shared" si="38"/>
        <v>1320.6999999999998</v>
      </c>
    </row>
    <row r="34" spans="1:45" ht="24.75" customHeight="1">
      <c r="A34" s="13" t="s">
        <v>39</v>
      </c>
      <c r="B34" s="47" t="s">
        <v>115</v>
      </c>
      <c r="C34" s="117">
        <v>8.7</v>
      </c>
      <c r="D34" s="79">
        <v>4.3</v>
      </c>
      <c r="E34" s="79">
        <v>4</v>
      </c>
      <c r="F34" s="11">
        <f aca="true" t="shared" si="39" ref="F34:F42">E34/D34*100</f>
        <v>93.02325581395348</v>
      </c>
      <c r="G34" s="44">
        <v>3.9</v>
      </c>
      <c r="H34" s="44">
        <v>7.1</v>
      </c>
      <c r="I34" s="75">
        <f t="shared" si="1"/>
        <v>182.05128205128204</v>
      </c>
      <c r="J34" s="44">
        <v>5</v>
      </c>
      <c r="K34" s="44">
        <v>3.7</v>
      </c>
      <c r="L34" s="75">
        <f t="shared" si="27"/>
        <v>74</v>
      </c>
      <c r="M34" s="89">
        <f t="shared" si="14"/>
        <v>13.2</v>
      </c>
      <c r="N34" s="89">
        <f t="shared" si="15"/>
        <v>14.8</v>
      </c>
      <c r="O34" s="11">
        <f t="shared" si="10"/>
        <v>112.12121212121214</v>
      </c>
      <c r="P34" s="44">
        <v>4.8</v>
      </c>
      <c r="Q34" s="44">
        <v>4.5</v>
      </c>
      <c r="R34" s="140">
        <f t="shared" si="28"/>
        <v>93.75</v>
      </c>
      <c r="S34" s="44">
        <v>5.9</v>
      </c>
      <c r="T34" s="44">
        <v>5.1</v>
      </c>
      <c r="U34" s="140">
        <f t="shared" si="29"/>
        <v>86.44067796610169</v>
      </c>
      <c r="V34" s="44">
        <v>5.8</v>
      </c>
      <c r="W34" s="44">
        <v>5.1</v>
      </c>
      <c r="X34" s="140">
        <f t="shared" si="30"/>
        <v>87.93103448275862</v>
      </c>
      <c r="Y34" s="89">
        <f t="shared" si="31"/>
        <v>16.5</v>
      </c>
      <c r="Z34" s="89">
        <f t="shared" si="32"/>
        <v>14.7</v>
      </c>
      <c r="AA34" s="11">
        <f t="shared" si="33"/>
        <v>89.0909090909091</v>
      </c>
      <c r="AB34" s="44">
        <v>9.3</v>
      </c>
      <c r="AC34" s="44">
        <v>6.9</v>
      </c>
      <c r="AD34" s="140">
        <f t="shared" si="34"/>
        <v>74.19354838709677</v>
      </c>
      <c r="AE34" s="44">
        <v>0</v>
      </c>
      <c r="AF34" s="44">
        <v>4.1</v>
      </c>
      <c r="AG34" s="11" t="e">
        <f t="shared" si="35"/>
        <v>#DIV/0!</v>
      </c>
      <c r="AH34" s="44">
        <v>0</v>
      </c>
      <c r="AI34" s="44">
        <v>0.9</v>
      </c>
      <c r="AJ34" s="89">
        <f t="shared" si="16"/>
        <v>9.3</v>
      </c>
      <c r="AK34" s="89">
        <f t="shared" si="17"/>
        <v>11.9</v>
      </c>
      <c r="AL34" s="11">
        <f t="shared" si="36"/>
        <v>127.95698924731182</v>
      </c>
      <c r="AM34" s="44">
        <v>0</v>
      </c>
      <c r="AN34" s="44">
        <v>0</v>
      </c>
      <c r="AO34" s="72">
        <f t="shared" si="18"/>
        <v>39</v>
      </c>
      <c r="AP34" s="72">
        <f t="shared" si="19"/>
        <v>41.4</v>
      </c>
      <c r="AQ34" s="11">
        <f t="shared" si="9"/>
        <v>106.15384615384616</v>
      </c>
      <c r="AR34" s="72">
        <f t="shared" si="37"/>
        <v>-2.3999999999999986</v>
      </c>
      <c r="AS34" s="18">
        <f t="shared" si="38"/>
        <v>6.300000000000004</v>
      </c>
    </row>
    <row r="35" spans="1:45" ht="24.75" customHeight="1">
      <c r="A35" s="13" t="s">
        <v>40</v>
      </c>
      <c r="B35" s="15" t="s">
        <v>116</v>
      </c>
      <c r="C35" s="108">
        <v>107.9</v>
      </c>
      <c r="D35" s="44">
        <v>161</v>
      </c>
      <c r="E35" s="44">
        <v>166</v>
      </c>
      <c r="F35" s="11">
        <f t="shared" si="39"/>
        <v>103.1055900621118</v>
      </c>
      <c r="G35" s="44">
        <v>138.9</v>
      </c>
      <c r="H35" s="44">
        <v>101.6</v>
      </c>
      <c r="I35" s="11">
        <f t="shared" si="1"/>
        <v>73.14614830813534</v>
      </c>
      <c r="J35" s="44">
        <v>122.5</v>
      </c>
      <c r="K35" s="44">
        <v>176.1</v>
      </c>
      <c r="L35" s="11">
        <f t="shared" si="27"/>
        <v>143.75510204081633</v>
      </c>
      <c r="M35" s="89">
        <f t="shared" si="14"/>
        <v>422.4</v>
      </c>
      <c r="N35" s="89">
        <f t="shared" si="15"/>
        <v>443.70000000000005</v>
      </c>
      <c r="O35" s="11">
        <f t="shared" si="10"/>
        <v>105.04261363636364</v>
      </c>
      <c r="P35" s="44">
        <v>128.5</v>
      </c>
      <c r="Q35" s="44">
        <v>113.2</v>
      </c>
      <c r="R35" s="11">
        <f t="shared" si="28"/>
        <v>88.09338521400778</v>
      </c>
      <c r="S35" s="44">
        <v>168.2</v>
      </c>
      <c r="T35" s="44">
        <v>197</v>
      </c>
      <c r="U35" s="11">
        <f t="shared" si="29"/>
        <v>117.12247324613556</v>
      </c>
      <c r="V35" s="44">
        <v>165.5</v>
      </c>
      <c r="W35" s="44">
        <v>147.1</v>
      </c>
      <c r="X35" s="11">
        <f t="shared" si="30"/>
        <v>88.8821752265861</v>
      </c>
      <c r="Y35" s="89">
        <f t="shared" si="31"/>
        <v>462.2</v>
      </c>
      <c r="Z35" s="89">
        <f t="shared" si="32"/>
        <v>457.29999999999995</v>
      </c>
      <c r="AA35" s="11">
        <f t="shared" si="33"/>
        <v>98.93985287754218</v>
      </c>
      <c r="AB35" s="44">
        <v>155.2</v>
      </c>
      <c r="AC35" s="44">
        <v>181</v>
      </c>
      <c r="AD35" s="11">
        <f t="shared" si="34"/>
        <v>116.6237113402062</v>
      </c>
      <c r="AE35" s="44">
        <v>171.2</v>
      </c>
      <c r="AF35" s="44">
        <v>144.3</v>
      </c>
      <c r="AG35" s="11">
        <f t="shared" si="35"/>
        <v>84.2873831775701</v>
      </c>
      <c r="AH35" s="44">
        <v>136.5</v>
      </c>
      <c r="AI35" s="44">
        <v>153.8</v>
      </c>
      <c r="AJ35" s="89">
        <f t="shared" si="16"/>
        <v>462.9</v>
      </c>
      <c r="AK35" s="89">
        <f t="shared" si="17"/>
        <v>479.1</v>
      </c>
      <c r="AL35" s="11">
        <f t="shared" si="36"/>
        <v>103.49967595593002</v>
      </c>
      <c r="AM35" s="44">
        <v>145.4</v>
      </c>
      <c r="AN35" s="44">
        <v>132.9</v>
      </c>
      <c r="AO35" s="72">
        <f t="shared" si="18"/>
        <v>1492.9</v>
      </c>
      <c r="AP35" s="72">
        <f t="shared" si="19"/>
        <v>1513</v>
      </c>
      <c r="AQ35" s="11">
        <f t="shared" si="9"/>
        <v>101.34637283140195</v>
      </c>
      <c r="AR35" s="72">
        <f t="shared" si="37"/>
        <v>-20.09999999999991</v>
      </c>
      <c r="AS35" s="18">
        <f t="shared" si="38"/>
        <v>87.80000000000018</v>
      </c>
    </row>
    <row r="36" spans="1:45" ht="24.75" customHeight="1">
      <c r="A36" s="13" t="s">
        <v>41</v>
      </c>
      <c r="B36" s="15" t="s">
        <v>117</v>
      </c>
      <c r="C36" s="108">
        <f>465.9+4.9</f>
        <v>470.79999999999995</v>
      </c>
      <c r="D36" s="44">
        <f>614.7+1.9</f>
        <v>616.6</v>
      </c>
      <c r="E36" s="44">
        <f>408.9+2.9</f>
        <v>411.79999999999995</v>
      </c>
      <c r="F36" s="11">
        <f t="shared" si="39"/>
        <v>66.78559844307492</v>
      </c>
      <c r="G36" s="44">
        <f>542.5+1.9</f>
        <v>544.4</v>
      </c>
      <c r="H36" s="44">
        <f>456.7+1.4</f>
        <v>458.09999999999997</v>
      </c>
      <c r="I36" s="11">
        <f t="shared" si="1"/>
        <v>84.147685525349</v>
      </c>
      <c r="J36" s="44">
        <f>598.2+2.2</f>
        <v>600.4000000000001</v>
      </c>
      <c r="K36" s="44">
        <f>594.6+2.2</f>
        <v>596.8000000000001</v>
      </c>
      <c r="L36" s="11">
        <f t="shared" si="27"/>
        <v>99.400399733511</v>
      </c>
      <c r="M36" s="89">
        <f t="shared" si="14"/>
        <v>1761.4</v>
      </c>
      <c r="N36" s="89">
        <f t="shared" si="15"/>
        <v>1466.6999999999998</v>
      </c>
      <c r="O36" s="11">
        <f t="shared" si="10"/>
        <v>83.26899057567843</v>
      </c>
      <c r="P36" s="44">
        <f>509.4+4.7</f>
        <v>514.1</v>
      </c>
      <c r="Q36" s="44">
        <f>318.1+2.7</f>
        <v>320.8</v>
      </c>
      <c r="R36" s="11">
        <f t="shared" si="28"/>
        <v>62.400311223497376</v>
      </c>
      <c r="S36" s="44">
        <f>470.9+2.4</f>
        <v>473.29999999999995</v>
      </c>
      <c r="T36" s="44">
        <f>489.3+4.8</f>
        <v>494.1</v>
      </c>
      <c r="U36" s="11">
        <f t="shared" si="29"/>
        <v>104.39467568138603</v>
      </c>
      <c r="V36" s="44">
        <f>502.7+3.4</f>
        <v>506.09999999999997</v>
      </c>
      <c r="W36" s="44">
        <f>558.1+1.4</f>
        <v>559.5</v>
      </c>
      <c r="X36" s="11">
        <f t="shared" si="30"/>
        <v>110.5512744516894</v>
      </c>
      <c r="Y36" s="89">
        <f t="shared" si="31"/>
        <v>1493.5</v>
      </c>
      <c r="Z36" s="89">
        <f t="shared" si="32"/>
        <v>1374.4</v>
      </c>
      <c r="AA36" s="11">
        <f t="shared" si="33"/>
        <v>92.02544358888517</v>
      </c>
      <c r="AB36" s="44">
        <f>3.3+496.1</f>
        <v>499.40000000000003</v>
      </c>
      <c r="AC36" s="44">
        <f>4.3+974.9</f>
        <v>979.1999999999999</v>
      </c>
      <c r="AD36" s="11">
        <f t="shared" si="34"/>
        <v>196.0752903484181</v>
      </c>
      <c r="AE36" s="44">
        <v>478.8</v>
      </c>
      <c r="AF36" s="44">
        <f>3.1+505.5</f>
        <v>508.6</v>
      </c>
      <c r="AG36" s="11">
        <f t="shared" si="35"/>
        <v>106.22389306599833</v>
      </c>
      <c r="AH36" s="44">
        <v>462.5</v>
      </c>
      <c r="AI36" s="44">
        <v>532.5</v>
      </c>
      <c r="AJ36" s="89">
        <f t="shared" si="16"/>
        <v>1440.7</v>
      </c>
      <c r="AK36" s="89">
        <f t="shared" si="17"/>
        <v>2020.3</v>
      </c>
      <c r="AL36" s="11">
        <f t="shared" si="36"/>
        <v>140.230443534393</v>
      </c>
      <c r="AM36" s="44">
        <v>588.5</v>
      </c>
      <c r="AN36" s="44">
        <f>1.1+468.9</f>
        <v>470</v>
      </c>
      <c r="AO36" s="72">
        <f t="shared" si="18"/>
        <v>5284.1</v>
      </c>
      <c r="AP36" s="72">
        <f t="shared" si="19"/>
        <v>5331.4</v>
      </c>
      <c r="AQ36" s="11">
        <f t="shared" si="9"/>
        <v>100.89513824492344</v>
      </c>
      <c r="AR36" s="72">
        <f t="shared" si="37"/>
        <v>-47.29999999999927</v>
      </c>
      <c r="AS36" s="18">
        <f t="shared" si="38"/>
        <v>423.5000000000009</v>
      </c>
    </row>
    <row r="37" spans="1:45" ht="24.75" customHeight="1">
      <c r="A37" s="13" t="s">
        <v>42</v>
      </c>
      <c r="B37" s="15" t="s">
        <v>118</v>
      </c>
      <c r="C37" s="108">
        <v>315</v>
      </c>
      <c r="D37" s="44">
        <v>175.1</v>
      </c>
      <c r="E37" s="44">
        <v>204.7</v>
      </c>
      <c r="F37" s="11">
        <f t="shared" si="39"/>
        <v>116.90462592804111</v>
      </c>
      <c r="G37" s="44">
        <v>166.4</v>
      </c>
      <c r="H37" s="44">
        <v>181.6</v>
      </c>
      <c r="I37" s="11">
        <f t="shared" si="1"/>
        <v>109.13461538461537</v>
      </c>
      <c r="J37" s="44">
        <v>162.3</v>
      </c>
      <c r="K37" s="44">
        <v>235.6</v>
      </c>
      <c r="L37" s="11">
        <f t="shared" si="27"/>
        <v>145.16327788046826</v>
      </c>
      <c r="M37" s="89">
        <f t="shared" si="14"/>
        <v>503.8</v>
      </c>
      <c r="N37" s="89">
        <f t="shared" si="15"/>
        <v>621.9</v>
      </c>
      <c r="O37" s="11">
        <f t="shared" si="10"/>
        <v>123.44184200079395</v>
      </c>
      <c r="P37" s="44">
        <v>173.8</v>
      </c>
      <c r="Q37" s="44">
        <f>137+44.5</f>
        <v>181.5</v>
      </c>
      <c r="R37" s="11">
        <f t="shared" si="28"/>
        <v>104.43037974683544</v>
      </c>
      <c r="S37" s="44">
        <v>174.1</v>
      </c>
      <c r="T37" s="44">
        <v>240.8</v>
      </c>
      <c r="U37" s="11">
        <f t="shared" si="29"/>
        <v>138.3113153360138</v>
      </c>
      <c r="V37" s="44">
        <v>183.8</v>
      </c>
      <c r="W37" s="44">
        <v>161.2</v>
      </c>
      <c r="X37" s="11">
        <f t="shared" si="30"/>
        <v>87.70402611534274</v>
      </c>
      <c r="Y37" s="89">
        <f t="shared" si="31"/>
        <v>531.7</v>
      </c>
      <c r="Z37" s="89">
        <f t="shared" si="32"/>
        <v>583.5</v>
      </c>
      <c r="AA37" s="11">
        <f t="shared" si="33"/>
        <v>109.74233590370508</v>
      </c>
      <c r="AB37" s="44">
        <v>287</v>
      </c>
      <c r="AC37" s="44">
        <v>189.4</v>
      </c>
      <c r="AD37" s="11">
        <f t="shared" si="34"/>
        <v>65.99303135888502</v>
      </c>
      <c r="AE37" s="44">
        <v>294.6</v>
      </c>
      <c r="AF37" s="44">
        <v>22.9</v>
      </c>
      <c r="AG37" s="11">
        <f t="shared" si="35"/>
        <v>7.77325186693822</v>
      </c>
      <c r="AH37" s="44">
        <v>353.9</v>
      </c>
      <c r="AI37" s="44">
        <v>56.8</v>
      </c>
      <c r="AJ37" s="89">
        <f t="shared" si="16"/>
        <v>935.5</v>
      </c>
      <c r="AK37" s="89">
        <f t="shared" si="17"/>
        <v>269.1</v>
      </c>
      <c r="AL37" s="11">
        <f t="shared" si="36"/>
        <v>28.76536611437734</v>
      </c>
      <c r="AM37" s="44">
        <v>355.7</v>
      </c>
      <c r="AN37" s="44">
        <v>200.5</v>
      </c>
      <c r="AO37" s="72">
        <f t="shared" si="18"/>
        <v>2326.7</v>
      </c>
      <c r="AP37" s="72">
        <f t="shared" si="19"/>
        <v>1675</v>
      </c>
      <c r="AQ37" s="11">
        <f t="shared" si="9"/>
        <v>71.99037263076461</v>
      </c>
      <c r="AR37" s="72">
        <f t="shared" si="37"/>
        <v>651.6999999999998</v>
      </c>
      <c r="AS37" s="18">
        <f t="shared" si="38"/>
        <v>966.6999999999998</v>
      </c>
    </row>
    <row r="38" spans="1:45" ht="24.75" customHeight="1">
      <c r="A38" s="13" t="s">
        <v>43</v>
      </c>
      <c r="B38" s="15" t="s">
        <v>126</v>
      </c>
      <c r="C38" s="108">
        <v>181</v>
      </c>
      <c r="D38" s="44">
        <v>210.8</v>
      </c>
      <c r="E38" s="44">
        <v>227.6</v>
      </c>
      <c r="F38" s="11">
        <f t="shared" si="39"/>
        <v>107.96963946869069</v>
      </c>
      <c r="G38" s="44">
        <v>170.4</v>
      </c>
      <c r="H38" s="44">
        <v>159.8</v>
      </c>
      <c r="I38" s="11">
        <f t="shared" si="1"/>
        <v>93.7793427230047</v>
      </c>
      <c r="J38" s="44">
        <v>213.2</v>
      </c>
      <c r="K38" s="44">
        <v>210.7</v>
      </c>
      <c r="L38" s="11">
        <f t="shared" si="27"/>
        <v>98.82739212007505</v>
      </c>
      <c r="M38" s="89">
        <f t="shared" si="14"/>
        <v>594.4000000000001</v>
      </c>
      <c r="N38" s="89">
        <f t="shared" si="15"/>
        <v>598.0999999999999</v>
      </c>
      <c r="O38" s="11">
        <f t="shared" si="10"/>
        <v>100.62247644683711</v>
      </c>
      <c r="P38" s="44">
        <v>183.1</v>
      </c>
      <c r="Q38" s="44">
        <v>201</v>
      </c>
      <c r="R38" s="11">
        <f t="shared" si="28"/>
        <v>109.77607864554888</v>
      </c>
      <c r="S38" s="44">
        <v>193.3</v>
      </c>
      <c r="T38" s="44">
        <v>213.8</v>
      </c>
      <c r="U38" s="11">
        <f t="shared" si="29"/>
        <v>110.6052767718572</v>
      </c>
      <c r="V38" s="44">
        <v>151.8</v>
      </c>
      <c r="W38" s="44">
        <v>142.1</v>
      </c>
      <c r="X38" s="11">
        <f t="shared" si="30"/>
        <v>93.61001317523055</v>
      </c>
      <c r="Y38" s="89">
        <f t="shared" si="31"/>
        <v>528.2</v>
      </c>
      <c r="Z38" s="89">
        <f t="shared" si="32"/>
        <v>556.9</v>
      </c>
      <c r="AA38" s="11">
        <f t="shared" si="33"/>
        <v>105.43354789852329</v>
      </c>
      <c r="AB38" s="44">
        <v>152</v>
      </c>
      <c r="AC38" s="44">
        <v>192.9</v>
      </c>
      <c r="AD38" s="11">
        <f t="shared" si="34"/>
        <v>126.90789473684212</v>
      </c>
      <c r="AE38" s="44">
        <v>161.1</v>
      </c>
      <c r="AF38" s="44">
        <v>129.4</v>
      </c>
      <c r="AG38" s="11">
        <f t="shared" si="35"/>
        <v>80.32278088144011</v>
      </c>
      <c r="AH38" s="44">
        <v>186.4</v>
      </c>
      <c r="AI38" s="44">
        <v>107.1</v>
      </c>
      <c r="AJ38" s="89">
        <f t="shared" si="16"/>
        <v>499.5</v>
      </c>
      <c r="AK38" s="89">
        <f t="shared" si="17"/>
        <v>429.4</v>
      </c>
      <c r="AL38" s="11">
        <f t="shared" si="36"/>
        <v>85.96596596596596</v>
      </c>
      <c r="AM38" s="44">
        <v>211.1</v>
      </c>
      <c r="AN38" s="44">
        <v>175.3</v>
      </c>
      <c r="AO38" s="72">
        <f t="shared" si="18"/>
        <v>1833.2</v>
      </c>
      <c r="AP38" s="72">
        <f t="shared" si="19"/>
        <v>1759.7</v>
      </c>
      <c r="AQ38" s="11">
        <f t="shared" si="9"/>
        <v>95.99061749945452</v>
      </c>
      <c r="AR38" s="72">
        <f t="shared" si="37"/>
        <v>73.5</v>
      </c>
      <c r="AS38" s="18">
        <f t="shared" si="38"/>
        <v>254.5</v>
      </c>
    </row>
    <row r="39" spans="1:45" ht="24.75" customHeight="1">
      <c r="A39" s="13" t="s">
        <v>44</v>
      </c>
      <c r="B39" s="47" t="s">
        <v>127</v>
      </c>
      <c r="C39" s="117">
        <v>39.1</v>
      </c>
      <c r="D39" s="44">
        <v>73.8</v>
      </c>
      <c r="E39" s="44">
        <v>65</v>
      </c>
      <c r="F39" s="11">
        <f t="shared" si="39"/>
        <v>88.07588075880759</v>
      </c>
      <c r="G39" s="44">
        <v>69.7</v>
      </c>
      <c r="H39" s="44">
        <v>32.3</v>
      </c>
      <c r="I39" s="75">
        <f t="shared" si="1"/>
        <v>46.34146341463414</v>
      </c>
      <c r="J39" s="44">
        <v>74.9</v>
      </c>
      <c r="K39" s="44">
        <v>80.1</v>
      </c>
      <c r="L39" s="75">
        <f t="shared" si="27"/>
        <v>106.9425901201602</v>
      </c>
      <c r="M39" s="89">
        <f t="shared" si="14"/>
        <v>218.4</v>
      </c>
      <c r="N39" s="89">
        <f t="shared" si="15"/>
        <v>177.39999999999998</v>
      </c>
      <c r="O39" s="11">
        <f t="shared" si="10"/>
        <v>81.22710622710622</v>
      </c>
      <c r="P39" s="44">
        <v>69.1</v>
      </c>
      <c r="Q39" s="44">
        <v>49.2</v>
      </c>
      <c r="R39" s="140">
        <f t="shared" si="28"/>
        <v>71.20115774240232</v>
      </c>
      <c r="S39" s="44">
        <v>64.1</v>
      </c>
      <c r="T39" s="44">
        <v>58.3</v>
      </c>
      <c r="U39" s="140">
        <f t="shared" si="29"/>
        <v>90.95163806552262</v>
      </c>
      <c r="V39" s="44">
        <v>62.5</v>
      </c>
      <c r="W39" s="44">
        <v>59.7</v>
      </c>
      <c r="X39" s="140">
        <f t="shared" si="30"/>
        <v>95.52000000000001</v>
      </c>
      <c r="Y39" s="89">
        <f t="shared" si="31"/>
        <v>195.7</v>
      </c>
      <c r="Z39" s="89">
        <f t="shared" si="32"/>
        <v>167.2</v>
      </c>
      <c r="AA39" s="11">
        <f t="shared" si="33"/>
        <v>85.43689320388349</v>
      </c>
      <c r="AB39" s="44">
        <v>66.1</v>
      </c>
      <c r="AC39" s="44">
        <v>97.6</v>
      </c>
      <c r="AD39" s="140">
        <f t="shared" si="34"/>
        <v>147.65506807866868</v>
      </c>
      <c r="AE39" s="44">
        <v>71.5</v>
      </c>
      <c r="AF39" s="44">
        <v>38.8</v>
      </c>
      <c r="AG39" s="11">
        <f t="shared" si="35"/>
        <v>54.26573426573427</v>
      </c>
      <c r="AH39" s="44">
        <v>103.6</v>
      </c>
      <c r="AI39" s="44">
        <v>104</v>
      </c>
      <c r="AJ39" s="89">
        <f t="shared" si="16"/>
        <v>241.2</v>
      </c>
      <c r="AK39" s="89">
        <f t="shared" si="17"/>
        <v>240.39999999999998</v>
      </c>
      <c r="AL39" s="11">
        <f t="shared" si="36"/>
        <v>99.66832504145935</v>
      </c>
      <c r="AM39" s="44">
        <v>161.5</v>
      </c>
      <c r="AN39" s="44">
        <v>98.9</v>
      </c>
      <c r="AO39" s="72">
        <f t="shared" si="18"/>
        <v>816.8</v>
      </c>
      <c r="AP39" s="72">
        <f t="shared" si="19"/>
        <v>683.9</v>
      </c>
      <c r="AQ39" s="11">
        <f t="shared" si="9"/>
        <v>83.72918707149853</v>
      </c>
      <c r="AR39" s="72">
        <f t="shared" si="37"/>
        <v>132.89999999999998</v>
      </c>
      <c r="AS39" s="18">
        <f t="shared" si="38"/>
        <v>172</v>
      </c>
    </row>
    <row r="40" spans="1:45" ht="24.75" customHeight="1">
      <c r="A40" s="13" t="s">
        <v>45</v>
      </c>
      <c r="B40" s="15" t="s">
        <v>119</v>
      </c>
      <c r="C40" s="108">
        <v>136.6</v>
      </c>
      <c r="D40" s="44">
        <v>102.9</v>
      </c>
      <c r="E40" s="44">
        <v>116.2</v>
      </c>
      <c r="F40" s="11">
        <f t="shared" si="39"/>
        <v>112.9251700680272</v>
      </c>
      <c r="G40" s="44">
        <v>104</v>
      </c>
      <c r="H40" s="44">
        <v>99.3</v>
      </c>
      <c r="I40" s="75">
        <f t="shared" si="1"/>
        <v>95.48076923076923</v>
      </c>
      <c r="J40" s="44">
        <v>127.3</v>
      </c>
      <c r="K40" s="44">
        <v>106.1</v>
      </c>
      <c r="L40" s="75">
        <f t="shared" si="27"/>
        <v>83.34642576590731</v>
      </c>
      <c r="M40" s="89">
        <f t="shared" si="14"/>
        <v>334.2</v>
      </c>
      <c r="N40" s="89">
        <f t="shared" si="15"/>
        <v>321.6</v>
      </c>
      <c r="O40" s="11">
        <f t="shared" si="10"/>
        <v>96.229802513465</v>
      </c>
      <c r="P40" s="44">
        <v>102.7</v>
      </c>
      <c r="Q40" s="44">
        <v>126</v>
      </c>
      <c r="R40" s="140">
        <f t="shared" si="28"/>
        <v>122.68743914313534</v>
      </c>
      <c r="S40" s="44">
        <v>115.4</v>
      </c>
      <c r="T40" s="44">
        <v>95.1</v>
      </c>
      <c r="U40" s="140">
        <f t="shared" si="29"/>
        <v>82.40901213171577</v>
      </c>
      <c r="V40" s="44">
        <v>108.3</v>
      </c>
      <c r="W40" s="44">
        <v>115.1</v>
      </c>
      <c r="X40" s="140">
        <f t="shared" si="30"/>
        <v>106.27885503231764</v>
      </c>
      <c r="Y40" s="89">
        <f t="shared" si="31"/>
        <v>326.40000000000003</v>
      </c>
      <c r="Z40" s="89">
        <f t="shared" si="32"/>
        <v>336.2</v>
      </c>
      <c r="AA40" s="11">
        <f t="shared" si="33"/>
        <v>103.00245098039214</v>
      </c>
      <c r="AB40" s="44">
        <v>105.3</v>
      </c>
      <c r="AC40" s="44">
        <v>108</v>
      </c>
      <c r="AD40" s="140">
        <f t="shared" si="34"/>
        <v>102.56410256410258</v>
      </c>
      <c r="AE40" s="44">
        <v>103.2</v>
      </c>
      <c r="AF40" s="44">
        <v>104.2</v>
      </c>
      <c r="AG40" s="11">
        <f t="shared" si="35"/>
        <v>100.96899224806202</v>
      </c>
      <c r="AH40" s="44">
        <v>115.3</v>
      </c>
      <c r="AI40" s="44">
        <v>105.7</v>
      </c>
      <c r="AJ40" s="89">
        <f t="shared" si="16"/>
        <v>323.8</v>
      </c>
      <c r="AK40" s="89">
        <f t="shared" si="17"/>
        <v>317.9</v>
      </c>
      <c r="AL40" s="11">
        <f t="shared" si="36"/>
        <v>98.17788758492895</v>
      </c>
      <c r="AM40" s="44">
        <v>144.9</v>
      </c>
      <c r="AN40" s="44">
        <v>108.4</v>
      </c>
      <c r="AO40" s="72">
        <f t="shared" si="18"/>
        <v>1129.3000000000002</v>
      </c>
      <c r="AP40" s="72">
        <f t="shared" si="19"/>
        <v>1084.1</v>
      </c>
      <c r="AQ40" s="11">
        <f t="shared" si="9"/>
        <v>95.99752058797483</v>
      </c>
      <c r="AR40" s="72">
        <f t="shared" si="37"/>
        <v>45.20000000000027</v>
      </c>
      <c r="AS40" s="18">
        <f t="shared" si="38"/>
        <v>181.80000000000018</v>
      </c>
    </row>
    <row r="41" spans="1:45" s="12" customFormat="1" ht="24.75" customHeight="1">
      <c r="A41" s="13" t="s">
        <v>46</v>
      </c>
      <c r="B41" s="16" t="s">
        <v>120</v>
      </c>
      <c r="C41" s="83">
        <f>SUM(C42:C42)</f>
        <v>393869.4</v>
      </c>
      <c r="D41" s="18">
        <f>SUM(D42:D42)</f>
        <v>31469</v>
      </c>
      <c r="E41" s="18">
        <f>SUM(E42:E42)</f>
        <v>14311.1</v>
      </c>
      <c r="F41" s="11">
        <f t="shared" si="39"/>
        <v>45.47681845625854</v>
      </c>
      <c r="G41" s="18">
        <f>SUM(G42:G42)</f>
        <v>29817.9</v>
      </c>
      <c r="H41" s="18">
        <f>SUM(H42:H42)</f>
        <v>11600.3</v>
      </c>
      <c r="I41" s="11">
        <f t="shared" si="1"/>
        <v>38.90381281042595</v>
      </c>
      <c r="J41" s="18">
        <f>SUM(J42:J42)</f>
        <v>29213.8</v>
      </c>
      <c r="K41" s="18">
        <f>SUM(K42:K42)</f>
        <v>17417.3</v>
      </c>
      <c r="L41" s="18">
        <f>SUM(L42:L42)</f>
        <v>59.62011104341099</v>
      </c>
      <c r="M41" s="18">
        <f>SUM(M42:M42)</f>
        <v>90500.7</v>
      </c>
      <c r="N41" s="18">
        <f>SUM(N42:N42)</f>
        <v>43328.7</v>
      </c>
      <c r="O41" s="11">
        <f t="shared" si="10"/>
        <v>47.876646257984746</v>
      </c>
      <c r="P41" s="18">
        <f>SUM(P42:P42)</f>
        <v>27736.2</v>
      </c>
      <c r="Q41" s="18">
        <f>SUM(Q42:Q42)</f>
        <v>17344.9</v>
      </c>
      <c r="R41" s="11">
        <f t="shared" si="28"/>
        <v>62.535242751350225</v>
      </c>
      <c r="S41" s="18">
        <f>SUM(S42:S42)</f>
        <v>24287.1</v>
      </c>
      <c r="T41" s="18">
        <f>SUM(T42:T42)</f>
        <v>32591.9</v>
      </c>
      <c r="U41" s="11">
        <f t="shared" si="29"/>
        <v>134.19428420848928</v>
      </c>
      <c r="V41" s="18">
        <f>SUM(V42:V42)</f>
        <v>23123.9</v>
      </c>
      <c r="W41" s="18">
        <f>SUM(W42:W42)</f>
        <v>12472</v>
      </c>
      <c r="X41" s="11">
        <f t="shared" si="30"/>
        <v>53.93553855534749</v>
      </c>
      <c r="Y41" s="18">
        <f>SUM(Y42:Y42)</f>
        <v>75147.20000000001</v>
      </c>
      <c r="Z41" s="18">
        <f>SUM(Z42:Z42)</f>
        <v>62408.8</v>
      </c>
      <c r="AA41" s="11">
        <f t="shared" si="33"/>
        <v>83.04873634679669</v>
      </c>
      <c r="AB41" s="18">
        <f>SUM(AB42:AB42)</f>
        <v>23073</v>
      </c>
      <c r="AC41" s="18">
        <f>SUM(AC42:AC42)</f>
        <v>12377.1</v>
      </c>
      <c r="AD41" s="11">
        <f t="shared" si="34"/>
        <v>53.64321934728904</v>
      </c>
      <c r="AE41" s="18">
        <f>SUM(AE42:AE42)</f>
        <v>26350.5</v>
      </c>
      <c r="AF41" s="18">
        <f>SUM(AF42:AF42)</f>
        <v>12818.1</v>
      </c>
      <c r="AG41" s="11">
        <f t="shared" si="35"/>
        <v>48.644617749188825</v>
      </c>
      <c r="AH41" s="18">
        <f>SUM(AH42:AH42)</f>
        <v>28356.5</v>
      </c>
      <c r="AI41" s="18">
        <f>SUM(AI42:AI42)</f>
        <v>13760.5</v>
      </c>
      <c r="AJ41" s="18">
        <f>SUM(AJ42:AJ42)</f>
        <v>77780</v>
      </c>
      <c r="AK41" s="18">
        <f>SUM(AK42:AK42)</f>
        <v>38955.7</v>
      </c>
      <c r="AL41" s="11">
        <f t="shared" si="36"/>
        <v>50.084469015170995</v>
      </c>
      <c r="AM41" s="18">
        <f>SUM(AM42:AM42)</f>
        <v>32438.2</v>
      </c>
      <c r="AN41" s="18">
        <f>SUM(AN42:AN42)</f>
        <v>13432.4</v>
      </c>
      <c r="AO41" s="140">
        <f>AO42</f>
        <v>275866.10000000003</v>
      </c>
      <c r="AP41" s="140">
        <f>AP42</f>
        <v>158125.6</v>
      </c>
      <c r="AQ41" s="11">
        <f t="shared" si="9"/>
        <v>57.31969241599456</v>
      </c>
      <c r="AR41" s="18">
        <f>SUM(AR42:AR42)</f>
        <v>117740.50000000003</v>
      </c>
      <c r="AS41" s="18">
        <f>SUM(AS42:AS42)</f>
        <v>511609.9</v>
      </c>
    </row>
    <row r="42" spans="1:45" s="12" customFormat="1" ht="21.75" customHeight="1">
      <c r="A42" s="13"/>
      <c r="B42" s="47" t="s">
        <v>121</v>
      </c>
      <c r="C42" s="108">
        <v>393869.4</v>
      </c>
      <c r="D42" s="44">
        <v>31469</v>
      </c>
      <c r="E42" s="44">
        <v>14311.1</v>
      </c>
      <c r="F42" s="11">
        <f t="shared" si="39"/>
        <v>45.47681845625854</v>
      </c>
      <c r="G42" s="44">
        <v>29817.9</v>
      </c>
      <c r="H42" s="44">
        <v>11600.3</v>
      </c>
      <c r="I42" s="11">
        <f t="shared" si="1"/>
        <v>38.90381281042595</v>
      </c>
      <c r="J42" s="44">
        <v>29213.8</v>
      </c>
      <c r="K42" s="44">
        <v>17417.3</v>
      </c>
      <c r="L42" s="11">
        <f t="shared" si="27"/>
        <v>59.62011104341099</v>
      </c>
      <c r="M42" s="89">
        <f t="shared" si="14"/>
        <v>90500.7</v>
      </c>
      <c r="N42" s="89">
        <f t="shared" si="15"/>
        <v>43328.7</v>
      </c>
      <c r="O42" s="11">
        <f t="shared" si="10"/>
        <v>47.876646257984746</v>
      </c>
      <c r="P42" s="44">
        <v>27736.2</v>
      </c>
      <c r="Q42" s="44">
        <v>17344.9</v>
      </c>
      <c r="R42" s="11">
        <f t="shared" si="28"/>
        <v>62.535242751350225</v>
      </c>
      <c r="S42" s="44">
        <v>24287.1</v>
      </c>
      <c r="T42" s="44">
        <v>32591.9</v>
      </c>
      <c r="U42" s="11">
        <f t="shared" si="29"/>
        <v>134.19428420848928</v>
      </c>
      <c r="V42" s="44">
        <v>23123.9</v>
      </c>
      <c r="W42" s="44">
        <v>12472</v>
      </c>
      <c r="X42" s="11">
        <f t="shared" si="30"/>
        <v>53.93553855534749</v>
      </c>
      <c r="Y42" s="89">
        <f>P42+S42+V42</f>
        <v>75147.20000000001</v>
      </c>
      <c r="Z42" s="89">
        <f>Q42+T42+W42</f>
        <v>62408.8</v>
      </c>
      <c r="AA42" s="11">
        <f t="shared" si="33"/>
        <v>83.04873634679669</v>
      </c>
      <c r="AB42" s="44">
        <v>23073</v>
      </c>
      <c r="AC42" s="44">
        <v>12377.1</v>
      </c>
      <c r="AD42" s="11">
        <f t="shared" si="34"/>
        <v>53.64321934728904</v>
      </c>
      <c r="AE42" s="44">
        <v>26350.5</v>
      </c>
      <c r="AF42" s="44">
        <v>12818.1</v>
      </c>
      <c r="AG42" s="11">
        <f>AF42/AE42*100</f>
        <v>48.644617749188825</v>
      </c>
      <c r="AH42" s="44">
        <v>28356.5</v>
      </c>
      <c r="AI42" s="44">
        <v>13760.5</v>
      </c>
      <c r="AJ42" s="89">
        <f>AB42+AE42+AH42</f>
        <v>77780</v>
      </c>
      <c r="AK42" s="89">
        <f>AC42+AF42+AI42</f>
        <v>38955.7</v>
      </c>
      <c r="AL42" s="11">
        <f t="shared" si="36"/>
        <v>50.084469015170995</v>
      </c>
      <c r="AM42" s="44">
        <v>32438.2</v>
      </c>
      <c r="AN42" s="44">
        <v>13432.4</v>
      </c>
      <c r="AO42" s="72">
        <f>M42+Y42+AJ42+AM42</f>
        <v>275866.10000000003</v>
      </c>
      <c r="AP42" s="72">
        <f>N42+Z42+AK42+AN42</f>
        <v>158125.6</v>
      </c>
      <c r="AQ42" s="11">
        <f t="shared" si="9"/>
        <v>57.31969241599456</v>
      </c>
      <c r="AR42" s="72">
        <f t="shared" si="37"/>
        <v>117740.50000000003</v>
      </c>
      <c r="AS42" s="18">
        <f>C42+AO42-AP42</f>
        <v>511609.9</v>
      </c>
    </row>
    <row r="43" spans="1:45" ht="30" customHeight="1">
      <c r="A43" s="13"/>
      <c r="B43" s="16" t="s">
        <v>122</v>
      </c>
      <c r="C43" s="83">
        <f>C41+C7</f>
        <v>397852.30000000005</v>
      </c>
      <c r="D43" s="18">
        <f>D41+D7</f>
        <v>33949.4</v>
      </c>
      <c r="E43" s="18">
        <f>E41+E7</f>
        <v>16506.5</v>
      </c>
      <c r="F43" s="11">
        <f>E43/D43*100</f>
        <v>48.62088873441062</v>
      </c>
      <c r="G43" s="18">
        <f>G7+G41</f>
        <v>32468.300000000003</v>
      </c>
      <c r="H43" s="18">
        <f>H7+H41</f>
        <v>13760.599999999999</v>
      </c>
      <c r="I43" s="11">
        <f t="shared" si="1"/>
        <v>42.38164609788624</v>
      </c>
      <c r="J43" s="18">
        <f>J7+J41</f>
        <v>31848</v>
      </c>
      <c r="K43" s="18">
        <f>K7+K41</f>
        <v>20198.8</v>
      </c>
      <c r="L43" s="18">
        <f>K43/J43*100</f>
        <v>63.42250690781211</v>
      </c>
      <c r="M43" s="18">
        <f>M7+M41</f>
        <v>98265.7</v>
      </c>
      <c r="N43" s="18">
        <f>N7+N41</f>
        <v>50465.899999999994</v>
      </c>
      <c r="O43" s="11">
        <f t="shared" si="10"/>
        <v>51.35657711693907</v>
      </c>
      <c r="P43" s="18">
        <f>P7+P41</f>
        <v>30209.3</v>
      </c>
      <c r="Q43" s="18">
        <f>Q7+Q41</f>
        <v>19429.7</v>
      </c>
      <c r="R43" s="11">
        <f t="shared" si="28"/>
        <v>64.3169487541916</v>
      </c>
      <c r="S43" s="18">
        <f>S7+S41</f>
        <v>26759.5</v>
      </c>
      <c r="T43" s="18">
        <f>T7+T41</f>
        <v>35018</v>
      </c>
      <c r="U43" s="11">
        <f t="shared" si="29"/>
        <v>130.86193688222875</v>
      </c>
      <c r="V43" s="18">
        <f>V7+V41</f>
        <v>25661</v>
      </c>
      <c r="W43" s="18">
        <f>W7+W41</f>
        <v>14731.2</v>
      </c>
      <c r="X43" s="11">
        <f t="shared" si="30"/>
        <v>57.40695997817701</v>
      </c>
      <c r="Y43" s="18">
        <f>Y7+Y41</f>
        <v>82629.80000000002</v>
      </c>
      <c r="Z43" s="18">
        <f>Z7+Z41</f>
        <v>69178.9</v>
      </c>
      <c r="AA43" s="11">
        <f t="shared" si="33"/>
        <v>83.72149030979136</v>
      </c>
      <c r="AB43" s="18">
        <f>AB7+AB41</f>
        <v>25757.4</v>
      </c>
      <c r="AC43" s="18">
        <f>AC7+AC41</f>
        <v>15633.300000000001</v>
      </c>
      <c r="AD43" s="11">
        <f t="shared" si="34"/>
        <v>60.69440238533392</v>
      </c>
      <c r="AE43" s="18">
        <f>AE41+AE7</f>
        <v>28969.2</v>
      </c>
      <c r="AF43" s="18">
        <f>AF41+AF7</f>
        <v>14797.2</v>
      </c>
      <c r="AG43" s="11">
        <f>AF43/AE43*100</f>
        <v>51.07907708877014</v>
      </c>
      <c r="AH43" s="18">
        <f>AH41+AH7</f>
        <v>30850.3</v>
      </c>
      <c r="AI43" s="18">
        <f>AI41+AI7</f>
        <v>15728.9</v>
      </c>
      <c r="AJ43" s="18">
        <f>AJ7+AJ41</f>
        <v>85576.9</v>
      </c>
      <c r="AK43" s="18">
        <f>AK7+AK41</f>
        <v>46159.399999999994</v>
      </c>
      <c r="AL43" s="11">
        <f t="shared" si="36"/>
        <v>53.9390887026756</v>
      </c>
      <c r="AM43" s="18">
        <f>AM41+AM7</f>
        <v>35404.5</v>
      </c>
      <c r="AN43" s="18">
        <f>AN41+AN7</f>
        <v>15832.6</v>
      </c>
      <c r="AO43" s="83">
        <f>AO7+AO41</f>
        <v>301876.9</v>
      </c>
      <c r="AP43" s="83">
        <f>AP7+AP41</f>
        <v>181636.80000000002</v>
      </c>
      <c r="AQ43" s="11">
        <f>AP43/AO43*100</f>
        <v>60.16916166821642</v>
      </c>
      <c r="AR43" s="18">
        <f>AR7+AR41</f>
        <v>120240.10000000003</v>
      </c>
      <c r="AS43" s="18">
        <f>AS7+AS41</f>
        <v>518092.4</v>
      </c>
    </row>
    <row r="44" spans="1:57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25"/>
      <c r="AP44" s="25"/>
      <c r="AQ44" s="86"/>
      <c r="AR44" s="86"/>
      <c r="AS44" s="85"/>
      <c r="AT44" s="85"/>
      <c r="AU44" s="85"/>
      <c r="AV44" s="85"/>
      <c r="AW44" s="85"/>
      <c r="AX44" s="85"/>
      <c r="AY44" s="85"/>
      <c r="AZ44" s="85"/>
      <c r="BA44" s="85"/>
      <c r="BB44" s="46"/>
      <c r="BC44" s="46"/>
      <c r="BD44" s="46"/>
      <c r="BE44" s="46"/>
    </row>
    <row r="45" spans="1:57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34"/>
      <c r="AP45" s="34"/>
      <c r="AQ45" s="61"/>
      <c r="AR45" s="166" t="s">
        <v>137</v>
      </c>
      <c r="AS45" s="167"/>
      <c r="AT45" s="28"/>
      <c r="AU45" s="28"/>
      <c r="AV45" s="28"/>
      <c r="AW45" s="28"/>
      <c r="AX45" s="28"/>
      <c r="AY45" s="27"/>
      <c r="AZ45" s="6"/>
      <c r="BA45" s="6"/>
      <c r="BB45" s="29"/>
      <c r="BC45" s="6"/>
      <c r="BE45" s="6"/>
    </row>
    <row r="46" spans="1:57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40"/>
      <c r="AP46" s="40"/>
      <c r="AQ46" s="41"/>
      <c r="AR46" s="2"/>
      <c r="AS46" s="4" t="s">
        <v>135</v>
      </c>
      <c r="AT46" s="28"/>
      <c r="AU46" s="28"/>
      <c r="AV46" s="28"/>
      <c r="AW46" s="28"/>
      <c r="AX46" s="28"/>
      <c r="AY46" s="27"/>
      <c r="AZ46" s="6"/>
      <c r="BA46" s="6"/>
      <c r="BB46" s="29"/>
      <c r="BC46" s="6"/>
      <c r="BE46" s="6"/>
    </row>
    <row r="47" spans="1:57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H47" s="28"/>
      <c r="AI47" s="28"/>
      <c r="AM47" s="28"/>
      <c r="AN47" s="28"/>
      <c r="AS47" s="2"/>
      <c r="AT47" s="28"/>
      <c r="AU47" s="28"/>
      <c r="AV47" s="28"/>
      <c r="AW47" s="28"/>
      <c r="AX47" s="28"/>
      <c r="AY47" s="27"/>
      <c r="AZ47" s="6"/>
      <c r="BA47" s="6"/>
      <c r="BB47" s="29"/>
      <c r="BC47" s="6"/>
      <c r="BE47" s="6"/>
    </row>
    <row r="48" spans="1:57" ht="24.75" customHeight="1">
      <c r="A48" s="2"/>
      <c r="C48" s="31"/>
      <c r="D48" s="21"/>
      <c r="E48" s="21"/>
      <c r="F48" s="28"/>
      <c r="AE48" s="60"/>
      <c r="AF48" s="60"/>
      <c r="AG48" s="60"/>
      <c r="AH48" s="60"/>
      <c r="AI48" s="60"/>
      <c r="AM48" s="60"/>
      <c r="AN48" s="60"/>
      <c r="AT48" s="129"/>
      <c r="AU48" s="21"/>
      <c r="AV48" s="21"/>
      <c r="AW48" s="21"/>
      <c r="AX48" s="21"/>
      <c r="AY48" s="21"/>
      <c r="AZ48" s="7"/>
      <c r="BA48" s="7"/>
      <c r="BB48" s="32"/>
      <c r="BC48" s="7"/>
      <c r="BE48" s="7"/>
    </row>
    <row r="49" spans="1:46" s="38" customFormat="1" ht="46.5" customHeight="1">
      <c r="A49" s="33"/>
      <c r="B49" s="150" t="s">
        <v>138</v>
      </c>
      <c r="C49" s="150"/>
      <c r="D49" s="150"/>
      <c r="E49" s="150"/>
      <c r="F49" s="150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61"/>
      <c r="AI49" s="61"/>
      <c r="AJ49" s="12"/>
      <c r="AK49" s="12"/>
      <c r="AL49" s="12"/>
      <c r="AM49" s="61"/>
      <c r="AN49" s="61"/>
      <c r="AO49" s="2"/>
      <c r="AP49" s="2"/>
      <c r="AQ49" s="12"/>
      <c r="AR49" s="2"/>
      <c r="AS49" s="2"/>
      <c r="AT49" s="37"/>
    </row>
    <row r="50" spans="1:45" ht="73.5" customHeight="1" hidden="1">
      <c r="A50" s="146" t="s">
        <v>134</v>
      </c>
      <c r="B50" s="146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21"/>
      <c r="AP50" s="21"/>
      <c r="AQ50" s="60"/>
      <c r="AR50" s="21"/>
      <c r="AS50" s="21"/>
    </row>
    <row r="51" spans="2:45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O51" s="21"/>
      <c r="AP51" s="21"/>
      <c r="AQ51" s="60"/>
      <c r="AR51" s="21"/>
      <c r="AS51" s="21"/>
    </row>
    <row r="52" spans="7:45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O52" s="21"/>
      <c r="AP52" s="21"/>
      <c r="AQ52" s="60"/>
      <c r="AR52" s="21"/>
      <c r="AS52" s="21"/>
    </row>
    <row r="53" spans="2:45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O53" s="21"/>
      <c r="AP53" s="21"/>
      <c r="AQ53" s="60"/>
      <c r="AR53" s="21"/>
      <c r="AS53" s="21"/>
    </row>
    <row r="54" spans="2:45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O54" s="21"/>
      <c r="AP54" s="21"/>
      <c r="AQ54" s="60"/>
      <c r="AR54" s="21"/>
      <c r="AS54" s="21"/>
    </row>
    <row r="55" spans="2:45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O55" s="21"/>
      <c r="AP55" s="21"/>
      <c r="AQ55" s="60"/>
      <c r="AR55" s="21"/>
      <c r="AS55" s="21"/>
    </row>
    <row r="56" spans="2:45" ht="18.75">
      <c r="B56" s="123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O56" s="21"/>
      <c r="AP56" s="21"/>
      <c r="AQ56" s="60"/>
      <c r="AR56" s="21"/>
      <c r="AS56" s="21"/>
    </row>
    <row r="57" spans="2:45" ht="18.75">
      <c r="B57" s="123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O57" s="21"/>
      <c r="AP57" s="21"/>
      <c r="AQ57" s="60"/>
      <c r="AR57" s="21"/>
      <c r="AS57" s="21"/>
    </row>
    <row r="58" spans="7:45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O58" s="21"/>
      <c r="AP58" s="21"/>
      <c r="AQ58" s="60"/>
      <c r="AR58" s="21"/>
      <c r="AS58" s="21"/>
    </row>
    <row r="59" spans="7:45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O59" s="21"/>
      <c r="AP59" s="21"/>
      <c r="AQ59" s="60"/>
      <c r="AR59" s="21"/>
      <c r="AS59" s="21"/>
    </row>
    <row r="60" spans="7:45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O60" s="21"/>
      <c r="AP60" s="21"/>
      <c r="AQ60" s="60"/>
      <c r="AR60" s="21"/>
      <c r="AS60" s="21"/>
    </row>
    <row r="61" spans="7:45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O61" s="21"/>
      <c r="AP61" s="21"/>
      <c r="AQ61" s="60"/>
      <c r="AR61" s="21"/>
      <c r="AS61" s="21"/>
    </row>
    <row r="62" spans="7:45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O62" s="21"/>
      <c r="AP62" s="21"/>
      <c r="AQ62" s="60"/>
      <c r="AR62" s="21"/>
      <c r="AS62" s="21"/>
    </row>
    <row r="63" spans="7:45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O63" s="21"/>
      <c r="AP63" s="21"/>
      <c r="AQ63" s="60"/>
      <c r="AR63" s="21"/>
      <c r="AS63" s="21"/>
    </row>
    <row r="64" spans="7:45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O64" s="21"/>
      <c r="AP64" s="21"/>
      <c r="AQ64" s="60"/>
      <c r="AR64" s="21"/>
      <c r="AS64" s="21"/>
    </row>
    <row r="65" spans="7:45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O65" s="21"/>
      <c r="AP65" s="21"/>
      <c r="AQ65" s="60"/>
      <c r="AR65" s="21"/>
      <c r="AS65" s="21"/>
    </row>
    <row r="66" spans="7:45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O66" s="21"/>
      <c r="AP66" s="21"/>
      <c r="AQ66" s="60"/>
      <c r="AR66" s="21"/>
      <c r="AS66" s="21"/>
    </row>
    <row r="67" spans="7:45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O67" s="21"/>
      <c r="AP67" s="21"/>
      <c r="AQ67" s="60"/>
      <c r="AR67" s="21"/>
      <c r="AS67" s="21"/>
    </row>
    <row r="68" spans="7:45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O68" s="21"/>
      <c r="AP68" s="21"/>
      <c r="AQ68" s="60"/>
      <c r="AR68" s="21"/>
      <c r="AS68" s="21"/>
    </row>
    <row r="69" spans="7:45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O69" s="21"/>
      <c r="AP69" s="21"/>
      <c r="AQ69" s="60"/>
      <c r="AR69" s="21"/>
      <c r="AS69" s="21"/>
    </row>
    <row r="70" spans="7:45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O70" s="21"/>
      <c r="AP70" s="21"/>
      <c r="AQ70" s="60"/>
      <c r="AR70" s="21"/>
      <c r="AS70" s="21"/>
    </row>
    <row r="71" spans="7:45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O71" s="21"/>
      <c r="AP71" s="21"/>
      <c r="AQ71" s="60"/>
      <c r="AR71" s="21"/>
      <c r="AS71" s="21"/>
    </row>
    <row r="72" spans="7:45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O72" s="21"/>
      <c r="AP72" s="21"/>
      <c r="AQ72" s="60"/>
      <c r="AR72" s="21"/>
      <c r="AS72" s="21"/>
    </row>
    <row r="73" spans="7:45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O73" s="21"/>
      <c r="AP73" s="21"/>
      <c r="AQ73" s="60"/>
      <c r="AR73" s="21"/>
      <c r="AS73" s="21"/>
    </row>
    <row r="74" spans="7:45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O74" s="21"/>
      <c r="AP74" s="21"/>
      <c r="AQ74" s="60"/>
      <c r="AR74" s="21"/>
      <c r="AS74" s="21"/>
    </row>
    <row r="75" spans="7:45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O75" s="21"/>
      <c r="AP75" s="21"/>
      <c r="AQ75" s="60"/>
      <c r="AR75" s="21"/>
      <c r="AS75" s="21"/>
    </row>
    <row r="76" spans="7:45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O76" s="21"/>
      <c r="AP76" s="21"/>
      <c r="AQ76" s="60"/>
      <c r="AR76" s="21"/>
      <c r="AS76" s="21"/>
    </row>
    <row r="77" spans="7:45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O77" s="21"/>
      <c r="AP77" s="21"/>
      <c r="AQ77" s="60"/>
      <c r="AR77" s="21"/>
      <c r="AS77" s="21"/>
    </row>
    <row r="78" spans="7:45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O78" s="21"/>
      <c r="AP78" s="21"/>
      <c r="AQ78" s="60"/>
      <c r="AR78" s="21"/>
      <c r="AS78" s="21"/>
    </row>
    <row r="79" spans="7:45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O79" s="21"/>
      <c r="AP79" s="21"/>
      <c r="AQ79" s="60"/>
      <c r="AR79" s="21"/>
      <c r="AS79" s="21"/>
    </row>
    <row r="80" spans="7:45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O80" s="21"/>
      <c r="AP80" s="21"/>
      <c r="AQ80" s="60"/>
      <c r="AR80" s="21"/>
      <c r="AS80" s="21"/>
    </row>
    <row r="81" spans="7:45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O81" s="21"/>
      <c r="AP81" s="21"/>
      <c r="AQ81" s="60"/>
      <c r="AR81" s="21"/>
      <c r="AS81" s="21"/>
    </row>
    <row r="82" spans="7:45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O82" s="21"/>
      <c r="AP82" s="21"/>
      <c r="AQ82" s="60"/>
      <c r="AR82" s="21"/>
      <c r="AS82" s="21"/>
    </row>
    <row r="83" spans="7:45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O83" s="21"/>
      <c r="AP83" s="21"/>
      <c r="AQ83" s="60"/>
      <c r="AR83" s="21"/>
      <c r="AS83" s="21"/>
    </row>
    <row r="84" spans="7:45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O84" s="21"/>
      <c r="AP84" s="21"/>
      <c r="AQ84" s="60"/>
      <c r="AR84" s="21"/>
      <c r="AS84" s="21"/>
    </row>
    <row r="85" spans="7:45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O85" s="21"/>
      <c r="AP85" s="21"/>
      <c r="AQ85" s="60"/>
      <c r="AR85" s="21"/>
      <c r="AS85" s="21"/>
    </row>
    <row r="86" spans="7:45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O86" s="21"/>
      <c r="AP86" s="21"/>
      <c r="AQ86" s="60"/>
      <c r="AR86" s="21"/>
      <c r="AS86" s="21"/>
    </row>
    <row r="87" spans="7:45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O87" s="21"/>
      <c r="AP87" s="21"/>
      <c r="AQ87" s="60"/>
      <c r="AR87" s="21"/>
      <c r="AS87" s="21"/>
    </row>
    <row r="88" spans="7:45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O88" s="21"/>
      <c r="AP88" s="21"/>
      <c r="AQ88" s="60"/>
      <c r="AR88" s="21"/>
      <c r="AS88" s="21"/>
    </row>
    <row r="89" spans="7:45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O89" s="21"/>
      <c r="AP89" s="21"/>
      <c r="AQ89" s="60"/>
      <c r="AR89" s="21"/>
      <c r="AS89" s="21"/>
    </row>
    <row r="90" spans="7:45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O90" s="21"/>
      <c r="AP90" s="21"/>
      <c r="AQ90" s="60"/>
      <c r="AR90" s="21"/>
      <c r="AS90" s="21"/>
    </row>
    <row r="91" spans="7:45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O91" s="21"/>
      <c r="AP91" s="21"/>
      <c r="AQ91" s="60"/>
      <c r="AR91" s="21"/>
      <c r="AS91" s="21"/>
    </row>
    <row r="92" spans="7:45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O92" s="21"/>
      <c r="AP92" s="21"/>
      <c r="AQ92" s="60"/>
      <c r="AR92" s="21"/>
      <c r="AS92" s="21"/>
    </row>
    <row r="93" spans="7:45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O93" s="21"/>
      <c r="AP93" s="21"/>
      <c r="AQ93" s="60"/>
      <c r="AR93" s="21"/>
      <c r="AS93" s="21"/>
    </row>
    <row r="94" spans="7:45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O94" s="21"/>
      <c r="AP94" s="21"/>
      <c r="AQ94" s="60"/>
      <c r="AR94" s="21"/>
      <c r="AS94" s="21"/>
    </row>
    <row r="95" spans="7:45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O95" s="21"/>
      <c r="AP95" s="21"/>
      <c r="AQ95" s="60"/>
      <c r="AR95" s="21"/>
      <c r="AS95" s="21"/>
    </row>
  </sheetData>
  <sheetProtection/>
  <mergeCells count="23">
    <mergeCell ref="AR45:AS45"/>
    <mergeCell ref="AR5:AR6"/>
    <mergeCell ref="V5:X5"/>
    <mergeCell ref="AB5:AD5"/>
    <mergeCell ref="I1:AS1"/>
    <mergeCell ref="B2:AS2"/>
    <mergeCell ref="B3:AS3"/>
    <mergeCell ref="B4:F4"/>
    <mergeCell ref="D5:F5"/>
    <mergeCell ref="AH5:AI5"/>
    <mergeCell ref="A50:B50"/>
    <mergeCell ref="B49:F49"/>
    <mergeCell ref="M5:O5"/>
    <mergeCell ref="S5:U5"/>
    <mergeCell ref="P5:R5"/>
    <mergeCell ref="AM5:AN5"/>
    <mergeCell ref="AJ5:AL5"/>
    <mergeCell ref="G5:I5"/>
    <mergeCell ref="AE5:AG5"/>
    <mergeCell ref="J5:L5"/>
    <mergeCell ref="AO5:AQ5"/>
    <mergeCell ref="Y5:AA5"/>
    <mergeCell ref="AS5:AS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2017-11-17T07:57:32Z</cp:lastPrinted>
  <dcterms:created xsi:type="dcterms:W3CDTF">2001-09-14T09:33:50Z</dcterms:created>
  <dcterms:modified xsi:type="dcterms:W3CDTF">2017-11-17T07:57:34Z</dcterms:modified>
  <cp:category/>
  <cp:version/>
  <cp:contentType/>
  <cp:contentStatus/>
</cp:coreProperties>
</file>