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'всього'!$B$2:$AI$44</definedName>
    <definedName name="_xlnm.Print_Area" localSheetId="4">'держ.бюджет'!$A$1:$AI$43</definedName>
    <definedName name="_xlnm.Print_Area" localSheetId="7">'інші'!$A$1:$AI$43</definedName>
    <definedName name="_xlnm.Print_Area" localSheetId="5">'місц.-районн.бюджет'!$A$1:$AI$43</definedName>
    <definedName name="_xlnm.Print_Area" localSheetId="1">'насел.'!$A$1:$AI$43</definedName>
    <definedName name="_xlnm.Print_Area" localSheetId="6">'областной'!$A$1:$AI$43</definedName>
    <definedName name="_xlnm.Print_Area" localSheetId="2">'пільги'!$A$1:$AI$43</definedName>
    <definedName name="_xlnm.Print_Area" localSheetId="3">'субсидії'!$A$1:$AI$43</definedName>
  </definedNames>
  <calcPr fullCalcOnLoad="1"/>
</workbook>
</file>

<file path=xl/sharedStrings.xml><?xml version="1.0" encoding="utf-8"?>
<sst xmlns="http://schemas.openxmlformats.org/spreadsheetml/2006/main" count="976" uniqueCount="158">
  <si>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</si>
  <si>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</si>
  <si>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</si>
  <si>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</si>
  <si>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</si>
  <si>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</si>
  <si>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</si>
  <si>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</si>
  <si>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</si>
  <si>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</si>
  <si>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</si>
  <si>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</si>
  <si>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</si>
  <si>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</si>
  <si>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</si>
  <si>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</si>
  <si>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</si>
  <si>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</si>
  <si>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</si>
  <si>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</si>
  <si>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</si>
  <si>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</si>
  <si>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</si>
  <si>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</si>
  <si>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</si>
  <si>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</si>
  <si>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</si>
  <si>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</si>
  <si>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</si>
  <si>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</si>
  <si>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</si>
  <si>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</si>
  <si>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</si>
  <si>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</si>
  <si>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</si>
  <si>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</si>
  <si>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</si>
  <si>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</si>
  <si>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</si>
  <si>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</si>
  <si>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</si>
  <si>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</si>
  <si>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</si>
  <si>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</si>
  <si>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</si>
  <si>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</si>
  <si>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</si>
  <si>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</si>
  <si>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</si>
  <si>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</si>
  <si>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</si>
  <si>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</si>
  <si>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</si>
  <si>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</si>
  <si>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</si>
  <si>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</si>
  <si>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</si>
  <si>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</si>
  <si>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</si>
  <si>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</si>
  <si>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</si>
  <si>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</si>
  <si>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</si>
  <si>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</si>
  <si>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</si>
  <si>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</si>
  <si>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</si>
  <si>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</si>
  <si>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</si>
  <si>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</si>
  <si>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</si>
  <si>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</si>
  <si>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</si>
  <si>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</si>
  <si>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</si>
  <si>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</si>
  <si>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</si>
  <si>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</si>
  <si>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</si>
  <si>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</si>
  <si>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</si>
  <si>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</si>
  <si>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</si>
  <si>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</si>
  <si>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</si>
  <si>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</si>
  <si>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</si>
  <si>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</si>
  <si>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</si>
  <si>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</si>
  <si>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</si>
  <si>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</si>
  <si>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</si>
  <si>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</si>
  <si>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</si>
  <si>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</si>
  <si>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</si>
  <si>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</si>
  <si>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</si>
  <si>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</si>
  <si>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</si>
  <si>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</si>
  <si>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</si>
  <si>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</si>
  <si>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</si>
  <si>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</si>
  <si>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</si>
  <si>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</si>
  <si>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</si>
  <si>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</si>
  <si>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</si>
  <si>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</si>
  <si>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</si>
  <si>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</si>
  <si>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</si>
  <si>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</si>
  <si>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</si>
  <si>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</si>
  <si>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</si>
  <si>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</si>
  <si>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</si>
  <si>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</si>
  <si>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</si>
  <si>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</si>
  <si>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</si>
  <si>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</si>
  <si>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</si>
  <si>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</si>
  <si>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</si>
  <si>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</si>
  <si>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</si>
  <si>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</si>
  <si>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</si>
  <si>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</si>
  <si>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</si>
  <si>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</si>
  <si>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</si>
  <si>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</si>
  <si>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</si>
  <si>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</si>
  <si>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</si>
  <si>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</si>
  <si>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</si>
  <si>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</si>
  <si>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</si>
  <si>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</si>
  <si>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</si>
  <si>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</si>
  <si>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апрель</t>
  </si>
  <si>
    <t>1 квартал 2017</t>
  </si>
  <si>
    <t>май</t>
  </si>
  <si>
    <t>июнь</t>
  </si>
  <si>
    <t>Печенежский р-н</t>
  </si>
  <si>
    <t>по оплате услуг водоснабжения и водоотведения на 01.08.2017</t>
  </si>
  <si>
    <t>2 квартал 2017</t>
  </si>
  <si>
    <t>июль</t>
  </si>
  <si>
    <t xml:space="preserve">Задолженность за 2017 год по состоянию на 01.08.2017 </t>
  </si>
  <si>
    <t>Общая задолженность на 01.08.2017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</si>
</sst>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3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V53"/>
  <sheetViews>
    <sheetView view="pageBreakPreview" zoomScale="76" zoomScaleNormal="50" zoomScaleSheetLayoutView="76" zoomScalePageLayoutView="0" workbookViewId="0" topLeftCell="B2">
      <pane xSplit="5" ySplit="8" topLeftCell="M40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C29" sqref="C29:AJ29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customWidth="1"/>
    <col min="29" max="29" width="13.00390625" style="12" customWidth="1"/>
    <col min="30" max="30" width="11.00390625" style="12" customWidth="1"/>
    <col min="31" max="32" width="14.625" style="2" customWidth="1"/>
    <col min="33" max="33" width="11.00390625" style="12" customWidth="1"/>
    <col min="34" max="34" width="20.75390625" style="2" customWidth="1"/>
    <col min="35" max="35" width="21.875" style="2" customWidth="1"/>
    <col min="36" max="36" width="14.125" style="2" customWidth="1"/>
    <col min="37" max="37" width="14.375" style="2" customWidth="1"/>
    <col min="38" max="38" width="13.00390625" style="2" bestFit="1" customWidth="1"/>
    <col min="39" max="39" width="13.375" style="2" customWidth="1"/>
    <col min="40" max="16384" width="6.75390625" style="2" customWidth="1"/>
  </cols>
  <sheetData>
    <row r="1" spans="9:35" ht="22.5" customHeight="1" hidden="1"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50"/>
      <c r="AF1" s="150"/>
      <c r="AG1" s="150"/>
      <c r="AH1" s="150"/>
      <c r="AI1" s="150"/>
    </row>
    <row r="2" spans="1:35" s="63" customFormat="1" ht="42" customHeight="1">
      <c r="A2" s="62"/>
      <c r="B2" s="151" t="s">
        <v>85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63" customFormat="1" ht="42" customHeight="1">
      <c r="A3" s="62"/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9.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  <c r="AG4" s="6"/>
      <c r="AH4" s="7"/>
      <c r="AI4" s="5" t="s">
        <v>87</v>
      </c>
    </row>
    <row r="5" spans="1:35" ht="36.7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154</v>
      </c>
      <c r="Z5" s="147"/>
      <c r="AA5" s="148"/>
      <c r="AB5" s="146" t="s">
        <v>155</v>
      </c>
      <c r="AC5" s="147"/>
      <c r="AD5" s="148"/>
      <c r="AE5" s="158" t="s">
        <v>144</v>
      </c>
      <c r="AF5" s="159"/>
      <c r="AG5" s="160"/>
      <c r="AH5" s="161" t="s">
        <v>156</v>
      </c>
      <c r="AI5" s="161" t="s">
        <v>157</v>
      </c>
    </row>
    <row r="6" spans="1:36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162"/>
      <c r="AI6" s="162"/>
      <c r="AJ6" s="19"/>
    </row>
    <row r="7" spans="1:39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11100.900000000009</v>
      </c>
      <c r="D7" s="18">
        <f>'насел.'!D7+пільги!D7+субсидії!D7+'держ.бюджет'!D7+'місц.-районн.бюджет'!D7+областной!D7+інші!D7</f>
        <v>22635.100000000002</v>
      </c>
      <c r="E7" s="18">
        <f>'насел.'!E7+пільги!E7+субсидії!E7+'держ.бюджет'!E7+'місц.-районн.бюджет'!E7+областной!E7+інші!E7</f>
        <v>27292.6</v>
      </c>
      <c r="F7" s="18">
        <f>'насел.'!F7+пільги!F7+субсидії!F7+'держ.бюджет'!F7+'місц.-районн.бюджет'!F7+областной!F7+інші!F7</f>
        <v>808.5603223471496</v>
      </c>
      <c r="G7" s="18">
        <f>'насел.'!G7+пільги!G7+субсидії!G7+'держ.бюджет'!G7+'місц.-районн.бюджет'!G7+областной!G7+інші!G7</f>
        <v>22756.199999999997</v>
      </c>
      <c r="H7" s="18">
        <f>'насел.'!H7+пільги!H7+субсидії!H7+'держ.бюджет'!H7+'місц.-районн.бюджет'!H7+областной!H7+інші!H7</f>
        <v>15674.099999999997</v>
      </c>
      <c r="I7" s="18">
        <f>'насел.'!I7+пільги!I7+субсидії!I7+'держ.бюджет'!I7+'місц.-районн.бюджет'!I7+областной!I7+інші!I7</f>
        <v>801.6522847421259</v>
      </c>
      <c r="J7" s="18">
        <f>'насел.'!J7+пільги!J7+субсидії!J7+'держ.бюджет'!J7+'місц.-районн.бюджет'!J7+областной!J7+інші!J7</f>
        <v>24109.699999999997</v>
      </c>
      <c r="K7" s="18">
        <f>'насел.'!K7+пільги!K7+субсидії!K7+'держ.бюджет'!K7+'місц.-районн.бюджет'!K7+областной!K7+інші!K7</f>
        <v>31517.799999999996</v>
      </c>
      <c r="L7" s="18">
        <f>'насел.'!L7+пільги!L7+субсидії!L7+'держ.бюджет'!L7+'місц.-районн.бюджет'!L7+областной!L7+інші!L7</f>
        <v>1092.3132436099659</v>
      </c>
      <c r="M7" s="18">
        <f>'насел.'!M7+пільги!M7+субсидії!M7+'держ.бюджет'!M7+'місц.-районн.бюджет'!M7+областной!M7+інші!M7</f>
        <v>69500.99999999999</v>
      </c>
      <c r="N7" s="18">
        <f>'насел.'!N7+пільги!N7+субсидії!N7+'держ.бюджет'!N7+'місц.-районн.бюджет'!N7+областной!N7+інші!N7</f>
        <v>74484.5</v>
      </c>
      <c r="O7" s="18">
        <f>'насел.'!O7+пільги!O7+субсидії!O7+'держ.бюджет'!O7+'місц.-районн.бюджет'!O7+областной!O7+інші!O7</f>
        <v>901.6103813779443</v>
      </c>
      <c r="P7" s="18">
        <f>'насел.'!P7+пільги!P7+субсидії!P7+'держ.бюджет'!P7+'місц.-районн.бюджет'!P7+областной!P7+інші!P7</f>
        <v>23314.399999999998</v>
      </c>
      <c r="Q7" s="18">
        <f>'насел.'!Q7+пільги!Q7+субсидії!Q7+'держ.бюджет'!Q7+'місц.-районн.бюджет'!Q7+областной!Q7+інші!Q7</f>
        <v>28480</v>
      </c>
      <c r="R7" s="18">
        <f>'насел.'!R7+пільги!R7+субсидії!R7+'держ.бюджет'!R7+'місц.-районн.бюджет'!R7+областной!R7+інші!R7</f>
        <v>780.7144629781616</v>
      </c>
      <c r="S7" s="18">
        <f>'насел.'!S7+пільги!S7+субсидії!S7+'держ.бюджет'!S7+'місц.-районн.бюджет'!S7+областной!S7+інші!S7</f>
        <v>19554.799999999992</v>
      </c>
      <c r="T7" s="18">
        <f>'насел.'!T7+пільги!T7+субсидії!T7+'держ.бюджет'!T7+'місц.-районн.бюджет'!T7+областной!T7+інші!T7</f>
        <v>14874.000000000002</v>
      </c>
      <c r="U7" s="18">
        <f>'насел.'!U7+пільги!U7+субсидії!U7+'держ.бюджет'!U7+'місц.-районн.бюджет'!U7+областной!U7+інші!U7</f>
        <v>403.67213700492994</v>
      </c>
      <c r="V7" s="18">
        <f>'насел.'!V7+пільги!V7+субсидії!V7+'держ.бюджет'!V7+'місц.-районн.бюджет'!V7+областной!V7+інші!V7</f>
        <v>25447.1</v>
      </c>
      <c r="W7" s="18">
        <f>'насел.'!W7+пільги!W7+субсидії!W7+'держ.бюджет'!W7+'місц.-районн.бюджет'!W7+областной!W7+інші!W7</f>
        <v>19346.700000000004</v>
      </c>
      <c r="X7" s="18">
        <f>'насел.'!X7+пільги!X7+субсидії!X7+'держ.бюджет'!X7+'місц.-районн.бюджет'!X7+областной!X7+інші!X7</f>
        <v>686.8091562521028</v>
      </c>
      <c r="Y7" s="18">
        <f>'насел.'!Y7+пільги!Y7+субсидії!Y7+'держ.бюджет'!Y7+'місц.-районн.бюджет'!Y7+областной!Y7+інші!Y7</f>
        <v>68316.3</v>
      </c>
      <c r="Z7" s="18">
        <f>'насел.'!Z7+пільги!Z7+субсидії!Z7+'держ.бюджет'!Z7+'місц.-районн.бюджет'!Z7+областной!Z7+інші!Z7</f>
        <v>62700.70000000001</v>
      </c>
      <c r="AA7" s="18">
        <f>'насел.'!AA7+пільги!AA7+субсидії!AA7+'держ.бюджет'!AA7+'місц.-районн.бюджет'!AA7+областной!AA7+інші!AA7</f>
        <v>302.4032724738332</v>
      </c>
      <c r="AB7" s="18">
        <f>'насел.'!AB7+пільги!AB7+субсидії!AB7+'держ.бюджет'!AB7+'місц.-районн.бюджет'!AB7+областной!AB7+інші!AB7</f>
        <v>23494.330000000005</v>
      </c>
      <c r="AC7" s="18">
        <f>'насел.'!AC7+пільги!AC7+субсидії!AC7+'держ.бюджет'!AC7+'місц.-районн.бюджет'!AC7+областной!AC7+інші!AC7</f>
        <v>17609.96</v>
      </c>
      <c r="AD7" s="18">
        <f>'насел.'!AD7+пільги!AD7+субсидії!AD7+'держ.бюджет'!AD7+'місц.-районн.бюджет'!AD7+областной!AD7+інші!AD7</f>
        <v>490.3540997216516</v>
      </c>
      <c r="AE7" s="18">
        <f>'насел.'!AE7+пільги!AE7+субсидії!AE7+'держ.бюджет'!AE7+'місц.-районн.бюджет'!AE7+областной!AE7+інші!AE7</f>
        <v>161311.63</v>
      </c>
      <c r="AF7" s="18">
        <f>'насел.'!AF7+пільги!AF7+субсидії!AF7+'держ.бюджет'!AF7+'місц.-районн.бюджет'!AF7+областной!AF7+інші!AF7</f>
        <v>154795.16</v>
      </c>
      <c r="AG7" s="18">
        <f>'насел.'!AG7+пільги!AG7+субсидії!AG7+'держ.бюджет'!AG7+'місц.-районн.бюджет'!AG7+областной!AG7+інші!AG7</f>
        <v>658.4819229994322</v>
      </c>
      <c r="AH7" s="18">
        <f>'насел.'!AH7+пільги!AH7+субсидії!AH7+'держ.бюджет'!AH7+'місц.-районн.бюджет'!AH7+областной!AH7+інші!AH7</f>
        <v>6516.4699999999975</v>
      </c>
      <c r="AI7" s="18">
        <f>'насел.'!AI7+пільги!AI7+субсидії!AI7+'держ.бюджет'!AI7+'місц.-районн.бюджет'!AI7+областной!AI7+інші!AI7</f>
        <v>17617.37</v>
      </c>
      <c r="AJ7" s="48">
        <f>M7+Y7+AB7</f>
        <v>161311.63</v>
      </c>
      <c r="AK7" s="48">
        <f>N7+Z7+AC7</f>
        <v>154795.16</v>
      </c>
      <c r="AL7" s="48">
        <f>AJ7-AK7</f>
        <v>6516.470000000001</v>
      </c>
      <c r="AM7" s="48">
        <f>C7+AJ7-AK7</f>
        <v>17617.370000000024</v>
      </c>
    </row>
    <row r="8" spans="1:35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aca="true" t="shared" si="0" ref="I8:I27">H8/G8*100</f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'насел.'!AF8+пільги!AF8+субсидії!AF8+'держ.бюджет'!AF8+'місц.-районн.бюджет'!AF8+областной!AF8+інші!AF8</f>
        <v>13246.7</v>
      </c>
      <c r="L8" s="11">
        <f aca="true" t="shared" si="1" ref="L8:L28">K8/J8*100</f>
        <v>813.5794128485445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aca="true" t="shared" si="2" ref="O8:O43">N8/M8*100</f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aca="true" t="shared" si="3" ref="R8:R28">Q8/P8*100</f>
        <v>155.13842676878647</v>
      </c>
      <c r="S8" s="18">
        <f>'насел.'!S8+пільги!S8+субсидії!S8+'держ.бюджет'!S8+'місц.-районн.бюджет'!S8+областной!S8+інші!S8</f>
        <v>1644.8999999999999</v>
      </c>
      <c r="T8" s="18">
        <f>'насел.'!T8+пільги!T8+субсидії!T8+'держ.бюджет'!T8+'місц.-районн.бюджет'!T8+областной!T8+інші!T8</f>
        <v>1481.5000000000002</v>
      </c>
      <c r="U8" s="11">
        <f aca="true" t="shared" si="4" ref="U8:U28">T8/S8*100</f>
        <v>90.06626542646971</v>
      </c>
      <c r="V8" s="18">
        <f>'насел.'!V8+пільги!V8+субсидії!V8+'держ.бюджет'!V8+'місц.-районн.бюджет'!V8+областной!V8+інші!V8</f>
        <v>1631.5</v>
      </c>
      <c r="W8" s="18">
        <f>'насел.'!W8+пільги!W8+субсидії!W8+'держ.бюджет'!W8+'місц.-районн.бюджет'!W8+областной!W8+інші!W8</f>
        <v>2099.6</v>
      </c>
      <c r="X8" s="11">
        <f aca="true" t="shared" si="5" ref="X8:X28">W8/V8*100</f>
        <v>128.6913882929819</v>
      </c>
      <c r="Y8" s="18">
        <f>'насел.'!Y8+пільги!Y8+субсидії!Y8+'держ.бюджет'!Y8+'місц.-районн.бюджет'!Y8+областной!Y8+інші!Y8</f>
        <v>4869.299999999999</v>
      </c>
      <c r="Z8" s="18">
        <f>'насел.'!Z8+пільги!Z8+субсидії!Z8+'держ.бюджет'!Z8+'місц.-районн.бюджет'!Z8+областной!Z8+інші!Z8</f>
        <v>6052.300000000001</v>
      </c>
      <c r="AA8" s="11">
        <f aca="true" t="shared" si="6" ref="AA8:AA28">Z8/Y8*100</f>
        <v>124.29507321380902</v>
      </c>
      <c r="AB8" s="18">
        <f>'насел.'!AB8+пільги!AB8+субсидії!AB8+'держ.бюджет'!AB8+'місц.-районн.бюджет'!AB8+областной!AB8+інші!AB8</f>
        <v>1687.6999999999998</v>
      </c>
      <c r="AC8" s="18">
        <f>'насел.'!AC8+пільги!AC8+субсидії!AC8+'держ.бюджет'!AC8+'місц.-районн.бюджет'!AC8+областной!AC8+інші!AC8</f>
        <v>1230.7</v>
      </c>
      <c r="AD8" s="11">
        <f aca="true" t="shared" si="7" ref="AD8:AD28">AC8/AB8*100</f>
        <v>72.92172779522429</v>
      </c>
      <c r="AE8" s="18">
        <f>'насел.'!AE8+пільги!AE8+субсидії!AE8+'держ.бюджет'!AE8+'місц.-районн.бюджет'!AE8+областной!AE8+інші!AE8</f>
        <v>11519.699999999999</v>
      </c>
      <c r="AF8" s="18">
        <f>'насел.'!AF8+пільги!AF8+субсидії!AF8+'держ.бюджет'!AF8+'місц.-районн.бюджет'!AF8+областной!AF8+інші!AF8</f>
        <v>13246.7</v>
      </c>
      <c r="AG8" s="11">
        <f aca="true" t="shared" si="8" ref="AG8:AG27">AF8/AE8*100</f>
        <v>114.99170985355522</v>
      </c>
      <c r="AH8" s="18">
        <f>'насел.'!AH8+пільги!AH8+субсидії!AH8+'держ.бюджет'!AH8+'місц.-районн.бюджет'!AH8+областной!AH8+інші!AH8</f>
        <v>-1727.0000000000005</v>
      </c>
      <c r="AI8" s="141">
        <f>'насел.'!AI8+пільги!AI8+субсидії!AI8+'держ.бюджет'!AI8+'місц.-районн.бюджет'!AI8+областной!AI8+інші!AI8</f>
        <v>-3736.100000000001</v>
      </c>
    </row>
    <row r="9" spans="1:35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9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0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'насел.'!AF9+пільги!AF9+субсидії!AF9+'держ.бюджет'!AF9+'місц.-районн.бюджет'!AF9+областной!AF9+інші!AF9</f>
        <v>2189.7000000000003</v>
      </c>
      <c r="L9" s="11">
        <f t="shared" si="1"/>
        <v>782.3151125401931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2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3"/>
        <v>151.3363028953229</v>
      </c>
      <c r="S9" s="18">
        <f>'насел.'!S9+пільги!S9+субсидії!S9+'держ.бюджет'!S9+'місц.-районн.бюджет'!S9+областной!S9+інші!S9</f>
        <v>272.20000000000005</v>
      </c>
      <c r="T9" s="18">
        <f>'насел.'!T9+пільги!T9+субсидії!T9+'держ.бюджет'!T9+'місц.-районн.бюджет'!T9+областной!T9+інші!T9</f>
        <v>127.9</v>
      </c>
      <c r="U9" s="11">
        <f t="shared" si="4"/>
        <v>46.98750918442322</v>
      </c>
      <c r="V9" s="18">
        <f>'насел.'!V9+пільги!V9+субсидії!V9+'держ.бюджет'!V9+'місц.-районн.бюджет'!V9+областной!V9+інші!V9</f>
        <v>269.7</v>
      </c>
      <c r="W9" s="18">
        <f>'насел.'!W9+пільги!W9+субсидії!W9+'держ.бюджет'!W9+'місц.-районн.бюджет'!W9+областной!W9+інші!W9</f>
        <v>159.1</v>
      </c>
      <c r="X9" s="11">
        <f t="shared" si="5"/>
        <v>58.99147200593252</v>
      </c>
      <c r="Y9" s="18">
        <f>'насел.'!Y9+пільги!Y9+субсидії!Y9+'держ.бюджет'!Y9+'місц.-районн.бюджет'!Y9+областной!Y9+інші!Y9</f>
        <v>811.3</v>
      </c>
      <c r="Z9" s="18">
        <f>'насел.'!Z9+пільги!Z9+субсидії!Z9+'держ.бюджет'!Z9+'місц.-районн.бюджет'!Z9+областной!Z9+інші!Z9</f>
        <v>694.7</v>
      </c>
      <c r="AA9" s="11">
        <f t="shared" si="6"/>
        <v>85.62800443732283</v>
      </c>
      <c r="AB9" s="18">
        <f>'насел.'!AB9+пільги!AB9+субсидії!AB9+'держ.бюджет'!AB9+'місц.-районн.бюджет'!AB9+областной!AB9+інші!AB9</f>
        <v>249.70000000000002</v>
      </c>
      <c r="AC9" s="18">
        <f>'насел.'!AC9+пільги!AC9+субсидії!AC9+'держ.бюджет'!AC9+'місц.-районн.бюджет'!AC9+областной!AC9+інші!AC9</f>
        <v>177.99999999999997</v>
      </c>
      <c r="AD9" s="11">
        <f t="shared" si="7"/>
        <v>71.2855426511814</v>
      </c>
      <c r="AE9" s="18">
        <f>'насел.'!AE9+пільги!AE9+субсидії!AE9+'держ.бюджет'!AE9+'місц.-районн.бюджет'!AE9+областной!AE9+інші!AE9</f>
        <v>1894.5000000000002</v>
      </c>
      <c r="AF9" s="18">
        <f>'насел.'!AF9+пільги!AF9+субсидії!AF9+'держ.бюджет'!AF9+'місц.-районн.бюджет'!AF9+областной!AF9+інші!AF9</f>
        <v>2189.7000000000003</v>
      </c>
      <c r="AG9" s="11">
        <f t="shared" si="8"/>
        <v>115.58194774346792</v>
      </c>
      <c r="AH9" s="18">
        <f>'насел.'!AH9+пільги!AH9+субсидії!AH9+'держ.бюджет'!AH9+'місц.-районн.бюджет'!AH9+областной!AH9+інші!AH9</f>
        <v>-295.20000000000005</v>
      </c>
      <c r="AI9" s="141">
        <f>'насел.'!AI9+пільги!AI9+субсидії!AI9+'держ.бюджет'!AI9+'місц.-районн.бюджет'!AI9+областной!AI9+інші!AI9</f>
        <v>-947.7000000000003</v>
      </c>
    </row>
    <row r="10" spans="1:35" s="173" customFormat="1" ht="27" customHeight="1">
      <c r="A10" s="168" t="s">
        <v>15</v>
      </c>
      <c r="B10" s="169" t="s">
        <v>133</v>
      </c>
      <c r="C10" s="18">
        <f>'насел.'!C10+пільги!C10+субсидії!C10+'держ.бюджет'!C10+'місц.-районн.бюджет'!C10+областной!C10+інші!C10</f>
        <v>-95.60000000000001</v>
      </c>
      <c r="D10" s="170">
        <f>'насел.'!D10+пільги!D10+субсидії!D10+'держ.бюджет'!D10+'місц.-районн.бюджет'!D10+областной!D10+інші!D10</f>
        <v>50.9</v>
      </c>
      <c r="E10" s="170">
        <f>'насел.'!E10+пільги!E10+субсидії!E10+'держ.бюджет'!E10+'місц.-районн.бюджет'!E10+областной!E10+інші!E10</f>
        <v>93.5</v>
      </c>
      <c r="F10" s="171">
        <f t="shared" si="9"/>
        <v>183.69351669941062</v>
      </c>
      <c r="G10" s="170">
        <f>'насел.'!G10+пільги!G10+субсидії!G10+'держ.бюджет'!G10+'місц.-районн.бюджет'!G10+областной!G10+інші!G10</f>
        <v>87.39999999999999</v>
      </c>
      <c r="H10" s="170">
        <f>'насел.'!H10+пільги!H10+субсидії!H10+'держ.бюджет'!H10+'місц.-районн.бюджет'!H10+областной!H10+інші!H10</f>
        <v>23.7</v>
      </c>
      <c r="I10" s="171">
        <f t="shared" si="0"/>
        <v>27.11670480549199</v>
      </c>
      <c r="J10" s="170">
        <f>'насел.'!J10+пільги!J10+субсидії!J10+'держ.бюджет'!J10+'місц.-районн.бюджет'!J10+областной!J10+інші!J10</f>
        <v>84.60000000000001</v>
      </c>
      <c r="K10" s="170">
        <f>'насел.'!AF10+пільги!AF10+субсидії!AF10+'держ.бюджет'!AF10+'місц.-районн.бюджет'!AF10+областной!AF10+інші!AF10</f>
        <v>640.6999999999999</v>
      </c>
      <c r="L10" s="171">
        <f t="shared" si="1"/>
        <v>757.3286052009455</v>
      </c>
      <c r="M10" s="11">
        <f>'насел.'!M10+пільги!M10+субсидії!M10+'держ.бюджет'!M10+'місц.-районн.бюджет'!M10+областной!M10+інші!M10</f>
        <v>222.90000000000003</v>
      </c>
      <c r="N10" s="11">
        <f>'насел.'!N10+пільги!N10+субсидії!N10+'держ.бюджет'!N10+'місц.-районн.бюджет'!N10+областной!N10+інші!N10</f>
        <v>157.3</v>
      </c>
      <c r="O10" s="11">
        <f t="shared" si="2"/>
        <v>70.5697622252131</v>
      </c>
      <c r="P10" s="18">
        <f>'насел.'!P10+пільги!P10+субсидії!P10+'держ.бюджет'!P10+'місц.-районн.бюджет'!P10+областной!P10+інші!P10</f>
        <v>80.00000000000001</v>
      </c>
      <c r="Q10" s="18">
        <f>'насел.'!Q10+пільги!Q10+субсидії!Q10+'держ.бюджет'!Q10+'місц.-районн.бюджет'!Q10+областной!Q10+інші!Q10</f>
        <v>401.49999999999994</v>
      </c>
      <c r="R10" s="141">
        <f t="shared" si="3"/>
        <v>501.87499999999983</v>
      </c>
      <c r="S10" s="18">
        <f>'насел.'!S10+пільги!S10+субсидії!S10+'держ.бюджет'!S10+'місц.-районн.бюджет'!S10+областной!S10+інші!S10</f>
        <v>63.4</v>
      </c>
      <c r="T10" s="18">
        <f>'насел.'!T10+пільги!T10+субсидії!T10+'держ.бюджет'!T10+'місц.-районн.бюджет'!T10+областной!T10+інші!T10</f>
        <v>26.599999999999998</v>
      </c>
      <c r="U10" s="141">
        <f t="shared" si="4"/>
        <v>41.95583596214511</v>
      </c>
      <c r="V10" s="18">
        <f>'насел.'!V10+пільги!V10+субсидії!V10+'держ.бюджет'!V10+'місц.-районн.бюджет'!V10+областной!V10+інші!V10</f>
        <v>312.90000000000003</v>
      </c>
      <c r="W10" s="18">
        <f>'насел.'!W10+пільги!W10+субсидії!W10+'держ.бюджет'!W10+'місц.-районн.бюджет'!W10+областной!W10+інші!W10</f>
        <v>26.2</v>
      </c>
      <c r="X10" s="141">
        <f t="shared" si="5"/>
        <v>8.373282198785553</v>
      </c>
      <c r="Y10" s="18">
        <f>'насел.'!Y10+пільги!Y10+субсидії!Y10+'держ.бюджет'!Y10+'місц.-районн.бюджет'!Y10+областной!Y10+інші!Y10</f>
        <v>456.30000000000007</v>
      </c>
      <c r="Z10" s="18">
        <f>'насел.'!Z10+пільги!Z10+субсидії!Z10+'держ.бюджет'!Z10+'місц.-районн.бюджет'!Z10+областной!Z10+інші!Z10</f>
        <v>454.29999999999995</v>
      </c>
      <c r="AA10" s="11">
        <f t="shared" si="6"/>
        <v>99.56169186938415</v>
      </c>
      <c r="AB10" s="18">
        <f>'насел.'!AB10+пільги!AB10+субсидії!AB10+'держ.бюджет'!AB10+'місц.-районн.бюджет'!AB10+областной!AB10+інші!AB10</f>
        <v>87.6</v>
      </c>
      <c r="AC10" s="18">
        <f>'насел.'!AC10+пільги!AC10+субсидії!AC10+'держ.бюджет'!AC10+'місц.-районн.бюджет'!AC10+областной!AC10+інші!AC10</f>
        <v>29.1</v>
      </c>
      <c r="AD10" s="141">
        <f t="shared" si="7"/>
        <v>33.21917808219179</v>
      </c>
      <c r="AE10" s="18">
        <f>'насел.'!AE10+пільги!AE10+субсидії!AE10+'держ.бюджет'!AE10+'місц.-районн.бюджет'!AE10+областной!AE10+інші!AE10</f>
        <v>766.8</v>
      </c>
      <c r="AF10" s="18">
        <f>'насел.'!AF10+пільги!AF10+субсидії!AF10+'держ.бюджет'!AF10+'місц.-районн.бюджет'!AF10+областной!AF10+інші!AF10</f>
        <v>640.6999999999999</v>
      </c>
      <c r="AG10" s="141">
        <f t="shared" si="8"/>
        <v>83.55503390714658</v>
      </c>
      <c r="AH10" s="172">
        <f>'насел.'!AH10+пільги!AH10+субсидії!AH10+'держ.бюджет'!AH10+'місц.-районн.бюджет'!AH10+областной!AH10+інші!AH10</f>
        <v>126.10000000000008</v>
      </c>
      <c r="AI10" s="141">
        <f>'насел.'!AI10+пільги!AI10+субсидії!AI10+'держ.бюджет'!AI10+'місц.-районн.бюджет'!AI10+областной!AI10+інші!AI10</f>
        <v>30.50000000000013</v>
      </c>
    </row>
    <row r="11" spans="1:35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9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0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'насел.'!AF11+пільги!AF11+субсидії!AF11+'держ.бюджет'!AF11+'місц.-районн.бюджет'!AF11+областной!AF11+інші!AF11</f>
        <v>3007.5999999999995</v>
      </c>
      <c r="L11" s="11">
        <f t="shared" si="1"/>
        <v>503.95442359249324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2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3"/>
        <v>58.38081671415004</v>
      </c>
      <c r="S11" s="18">
        <f>'насел.'!S11+пільги!S11+субсидії!S11+'держ.бюджет'!S11+'місц.-районн.бюджет'!S11+областной!S11+інші!S11</f>
        <v>408.9</v>
      </c>
      <c r="T11" s="18">
        <f>'насел.'!T11+пільги!T11+субсидії!T11+'держ.бюджет'!T11+'місц.-районн.бюджет'!T11+областной!T11+інші!T11</f>
        <v>-255.3</v>
      </c>
      <c r="U11" s="11">
        <f t="shared" si="4"/>
        <v>-62.435803374908296</v>
      </c>
      <c r="V11" s="18">
        <f>'насел.'!V11+пільги!V11+субсидії!V11+'держ.бюджет'!V11+'місц.-районн.бюджет'!V11+областной!V11+інші!V11</f>
        <v>709.1000000000001</v>
      </c>
      <c r="W11" s="18">
        <f>'насел.'!W11+пільги!W11+субсидії!W11+'держ.бюджет'!W11+'місц.-районн.бюджет'!W11+областной!W11+інші!W11</f>
        <v>644.3</v>
      </c>
      <c r="X11" s="11">
        <f t="shared" si="5"/>
        <v>90.86165561979972</v>
      </c>
      <c r="Y11" s="18">
        <f>'насел.'!Y11+пільги!Y11+субсидії!Y11+'держ.бюджет'!Y11+'місц.-районн.бюджет'!Y11+областной!Y11+інші!Y11</f>
        <v>1539.1999999999998</v>
      </c>
      <c r="Z11" s="18">
        <f>'насел.'!Z11+пільги!Z11+субсидії!Z11+'держ.бюджет'!Z11+'місц.-районн.бюджет'!Z11+областной!Z11+інші!Z11</f>
        <v>634.9</v>
      </c>
      <c r="AA11" s="11">
        <f t="shared" si="6"/>
        <v>41.24870062370063</v>
      </c>
      <c r="AB11" s="18">
        <f>'насел.'!AB11+пільги!AB11+субсидії!AB11+'держ.бюджет'!AB11+'місц.-районн.бюджет'!AB11+областной!AB11+інші!AB11</f>
        <v>-424.09999999999997</v>
      </c>
      <c r="AC11" s="18">
        <f>'насел.'!AC11+пільги!AC11+субсидії!AC11+'держ.бюджет'!AC11+'місц.-районн.бюджет'!AC11+областной!AC11+інші!AC11</f>
        <v>191</v>
      </c>
      <c r="AD11" s="11">
        <f t="shared" si="7"/>
        <v>-45.03654798396605</v>
      </c>
      <c r="AE11" s="18">
        <f>'насел.'!AE11+пільги!AE11+субсидії!AE11+'держ.бюджет'!AE11+'місц.-районн.бюджет'!AE11+областной!AE11+інші!AE11</f>
        <v>3078.2999999999993</v>
      </c>
      <c r="AF11" s="18">
        <f>'насел.'!AF11+пільги!AF11+субсидії!AF11+'держ.бюджет'!AF11+'місц.-районн.бюджет'!AF11+областной!AF11+інші!AF11</f>
        <v>3007.5999999999995</v>
      </c>
      <c r="AG11" s="11">
        <f t="shared" si="8"/>
        <v>97.70327778319202</v>
      </c>
      <c r="AH11" s="18">
        <f>'насел.'!AH11+пільги!AH11+субсидії!AH11+'держ.бюджет'!AH11+'місц.-районн.бюджет'!AH11+областной!AH11+інші!AH11</f>
        <v>70.69999999999978</v>
      </c>
      <c r="AI11" s="18">
        <f>'насел.'!AI11+пільги!AI11+субсидії!AI11+'держ.бюджет'!AI11+'місц.-районн.бюджет'!AI11+областной!AI11+інші!AI11</f>
        <v>-485.5000000000003</v>
      </c>
    </row>
    <row r="12" spans="1:35" s="173" customFormat="1" ht="25.5" customHeight="1">
      <c r="A12" s="168" t="s">
        <v>17</v>
      </c>
      <c r="B12" s="174" t="s">
        <v>94</v>
      </c>
      <c r="C12" s="18">
        <f>'насел.'!C12+пільги!C12+субсидії!C12+'держ.бюджет'!C12+'місц.-районн.бюджет'!C12+областной!C12+інші!C12</f>
        <v>51.90000000000005</v>
      </c>
      <c r="D12" s="175">
        <f>'насел.'!D12+пільги!D12+субсидії!D12+'держ.бюджет'!D12+'місц.-районн.бюджет'!D12+областной!D12+інші!D12</f>
        <v>369.29999999999995</v>
      </c>
      <c r="E12" s="175">
        <f>'насел.'!E12+пільги!E12+субсидії!E12+'держ.бюджет'!E12+'місц.-районн.бюджет'!E12+областной!E12+інші!E12</f>
        <v>615.6</v>
      </c>
      <c r="F12" s="64">
        <f t="shared" si="9"/>
        <v>166.693744922827</v>
      </c>
      <c r="G12" s="175">
        <f>'насел.'!G12+пільги!G12+субсидії!G12+'держ.бюджет'!G12+'місц.-районн.бюджет'!G12+областной!G12+інші!G12</f>
        <v>398.40000000000003</v>
      </c>
      <c r="H12" s="175">
        <f>'насел.'!H12+пільги!H12+субсидії!H12+'держ.бюджет'!H12+'місц.-районн.бюджет'!H12+областной!H12+інші!H12</f>
        <v>130.5</v>
      </c>
      <c r="I12" s="64">
        <f t="shared" si="0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75">
        <f>'насел.'!AF12+пільги!AF12+субсидії!AF12+'держ.бюджет'!AF12+'місц.-районн.бюджет'!AF12+областной!AF12+інші!AF12</f>
        <v>2216.7999999999997</v>
      </c>
      <c r="L12" s="64">
        <f t="shared" si="1"/>
        <v>520.2534616287256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2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3"/>
        <v>72.25874867444325</v>
      </c>
      <c r="S12" s="18">
        <f>'насел.'!S12+пільги!S12+субсидії!S12+'держ.бюджет'!S12+'місц.-районн.бюджет'!S12+областной!S12+інші!S12</f>
        <v>-261.8</v>
      </c>
      <c r="T12" s="18">
        <f>'насел.'!T12+пільги!T12+субсидії!T12+'держ.бюджет'!T12+'місц.-районн.бюджет'!T12+областной!T12+інші!T12</f>
        <v>179.3</v>
      </c>
      <c r="U12" s="64">
        <f t="shared" si="4"/>
        <v>-68.4873949579832</v>
      </c>
      <c r="V12" s="18">
        <f>'насел.'!V12+пільги!V12+субсидії!V12+'держ.бюджет'!V12+'місц.-районн.бюджет'!V12+областной!V12+інші!V12</f>
        <v>1006.0999999999999</v>
      </c>
      <c r="W12" s="18">
        <f>'насел.'!W12+пільги!W12+субсидії!W12+'держ.бюджет'!W12+'місц.-районн.бюджет'!W12+областной!W12+інші!W12</f>
        <v>235.3</v>
      </c>
      <c r="X12" s="64">
        <f t="shared" si="5"/>
        <v>23.38733724281881</v>
      </c>
      <c r="Y12" s="18">
        <f>'насел.'!Y12+пільги!Y12+субсидії!Y12+'держ.бюджет'!Y12+'місц.-районн.бюджет'!Y12+областной!Y12+інші!Y12</f>
        <v>1215.7999999999997</v>
      </c>
      <c r="Z12" s="18">
        <f>'насел.'!Z12+пільги!Z12+субсидії!Z12+'держ.бюджет'!Z12+'місц.-районн.бюджет'!Z12+областной!Z12+інші!Z12</f>
        <v>755.3000000000001</v>
      </c>
      <c r="AA12" s="11">
        <f t="shared" si="6"/>
        <v>62.123704556670525</v>
      </c>
      <c r="AB12" s="18">
        <f>'насел.'!AB12+пільги!AB12+субсидії!AB12+'держ.бюджет'!AB12+'місц.-районн.бюджет'!AB12+областной!AB12+інші!AB12</f>
        <v>366.09999999999997</v>
      </c>
      <c r="AC12" s="18">
        <f>'насел.'!AC12+пільги!AC12+субсидії!AC12+'держ.бюджет'!AC12+'місц.-районн.бюджет'!AC12+областной!AC12+інші!AC12</f>
        <v>236.1</v>
      </c>
      <c r="AD12" s="64">
        <f t="shared" si="7"/>
        <v>64.49057634526086</v>
      </c>
      <c r="AE12" s="18">
        <f>'насел.'!AE12+пільги!AE12+субсидії!AE12+'держ.бюджет'!AE12+'місц.-районн.бюджет'!AE12+областной!AE12+інші!AE12</f>
        <v>2775.7</v>
      </c>
      <c r="AF12" s="18">
        <f>'насел.'!AF12+пільги!AF12+субсидії!AF12+'держ.бюджет'!AF12+'місц.-районн.бюджет'!AF12+областной!AF12+інші!AF12</f>
        <v>2216.7999999999997</v>
      </c>
      <c r="AG12" s="64">
        <f t="shared" si="8"/>
        <v>79.86453867492884</v>
      </c>
      <c r="AH12" s="176">
        <f>'насел.'!AH12+пільги!AH12+субсидії!AH12+'держ.бюджет'!AH12+'місц.-районн.бюджет'!AH12+областной!AH12+інші!AH12</f>
        <v>558.8999999999999</v>
      </c>
      <c r="AI12" s="176">
        <f>'насел.'!AI12+пільги!AI12+субсидії!AI12+'держ.бюджет'!AI12+'місц.-районн.бюджет'!AI12+областной!AI12+інші!AI12</f>
        <v>610.8</v>
      </c>
    </row>
    <row r="13" spans="1:35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9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0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'насел.'!AF13+пільги!AF13+субсидії!AF13+'держ.бюджет'!AF13+'місц.-районн.бюджет'!AF13+областной!AF13+інші!AF13</f>
        <v>2690</v>
      </c>
      <c r="L13" s="11">
        <f t="shared" si="1"/>
        <v>648.0366176824863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2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3"/>
        <v>51.26227208976156</v>
      </c>
      <c r="S13" s="18">
        <f>'насел.'!S13+пільги!S13+субсидії!S13+'держ.бюджет'!S13+'місц.-районн.бюджет'!S13+областной!S13+інші!S13</f>
        <v>441.09999999999997</v>
      </c>
      <c r="T13" s="18">
        <f>'насел.'!T13+пільги!T13+субсидії!T13+'держ.бюджет'!T13+'місц.-районн.бюджет'!T13+областной!T13+інші!T13</f>
        <v>242.29999999999998</v>
      </c>
      <c r="U13" s="11">
        <f t="shared" si="4"/>
        <v>54.930854681478124</v>
      </c>
      <c r="V13" s="18">
        <f>'насел.'!V13+пільги!V13+субсидії!V13+'держ.бюджет'!V13+'місц.-районн.бюджет'!V13+областной!V13+інші!V13</f>
        <v>232.2</v>
      </c>
      <c r="W13" s="18">
        <f>'насел.'!W13+пільги!W13+субсидії!W13+'держ.бюджет'!W13+'місц.-районн.бюджет'!W13+областной!W13+інші!W13</f>
        <v>216.40000000000003</v>
      </c>
      <c r="X13" s="11">
        <f t="shared" si="5"/>
        <v>93.19552110249786</v>
      </c>
      <c r="Y13" s="18">
        <f>'насел.'!Y13+пільги!Y13+субсидії!Y13+'держ.бюджет'!Y13+'місц.-районн.бюджет'!Y13+областной!Y13+інші!Y13</f>
        <v>1101.1</v>
      </c>
      <c r="Z13" s="18">
        <f>'насел.'!Z13+пільги!Z13+субсидії!Z13+'держ.бюджет'!Z13+'місц.-районн.бюджет'!Z13+областной!Z13+інші!Z13</f>
        <v>678</v>
      </c>
      <c r="AA13" s="11">
        <f t="shared" si="6"/>
        <v>61.574788847516125</v>
      </c>
      <c r="AB13" s="18">
        <f>'насел.'!AB13+пільги!AB13+субсидії!AB13+'держ.бюджет'!AB13+'місц.-районн.бюджет'!AB13+областной!AB13+інші!AB13</f>
        <v>460.9</v>
      </c>
      <c r="AC13" s="18">
        <f>'насел.'!AC13+пільги!AC13+субсидії!AC13+'держ.бюджет'!AC13+'місц.-районн.бюджет'!AC13+областной!AC13+інші!AC13</f>
        <v>275.09999999999997</v>
      </c>
      <c r="AD13" s="11">
        <f t="shared" si="7"/>
        <v>59.687567802126274</v>
      </c>
      <c r="AE13" s="18">
        <f>'насел.'!AE13+пільги!AE13+субсидії!AE13+'держ.бюджет'!AE13+'місц.-районн.бюджет'!AE13+областной!AE13+інші!AE13</f>
        <v>2810.1</v>
      </c>
      <c r="AF13" s="18">
        <f>'насел.'!AF13+пільги!AF13+субсидії!AF13+'держ.бюджет'!AF13+'місц.-районн.бюджет'!AF13+областной!AF13+інші!AF13</f>
        <v>2690</v>
      </c>
      <c r="AG13" s="11">
        <f t="shared" si="8"/>
        <v>95.7261307426782</v>
      </c>
      <c r="AH13" s="18">
        <f>'насел.'!AH13+пільги!AH13+субсидії!AH13+'держ.бюджет'!AH13+'місц.-районн.бюджет'!AH13+областной!AH13+інші!AH13</f>
        <v>120.09999999999967</v>
      </c>
      <c r="AI13" s="18">
        <f>'насел.'!AI13+пільги!AI13+субсидії!AI13+'держ.бюджет'!AI13+'місц.-районн.бюджет'!AI13+областной!AI13+інші!AI13</f>
        <v>-619.9</v>
      </c>
    </row>
    <row r="14" spans="1:35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9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0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'насел.'!AF14+пільги!AF14+субсидії!AF14+'держ.бюджет'!AF14+'місц.-районн.бюджет'!AF14+областной!AF14+інші!AF14</f>
        <v>1118.3</v>
      </c>
      <c r="L14" s="11">
        <f t="shared" si="1"/>
        <v>692.4458204334366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2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3"/>
        <v>522.1846846846847</v>
      </c>
      <c r="S14" s="18">
        <f>'насел.'!S14+пільги!S14+субсидії!S14+'держ.бюджет'!S14+'місц.-районн.бюджет'!S14+областной!S14+інші!S14</f>
        <v>210.20000000000005</v>
      </c>
      <c r="T14" s="18">
        <f>'насел.'!T14+пільги!T14+субсидії!T14+'держ.бюджет'!T14+'місц.-районн.бюджет'!T14+областной!T14+інші!T14</f>
        <v>76.3</v>
      </c>
      <c r="U14" s="11">
        <f t="shared" si="4"/>
        <v>36.298763082778294</v>
      </c>
      <c r="V14" s="18">
        <f>'насел.'!V14+пільги!V14+субсидії!V14+'держ.бюджет'!V14+'місц.-районн.бюджет'!V14+областной!V14+інші!V14</f>
        <v>139.70000000000002</v>
      </c>
      <c r="W14" s="18">
        <f>'насел.'!W14+пільги!W14+субсидії!W14+'держ.бюджет'!W14+'місц.-районн.бюджет'!W14+областной!W14+інші!W14</f>
        <v>84.10000000000001</v>
      </c>
      <c r="X14" s="11">
        <f t="shared" si="5"/>
        <v>60.20042949176807</v>
      </c>
      <c r="Y14" s="18">
        <f>'насел.'!Y14+пільги!Y14+субсидії!Y14+'держ.бюджет'!Y14+'місц.-районн.бюджет'!Y14+областной!Y14+інші!Y14</f>
        <v>438.7</v>
      </c>
      <c r="Z14" s="18">
        <f>'насел.'!Z14+пільги!Z14+субсидії!Z14+'держ.бюджет'!Z14+'місц.-районн.бюджет'!Z14+областной!Z14+інші!Z14</f>
        <v>624.1</v>
      </c>
      <c r="AA14" s="11">
        <f t="shared" si="6"/>
        <v>142.26122635058127</v>
      </c>
      <c r="AB14" s="18">
        <f>'насел.'!AB14+пільги!AB14+субсидії!AB14+'держ.бюджет'!AB14+'місц.-районн.бюджет'!AB14+областной!AB14+інші!AB14</f>
        <v>163.39999999999998</v>
      </c>
      <c r="AC14" s="18">
        <f>'насел.'!AC14+пільги!AC14+субсидії!AC14+'держ.бюджет'!AC14+'місц.-районн.бюджет'!AC14+областной!AC14+інші!AC14</f>
        <v>80.8</v>
      </c>
      <c r="AD14" s="11">
        <f t="shared" si="7"/>
        <v>49.44920440636476</v>
      </c>
      <c r="AE14" s="18">
        <f>'насел.'!AE14+пільги!AE14+субсидії!AE14+'держ.бюджет'!AE14+'місц.-районн.бюджет'!AE14+областной!AE14+інші!AE14</f>
        <v>1085.8</v>
      </c>
      <c r="AF14" s="18">
        <f>'насел.'!AF14+пільги!AF14+субсидії!AF14+'держ.бюджет'!AF14+'місц.-районн.бюджет'!AF14+областной!AF14+інші!AF14</f>
        <v>1118.3</v>
      </c>
      <c r="AG14" s="11">
        <f t="shared" si="8"/>
        <v>102.99318474857249</v>
      </c>
      <c r="AH14" s="18">
        <f>'насел.'!AH14+пільги!AH14+субсидії!AH14+'держ.бюджет'!AH14+'місц.-районн.бюджет'!AH14+областной!AH14+інші!AH14</f>
        <v>-32.49999999999992</v>
      </c>
      <c r="AI14" s="18">
        <f>'насел.'!AI14+пільги!AI14+субсидії!AI14+'держ.бюджет'!AI14+'місц.-районн.бюджет'!AI14+областной!AI14+інші!AI14</f>
        <v>-393.6999999999999</v>
      </c>
    </row>
    <row r="15" spans="1:35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9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0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'насел.'!AF15+пільги!AF15+субсидії!AF15+'держ.бюджет'!AF15+'місц.-районн.бюджет'!AF15+областной!AF15+інші!AF15</f>
        <v>7120.200000000001</v>
      </c>
      <c r="L15" s="11">
        <f t="shared" si="1"/>
        <v>403.0225844795382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2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1907</v>
      </c>
      <c r="R15" s="11">
        <f t="shared" si="3"/>
        <v>161.82959945689072</v>
      </c>
      <c r="S15" s="18">
        <f>'насел.'!S15+пільги!S15+субсидії!S15+'держ.бюджет'!S15+'місц.-районн.бюджет'!S15+областной!S15+інші!S15</f>
        <v>1305.2999999999997</v>
      </c>
      <c r="T15" s="18">
        <f>'насел.'!T15+пільги!T15+субсидії!T15+'держ.бюджет'!T15+'місц.-районн.бюджет'!T15+областной!T15+інші!T15</f>
        <v>1257.8999999999999</v>
      </c>
      <c r="U15" s="11">
        <f t="shared" si="4"/>
        <v>96.36865088485406</v>
      </c>
      <c r="V15" s="18">
        <f>'насел.'!V15+пільги!V15+субсидії!V15+'держ.бюджет'!V15+'місц.-районн.бюджет'!V15+областной!V15+інші!V15</f>
        <v>1358</v>
      </c>
      <c r="W15" s="18">
        <f>'насел.'!W15+пільги!W15+субсидії!W15+'держ.бюджет'!W15+'місц.-районн.бюджет'!W15+областной!W15+інші!W15</f>
        <v>977.8000000000002</v>
      </c>
      <c r="X15" s="11">
        <f t="shared" si="5"/>
        <v>72.00294550810015</v>
      </c>
      <c r="Y15" s="18">
        <f>'насел.'!Y15+пільги!Y15+субсидії!Y15+'держ.бюджет'!Y15+'місц.-районн.бюджет'!Y15+областной!Y15+інші!Y15</f>
        <v>3841.7000000000003</v>
      </c>
      <c r="Z15" s="18">
        <f>'насел.'!Z15+пільги!Z15+субсидії!Z15+'держ.бюджет'!Z15+'місц.-районн.бюджет'!Z15+областной!Z15+інші!Z15</f>
        <v>4142.7</v>
      </c>
      <c r="AA15" s="11">
        <f t="shared" si="6"/>
        <v>107.83507301455084</v>
      </c>
      <c r="AB15" s="18">
        <f>'насел.'!AB15+пільги!AB15+субсидії!AB15+'держ.бюджет'!AB15+'місц.-районн.бюджет'!AB15+областной!AB15+інші!AB15</f>
        <v>1080.3</v>
      </c>
      <c r="AC15" s="18">
        <f>'насел.'!AC15+пільги!AC15+субсидії!AC15+'держ.бюджет'!AC15+'місц.-районн.бюджет'!AC15+областной!AC15+інші!AC15</f>
        <v>708.6999999999999</v>
      </c>
      <c r="AD15" s="11">
        <f t="shared" si="7"/>
        <v>65.60214755160602</v>
      </c>
      <c r="AE15" s="18">
        <f>'насел.'!AE15+пільги!AE15+субсидії!AE15+'держ.бюджет'!AE15+'місц.-районн.бюджет'!AE15+областной!AE15+інші!AE15</f>
        <v>8007.499999999999</v>
      </c>
      <c r="AF15" s="18">
        <f>'насел.'!AF15+пільги!AF15+субсидії!AF15+'держ.бюджет'!AF15+'місц.-районн.бюджет'!AF15+областной!AF15+інші!AF15</f>
        <v>7120.200000000001</v>
      </c>
      <c r="AG15" s="11">
        <f t="shared" si="8"/>
        <v>88.91913830783642</v>
      </c>
      <c r="AH15" s="18">
        <f>'насел.'!AH15+пільги!AH15+субсидії!AH15+'держ.бюджет'!AH15+'місц.-районн.бюджет'!AH15+областной!AH15+інші!AH15</f>
        <v>887.2999999999998</v>
      </c>
      <c r="AI15" s="18">
        <f>'насел.'!AI15+пільги!AI15+субсидії!AI15+'держ.бюджет'!AI15+'місц.-районн.бюджет'!AI15+областной!AI15+інші!AI15</f>
        <v>794.1999999999998</v>
      </c>
    </row>
    <row r="16" spans="1:35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9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0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'насел.'!AF16+пільги!AF16+субсидії!AF16+'держ.бюджет'!AF16+'місц.-районн.бюджет'!AF16+областной!AF16+інші!AF16</f>
        <v>323.1</v>
      </c>
      <c r="L16" s="11">
        <f t="shared" si="1"/>
        <v>793.857493857494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2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44.3</v>
      </c>
      <c r="R16" s="11">
        <f t="shared" si="3"/>
        <v>111.86868686868688</v>
      </c>
      <c r="S16" s="18">
        <f>'насел.'!S16+пільги!S16+субсидії!S16+'держ.бюджет'!S16+'місц.-районн.бюджет'!S16+областной!S16+інші!S16</f>
        <v>37.699999999999996</v>
      </c>
      <c r="T16" s="18">
        <f>'насел.'!T16+пільги!T16+субсидії!T16+'держ.бюджет'!T16+'місц.-районн.бюджет'!T16+областной!T16+інші!T16</f>
        <v>19.3</v>
      </c>
      <c r="U16" s="11">
        <f t="shared" si="4"/>
        <v>51.19363395225464</v>
      </c>
      <c r="V16" s="18">
        <f>'насел.'!V16+пільги!V16+субсидії!V16+'держ.бюджет'!V16+'місц.-районн.бюджет'!V16+областной!V16+інші!V16</f>
        <v>42.699999999999996</v>
      </c>
      <c r="W16" s="18">
        <f>'насел.'!W16+пільги!W16+субсидії!W16+'держ.бюджет'!W16+'місц.-районн.бюджет'!W16+областной!W16+інші!W16</f>
        <v>76.8</v>
      </c>
      <c r="X16" s="11">
        <f t="shared" si="5"/>
        <v>179.8594847775176</v>
      </c>
      <c r="Y16" s="18">
        <f>'насел.'!Y16+пільги!Y16+субсидії!Y16+'держ.бюджет'!Y16+'місц.-районн.бюджет'!Y16+областной!Y16+інші!Y16</f>
        <v>119.99999999999999</v>
      </c>
      <c r="Z16" s="18">
        <f>'насел.'!Z16+пільги!Z16+субсидії!Z16+'держ.бюджет'!Z16+'місц.-районн.бюджет'!Z16+областной!Z16+інші!Z16</f>
        <v>140.4</v>
      </c>
      <c r="AA16" s="11">
        <f t="shared" si="6"/>
        <v>117.00000000000001</v>
      </c>
      <c r="AB16" s="18">
        <f>'насел.'!AB16+пільги!AB16+субсидії!AB16+'держ.бюджет'!AB16+'місц.-районн.бюджет'!AB16+областной!AB16+інші!AB16</f>
        <v>44.900000000000006</v>
      </c>
      <c r="AC16" s="18">
        <f>'насел.'!AC16+пільги!AC16+субсидії!AC16+'держ.бюджет'!AC16+'місц.-районн.бюджет'!AC16+областной!AC16+інші!AC16</f>
        <v>28.1</v>
      </c>
      <c r="AD16" s="11">
        <f t="shared" si="7"/>
        <v>62.58351893095768</v>
      </c>
      <c r="AE16" s="18">
        <f>'насел.'!AE16+пільги!AE16+субсидії!AE16+'держ.бюджет'!AE16+'місц.-районн.бюджет'!AE16+областной!AE16+інші!AE16</f>
        <v>284</v>
      </c>
      <c r="AF16" s="18">
        <f>'насел.'!AF16+пільги!AF16+субсидії!AF16+'держ.бюджет'!AF16+'місц.-районн.бюджет'!AF16+областной!AF16+інші!AF16</f>
        <v>323.1</v>
      </c>
      <c r="AG16" s="11">
        <f t="shared" si="8"/>
        <v>113.76760563380282</v>
      </c>
      <c r="AH16" s="18">
        <f>'насел.'!AH16+пільги!AH16+субсидії!AH16+'держ.бюджет'!AH16+'місц.-районн.бюджет'!AH16+областной!AH16+інші!AH16</f>
        <v>-39.100000000000044</v>
      </c>
      <c r="AI16" s="18">
        <f>'насел.'!AI16+пільги!AI16+субсидії!AI16+'держ.бюджет'!AI16+'місц.-районн.бюджет'!AI16+областной!AI16+інші!AI16</f>
        <v>-78.40000000000003</v>
      </c>
    </row>
    <row r="17" spans="1:37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1037.7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9"/>
        <v>97.53300568565095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0"/>
        <v>87.53393192733347</v>
      </c>
      <c r="J17" s="14">
        <f>'насел.'!J17+пільги!J17+субсидії!J17+'держ.бюджет'!J17+'місц.-районн.бюджет'!J17+областной!J17+інші!J17</f>
        <v>1255.8</v>
      </c>
      <c r="K17" s="14">
        <f>'насел.'!AF17+пільги!AF17+субсидії!AF17+'держ.бюджет'!AF17+'місц.-районн.бюджет'!AF17+областной!AF17+інші!AF17</f>
        <v>7086.299999999999</v>
      </c>
      <c r="L17" s="11">
        <f t="shared" si="1"/>
        <v>564.2857142857142</v>
      </c>
      <c r="M17" s="11">
        <f>'насел.'!M17+пільги!M17+субсидії!M17+'держ.бюджет'!M17+'місц.-районн.бюджет'!M17+областной!M17+інші!M17</f>
        <v>3251.2999999999997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2"/>
        <v>93.41801740842122</v>
      </c>
      <c r="P17" s="18">
        <f>'насел.'!P17+пільги!P17+субсидії!P17+'держ.бюджет'!P17+'місц.-районн.бюджет'!P17+областной!P17+інші!P17</f>
        <v>1054.1999999999998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3"/>
        <v>101.07190286473158</v>
      </c>
      <c r="S17" s="18">
        <f>'насел.'!S17+пільги!S17+субсидії!S17+'держ.бюджет'!S17+'місц.-районн.бюджет'!S17+областной!S17+інші!S17</f>
        <v>1275.9</v>
      </c>
      <c r="T17" s="18">
        <f>'насел.'!T17+пільги!T17+субсидії!T17+'держ.бюджет'!T17+'місц.-районн.бюджет'!T17+областной!T17+інші!T17</f>
        <v>1095.4000000000003</v>
      </c>
      <c r="U17" s="11">
        <f t="shared" si="4"/>
        <v>85.85312328552396</v>
      </c>
      <c r="V17" s="18">
        <f>'насел.'!V17+пільги!V17+субсидії!V17+'держ.бюджет'!V17+'місц.-районн.бюджет'!V17+областной!V17+інші!V17</f>
        <v>1037.4</v>
      </c>
      <c r="W17" s="18">
        <f>'насел.'!W17+пільги!W17+субсидії!W17+'держ.бюджет'!W17+'місц.-районн.бюджет'!W17+областной!W17+інші!W17</f>
        <v>1150.3999999999999</v>
      </c>
      <c r="X17" s="11">
        <f t="shared" si="5"/>
        <v>110.89261615577404</v>
      </c>
      <c r="Y17" s="18">
        <f>'насел.'!Y17+пільги!Y17+субсидії!Y17+'держ.бюджет'!Y17+'місц.-районн.бюджет'!Y17+областной!Y17+інші!Y17</f>
        <v>3367.5000000000005</v>
      </c>
      <c r="Z17" s="18">
        <f>'насел.'!Z17+пільги!Z17+субсидії!Z17+'держ.бюджет'!Z17+'місц.-районн.бюджет'!Z17+областной!Z17+інші!Z17</f>
        <v>3311.3</v>
      </c>
      <c r="AA17" s="11">
        <f t="shared" si="6"/>
        <v>98.33110616184112</v>
      </c>
      <c r="AB17" s="18">
        <f>'насел.'!AB17+пільги!AB17+субсидії!AB17+'держ.бюджет'!AB17+'місц.-районн.бюджет'!AB17+областной!AB17+інші!AB17</f>
        <v>781.3000000000001</v>
      </c>
      <c r="AC17" s="18">
        <f>'насел.'!AC17+пільги!AC17+субсидії!AC17+'держ.бюджет'!AC17+'місц.-районн.бюджет'!AC17+областной!AC17+інші!AC17</f>
        <v>737.6999999999999</v>
      </c>
      <c r="AD17" s="11">
        <f t="shared" si="7"/>
        <v>94.41955714834249</v>
      </c>
      <c r="AE17" s="18">
        <f>'насел.'!AE17+пільги!AE17+субсидії!AE17+'держ.бюджет'!AE17+'місц.-районн.бюджет'!AE17+областной!AE17+інші!AE17</f>
        <v>7400.099999999999</v>
      </c>
      <c r="AF17" s="18">
        <f>'насел.'!AF17+пільги!AF17+субсидії!AF17+'держ.бюджет'!AF17+'місц.-районн.бюджет'!AF17+областной!AF17+інші!AF17</f>
        <v>7086.299999999999</v>
      </c>
      <c r="AG17" s="11">
        <f t="shared" si="8"/>
        <v>95.75951676328698</v>
      </c>
      <c r="AH17" s="18">
        <f>'насел.'!AH17+пільги!AH17+субсидії!AH17+'держ.бюджет'!AH17+'місц.-районн.бюджет'!AH17+областной!AH17+інші!AH17</f>
        <v>313.79999999999967</v>
      </c>
      <c r="AI17" s="18">
        <f>'насел.'!AI17+пільги!AI17+субсидії!AI17+'держ.бюджет'!AI17+'місц.-районн.бюджет'!AI17+областной!AI17+інші!AI17</f>
        <v>5829.799999999999</v>
      </c>
      <c r="AK17" s="177"/>
    </row>
    <row r="18" spans="1:35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9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0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1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2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3"/>
        <v>290.7116451016635</v>
      </c>
      <c r="S18" s="18">
        <f>'насел.'!S18+пільги!S18+субсидії!S18+'держ.бюджет'!S18+'місц.-районн.бюджет'!S18+областной!S18+інші!S18</f>
        <v>211.9</v>
      </c>
      <c r="T18" s="18">
        <f>'насел.'!T18+пільги!T18+субсидії!T18+'держ.бюджет'!T18+'місц.-районн.бюджет'!T18+областной!T18+інші!T18</f>
        <v>134.5</v>
      </c>
      <c r="U18" s="11">
        <f t="shared" si="4"/>
        <v>63.47333647947144</v>
      </c>
      <c r="V18" s="18">
        <f>'насел.'!V18+пільги!V18+субсидії!V18+'держ.бюджет'!V18+'місц.-районн.бюджет'!V18+областной!V18+інші!V18</f>
        <v>242.9</v>
      </c>
      <c r="W18" s="18">
        <f>'насел.'!W18+пільги!W18+субсидії!W18+'держ.бюджет'!W18+'місц.-районн.бюджет'!W18+областной!W18+інші!W18</f>
        <v>124.69999999999999</v>
      </c>
      <c r="X18" s="11">
        <f t="shared" si="5"/>
        <v>51.33799917661589</v>
      </c>
      <c r="Y18" s="18">
        <f>'насел.'!Y18+пільги!Y18+субсидії!Y18+'держ.бюджет'!Y18+'місц.-районн.бюджет'!Y18+областной!Y18+інші!Y18</f>
        <v>671.1999999999999</v>
      </c>
      <c r="Z18" s="18">
        <f>'насел.'!Z18+пільги!Z18+субсидії!Z18+'держ.бюджет'!Z18+'місц.-районн.бюджет'!Z18+областной!Z18+інші!Z18</f>
        <v>888.3</v>
      </c>
      <c r="AA18" s="11">
        <f t="shared" si="6"/>
        <v>132.3450536352801</v>
      </c>
      <c r="AB18" s="18">
        <f>'насел.'!AB18+пільги!AB18+субсидії!AB18+'держ.бюджет'!AB18+'місц.-районн.бюджет'!AB18+областной!AB18+інші!AB18</f>
        <v>-100.60000000000001</v>
      </c>
      <c r="AC18" s="18">
        <f>'насел.'!AC18+пільги!AC18+субсидії!AC18+'держ.бюджет'!AC18+'місц.-районн.бюджет'!AC18+областной!AC18+інші!AC18</f>
        <v>137.5</v>
      </c>
      <c r="AD18" s="11">
        <f t="shared" si="7"/>
        <v>-136.67992047713716</v>
      </c>
      <c r="AE18" s="18">
        <f>'насел.'!AE18+пільги!AE18+субсидії!AE18+'держ.бюджет'!AE18+'місц.-районн.бюджет'!AE18+областной!AE18+інші!AE18</f>
        <v>1390.5</v>
      </c>
      <c r="AF18" s="18">
        <f>'насел.'!AF18+пільги!AF18+субсидії!AF18+'держ.бюджет'!AF18+'місц.-районн.бюджет'!AF18+областной!AF18+інші!AF18</f>
        <v>1877.0000000000002</v>
      </c>
      <c r="AG18" s="11">
        <f t="shared" si="8"/>
        <v>134.9874145990651</v>
      </c>
      <c r="AH18" s="18">
        <f>'насел.'!AH18+пільги!AH18+субсидії!AH18+'держ.бюджет'!AH18+'місц.-районн.бюджет'!AH18+областной!AH18+інші!AH18</f>
        <v>-486.5</v>
      </c>
      <c r="AI18" s="18">
        <f>'насел.'!AI18+пільги!AI18+субсидії!AI18+'держ.бюджет'!AI18+'місц.-районн.бюджет'!AI18+областной!AI18+інші!AI18</f>
        <v>-106.49999999999993</v>
      </c>
    </row>
    <row r="19" spans="1:35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9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0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'насел.'!AF19+пільги!AF19+субсидії!AF19+'держ.бюджет'!AF19+'місц.-районн.бюджет'!AF19+областной!AF19+інші!AF19</f>
        <v>6246.9</v>
      </c>
      <c r="L19" s="11">
        <f t="shared" si="1"/>
        <v>824.0205777601897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2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3"/>
        <v>131.6501222845634</v>
      </c>
      <c r="S19" s="18">
        <f>'насел.'!S19+пільги!S19+субсидії!S19+'держ.бюджет'!S19+'місц.-районн.бюджет'!S19+областной!S19+інші!S19</f>
        <v>899.8999999999999</v>
      </c>
      <c r="T19" s="18">
        <f>'насел.'!T19+пільги!T19+субсидії!T19+'держ.бюджет'!T19+'місц.-районн.бюджет'!T19+областной!T19+інші!T19</f>
        <v>498.70000000000005</v>
      </c>
      <c r="U19" s="11">
        <f t="shared" si="4"/>
        <v>55.417268585398396</v>
      </c>
      <c r="V19" s="18">
        <f>'насел.'!V19+пільги!V19+субсидії!V19+'держ.бюджет'!V19+'місц.-районн.бюджет'!V19+областной!V19+інші!V19</f>
        <v>1007.5</v>
      </c>
      <c r="W19" s="18">
        <f>'насел.'!W19+пільги!W19+субсидії!W19+'держ.бюджет'!W19+'місц.-районн.бюджет'!W19+областной!W19+інші!W19</f>
        <v>2249.1000000000004</v>
      </c>
      <c r="X19" s="11">
        <f t="shared" si="5"/>
        <v>223.23573200992558</v>
      </c>
      <c r="Y19" s="18">
        <f>'насел.'!Y19+пільги!Y19+субсидії!Y19+'держ.бюджет'!Y19+'місц.-районн.бюджет'!Y19+областной!Y19+інші!Y19</f>
        <v>2602.4999999999995</v>
      </c>
      <c r="Z19" s="18">
        <f>'насел.'!Z19+пільги!Z19+субсидії!Z19+'держ.бюджет'!Z19+'місц.-районн.бюджет'!Z19+областной!Z19+інші!Z19</f>
        <v>3662.9000000000005</v>
      </c>
      <c r="AA19" s="11">
        <f t="shared" si="6"/>
        <v>140.7454370797311</v>
      </c>
      <c r="AB19" s="18">
        <f>'насел.'!AB19+пільги!AB19+субсидії!AB19+'держ.бюджет'!AB19+'місц.-районн.бюджет'!AB19+областной!AB19+інші!AB19</f>
        <v>1011.4000000000001</v>
      </c>
      <c r="AC19" s="18">
        <f>'насел.'!AC19+пільги!AC19+субсидії!AC19+'держ.бюджет'!AC19+'місц.-районн.бюджет'!AC19+областной!AC19+інші!AC19</f>
        <v>901.3000000000001</v>
      </c>
      <c r="AD19" s="11">
        <f t="shared" si="7"/>
        <v>89.11409926834091</v>
      </c>
      <c r="AE19" s="18">
        <f>'насел.'!AE19+пільги!AE19+субсидії!AE19+'держ.бюджет'!AE19+'місц.-районн.бюджет'!AE19+областной!AE19+інші!AE19</f>
        <v>5877.400000000001</v>
      </c>
      <c r="AF19" s="18">
        <f>'насел.'!AF19+пільги!AF19+субсидії!AF19+'держ.бюджет'!AF19+'місц.-районн.бюджет'!AF19+областной!AF19+інші!AF19</f>
        <v>6246.9</v>
      </c>
      <c r="AG19" s="11">
        <f t="shared" si="8"/>
        <v>106.28679348011023</v>
      </c>
      <c r="AH19" s="18">
        <f>'насел.'!AH19+пільги!AH19+субсидії!AH19+'держ.бюджет'!AH19+'місц.-районн.бюджет'!AH19+областной!AH19+інші!AH19</f>
        <v>-369.5</v>
      </c>
      <c r="AI19" s="18">
        <f>'насел.'!AI19+пільги!AI19+субсидії!AI19+'держ.бюджет'!AI19+'місц.-районн.бюджет'!AI19+областной!AI19+інші!AI19</f>
        <v>547.5999999999999</v>
      </c>
    </row>
    <row r="20" spans="1:35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161.89999999999998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9"/>
        <v>172.39036442248306</v>
      </c>
      <c r="G20" s="14">
        <f>'насел.'!G20+пільги!G20+субсидії!G20+'держ.бюджет'!G20+'місц.-районн.бюджет'!G20+областной!G20+інші!G20</f>
        <v>159.39999999999998</v>
      </c>
      <c r="H20" s="14">
        <f>'насел.'!H20+пільги!H20+субсидії!H20+'держ.бюджет'!H20+'місц.-районн.бюджет'!H20+областной!H20+інші!H20</f>
        <v>74.89999999999999</v>
      </c>
      <c r="I20" s="11">
        <f t="shared" si="0"/>
        <v>46.98870765370138</v>
      </c>
      <c r="J20" s="14">
        <f>'насел.'!J20+пільги!J20+субсидії!J20+'держ.бюджет'!J20+'місц.-районн.бюджет'!J20+областной!J20+інші!J20</f>
        <v>165.7</v>
      </c>
      <c r="K20" s="14">
        <f>'насел.'!AF20+пільги!AF20+субсидії!AF20+'держ.бюджет'!AF20+'місц.-районн.бюджет'!AF20+областной!AF20+інші!AF20</f>
        <v>1285.1000000000001</v>
      </c>
      <c r="L20" s="11">
        <f t="shared" si="1"/>
        <v>775.5582377791189</v>
      </c>
      <c r="M20" s="11">
        <f>'насел.'!M20+пільги!M20+субсидії!M20+'держ.бюджет'!M20+'місц.-районн.бюджет'!M20+областной!M20+інші!M20</f>
        <v>487</v>
      </c>
      <c r="N20" s="11">
        <f>'насел.'!N20+пільги!N20+субсидії!N20+'держ.бюджет'!N20+'місц.-районн.бюджет'!N20+областной!N20+інші!N20</f>
        <v>524.8</v>
      </c>
      <c r="O20" s="11">
        <f t="shared" si="2"/>
        <v>107.7618069815195</v>
      </c>
      <c r="P20" s="18">
        <f>'насел.'!P20+пільги!P20+субсидії!P20+'держ.бюджет'!P20+'місц.-районн.бюджет'!P20+областной!P20+інші!P20</f>
        <v>361.2</v>
      </c>
      <c r="Q20" s="18">
        <f>'насел.'!Q20+пільги!Q20+субсидії!Q20+'держ.бюджет'!Q20+'місц.-районн.бюджет'!Q20+областной!Q20+інші!Q20</f>
        <v>311.59999999999997</v>
      </c>
      <c r="R20" s="11">
        <f t="shared" si="3"/>
        <v>86.26799557032115</v>
      </c>
      <c r="S20" s="18">
        <f>'насел.'!S20+пільги!S20+субсидії!S20+'держ.бюджет'!S20+'місц.-районн.бюджет'!S20+областной!S20+інші!S20</f>
        <v>167.99999999999997</v>
      </c>
      <c r="T20" s="18">
        <f>'насел.'!T20+пільги!T20+субсидії!T20+'держ.бюджет'!T20+'місц.-районн.бюджет'!T20+областной!T20+інші!T20</f>
        <v>120.69999999999999</v>
      </c>
      <c r="U20" s="11">
        <f t="shared" si="4"/>
        <v>71.8452380952381</v>
      </c>
      <c r="V20" s="18">
        <f>'насел.'!V20+пільги!V20+субсидії!V20+'держ.бюджет'!V20+'місц.-районн.бюджет'!V20+областной!V20+інші!V20</f>
        <v>201.5</v>
      </c>
      <c r="W20" s="18">
        <f>'насел.'!W20+пільги!W20+субсидії!W20+'держ.бюджет'!W20+'місц.-районн.бюджет'!W20+областной!W20+інші!W20</f>
        <v>192.29999999999998</v>
      </c>
      <c r="X20" s="11">
        <f t="shared" si="5"/>
        <v>95.43424317617865</v>
      </c>
      <c r="Y20" s="18">
        <f>'насел.'!Y20+пільги!Y20+субсидії!Y20+'держ.бюджет'!Y20+'місц.-районн.бюджет'!Y20+областной!Y20+інші!Y20</f>
        <v>730.7</v>
      </c>
      <c r="Z20" s="18">
        <f>'насел.'!Z20+пільги!Z20+субсидії!Z20+'держ.бюджет'!Z20+'місц.-районн.бюджет'!Z20+областной!Z20+інші!Z20</f>
        <v>624.5999999999999</v>
      </c>
      <c r="AA20" s="11">
        <f t="shared" si="6"/>
        <v>85.47967702203366</v>
      </c>
      <c r="AB20" s="18">
        <f>'насел.'!AB20+пільги!AB20+субсидії!AB20+'держ.бюджет'!AB20+'місц.-районн.бюджет'!AB20+областной!AB20+інші!AB20</f>
        <v>291.5</v>
      </c>
      <c r="AC20" s="18">
        <f>'насел.'!AC20+пільги!AC20+субсидії!AC20+'держ.бюджет'!AC20+'місц.-районн.бюджет'!AC20+областной!AC20+інші!AC20</f>
        <v>135.7</v>
      </c>
      <c r="AD20" s="11">
        <f t="shared" si="7"/>
        <v>46.55231560891938</v>
      </c>
      <c r="AE20" s="18">
        <f>'насел.'!AE20+пільги!AE20+субсидії!AE20+'держ.бюджет'!AE20+'місц.-районн.бюджет'!AE20+областной!AE20+інші!AE20</f>
        <v>1509.2000000000003</v>
      </c>
      <c r="AF20" s="18">
        <f>'насел.'!AF20+пільги!AF20+субсидії!AF20+'держ.бюджет'!AF20+'місц.-районн.бюджет'!AF20+областной!AF20+інші!AF20</f>
        <v>1285.1000000000001</v>
      </c>
      <c r="AG20" s="11">
        <f t="shared" si="8"/>
        <v>85.15107341637953</v>
      </c>
      <c r="AH20" s="18">
        <f>'насел.'!AH20+пільги!AH20+субсидії!AH20+'держ.бюджет'!AH20+'місц.-районн.бюджет'!AH20+областной!AH20+інші!AH20</f>
        <v>224.10000000000008</v>
      </c>
      <c r="AI20" s="18">
        <f>'насел.'!AI20+пільги!AI20+субсидії!AI20+'держ.бюджет'!AI20+'місц.-районн.бюджет'!AI20+областной!AI20+інші!AI20</f>
        <v>407.5</v>
      </c>
    </row>
    <row r="21" spans="1:35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9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0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'насел.'!AF21+пільги!AF21+субсидії!AF21+'держ.бюджет'!AF21+'місц.-районн.бюджет'!AF21+областной!AF21+інші!AF21</f>
        <v>184.60000000000002</v>
      </c>
      <c r="L21" s="11">
        <f t="shared" si="1"/>
        <v>432.3185011709602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2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3"/>
        <v>131.0756972111554</v>
      </c>
      <c r="S21" s="18">
        <f>'насел.'!S21+пільги!S21+субсидії!S21+'держ.бюджет'!S21+'місц.-районн.бюджет'!S21+областной!S21+інші!S21</f>
        <v>-45.2</v>
      </c>
      <c r="T21" s="18">
        <f>'насел.'!T21+пільги!T21+субсидії!T21+'держ.бюджет'!T21+'місц.-районн.бюджет'!T21+областной!T21+інші!T21</f>
        <v>11.6</v>
      </c>
      <c r="U21" s="11">
        <f t="shared" si="4"/>
        <v>-25.663716814159287</v>
      </c>
      <c r="V21" s="18">
        <f>'насел.'!V21+пільги!V21+субсидії!V21+'держ.бюджет'!V21+'місц.-районн.бюджет'!V21+областной!V21+інші!V21</f>
        <v>13.3</v>
      </c>
      <c r="W21" s="18">
        <f>'насел.'!W21+пільги!W21+субсидії!W21+'держ.бюджет'!W21+'місц.-районн.бюджет'!W21+областной!W21+інші!W21</f>
        <v>14.900000000000002</v>
      </c>
      <c r="X21" s="11">
        <f t="shared" si="5"/>
        <v>112.03007518796993</v>
      </c>
      <c r="Y21" s="18">
        <f>'насел.'!Y21+пільги!Y21+субсидії!Y21+'держ.бюджет'!Y21+'місц.-районн.бюджет'!Y21+областной!Y21+інші!Y21</f>
        <v>-6.799999999999999</v>
      </c>
      <c r="Z21" s="18">
        <f>'насел.'!Z21+пільги!Z21+субсидії!Z21+'держ.бюджет'!Z21+'місц.-районн.бюджет'!Z21+областной!Z21+інші!Z21</f>
        <v>59.4</v>
      </c>
      <c r="AA21" s="11">
        <f t="shared" si="6"/>
        <v>-873.529411764706</v>
      </c>
      <c r="AB21" s="18">
        <f>'насел.'!AB21+пільги!AB21+субсидії!AB21+'держ.бюджет'!AB21+'місц.-районн.бюджет'!AB21+областной!AB21+інші!AB21</f>
        <v>45.8</v>
      </c>
      <c r="AC21" s="18">
        <f>'насел.'!AC21+пільги!AC21+субсидії!AC21+'держ.бюджет'!AC21+'місц.-районн.бюджет'!AC21+областной!AC21+інші!AC21</f>
        <v>10.7</v>
      </c>
      <c r="AD21" s="11">
        <f t="shared" si="7"/>
        <v>23.362445414847162</v>
      </c>
      <c r="AE21" s="18">
        <f>'насел.'!AE21+пільги!AE21+субсидії!AE21+'держ.бюджет'!AE21+'місц.-районн.бюджет'!AE21+областной!AE21+інші!AE21</f>
        <v>155.60000000000002</v>
      </c>
      <c r="AF21" s="18">
        <f>'насел.'!AF21+пільги!AF21+субсидії!AF21+'держ.бюджет'!AF21+'місц.-районн.бюджет'!AF21+областной!AF21+інші!AF21</f>
        <v>184.60000000000002</v>
      </c>
      <c r="AG21" s="11">
        <f t="shared" si="8"/>
        <v>118.63753213367609</v>
      </c>
      <c r="AH21" s="18">
        <f>'насел.'!AH21+пільги!AH21+субсидії!AH21+'держ.бюджет'!AH21+'місц.-районн.бюджет'!AH21+областной!AH21+інші!AH21</f>
        <v>-28.999999999999975</v>
      </c>
      <c r="AI21" s="18">
        <f>'насел.'!AI21+пільги!AI21+субсидії!AI21+'держ.бюджет'!AI21+'місц.-районн.бюджет'!AI21+областной!AI21+інші!AI21</f>
        <v>34.80000000000003</v>
      </c>
    </row>
    <row r="22" spans="1:35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9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0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'насел.'!AF22+пільги!AF22+субсидії!AF22+'держ.бюджет'!AF22+'місц.-районн.бюджет'!AF22+областной!AF22+інші!AF22</f>
        <v>1520.6999999999998</v>
      </c>
      <c r="L22" s="11">
        <f t="shared" si="1"/>
        <v>426.4441951766685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2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3"/>
        <v>113.37325349301395</v>
      </c>
      <c r="S22" s="18">
        <f>'насел.'!S22+пільги!S22+субсидії!S22+'держ.бюджет'!S22+'місц.-районн.бюджет'!S22+областной!S22+інші!S22</f>
        <v>-147.40000000000003</v>
      </c>
      <c r="T22" s="18">
        <f>'насел.'!T22+пільги!T22+субсидії!T22+'держ.бюджет'!T22+'місц.-районн.бюджет'!T22+областной!T22+інші!T22</f>
        <v>165.6</v>
      </c>
      <c r="U22" s="11">
        <f t="shared" si="4"/>
        <v>-112.34735413839888</v>
      </c>
      <c r="V22" s="18">
        <f>'насел.'!V22+пільги!V22+субсидії!V22+'держ.бюджет'!V22+'місц.-районн.бюджет'!V22+областной!V22+інші!V22</f>
        <v>276.3</v>
      </c>
      <c r="W22" s="18">
        <f>'насел.'!W22+пільги!W22+субсидії!W22+'держ.бюджет'!W22+'місц.-районн.бюджет'!W22+областной!W22+інші!W22</f>
        <v>95.19999999999999</v>
      </c>
      <c r="X22" s="11">
        <f t="shared" si="5"/>
        <v>34.4553022077452</v>
      </c>
      <c r="Y22" s="18">
        <f>'насел.'!Y22+пільги!Y22+субсидії!Y22+'держ.бюджет'!Y22+'місц.-районн.бюджет'!Y22+областной!Y22+інші!Y22</f>
        <v>429.49999999999994</v>
      </c>
      <c r="Z22" s="18">
        <f>'насел.'!Z22+пільги!Z22+субсидії!Z22+'держ.бюджет'!Z22+'місц.-районн.бюджет'!Z22+областной!Z22+інші!Z22</f>
        <v>601.5999999999999</v>
      </c>
      <c r="AA22" s="11">
        <f t="shared" si="6"/>
        <v>140.069848661234</v>
      </c>
      <c r="AB22" s="18">
        <f>'насел.'!AB22+пільги!AB22+субсидії!AB22+'держ.бюджет'!AB22+'місц.-районн.бюджет'!AB22+областной!AB22+інші!AB22</f>
        <v>207.69999999999996</v>
      </c>
      <c r="AC22" s="18">
        <f>'насел.'!AC22+пільги!AC22+субсидії!AC22+'держ.бюджет'!AC22+'місц.-районн.бюджет'!AC22+областной!AC22+інші!AC22</f>
        <v>134.79999999999998</v>
      </c>
      <c r="AD22" s="11">
        <f t="shared" si="7"/>
        <v>64.90129995185364</v>
      </c>
      <c r="AE22" s="18">
        <f>'насел.'!AE22+пільги!AE22+субсидії!AE22+'держ.бюджет'!AE22+'місц.-районн.бюджет'!AE22+областной!AE22+інші!AE22</f>
        <v>1516.7</v>
      </c>
      <c r="AF22" s="18">
        <f>'насел.'!AF22+пільги!AF22+субсидії!AF22+'держ.бюджет'!AF22+'місц.-районн.бюджет'!AF22+областной!AF22+інші!AF22</f>
        <v>1520.6999999999998</v>
      </c>
      <c r="AG22" s="11">
        <f t="shared" si="8"/>
        <v>100.26373046746224</v>
      </c>
      <c r="AH22" s="18">
        <f>'насел.'!AH22+пільги!AH22+субсидії!AH22+'держ.бюджет'!AH22+'місц.-районн.бюджет'!AH22+областной!AH22+інші!AH22</f>
        <v>-3.9999999999999254</v>
      </c>
      <c r="AI22" s="18">
        <f>'насел.'!AI22+пільги!AI22+субсидії!AI22+'держ.бюджет'!AI22+'місц.-районн.бюджет'!AI22+областной!AI22+інші!AI22</f>
        <v>652.5000000000002</v>
      </c>
    </row>
    <row r="23" spans="1:35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9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0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'насел.'!AF23+пільги!AF23+субсидії!AF23+'держ.бюджет'!AF23+'місц.-районн.бюджет'!AF23+областной!AF23+інші!AF23</f>
        <v>323.59999999999997</v>
      </c>
      <c r="L23" s="11">
        <f t="shared" si="1"/>
        <v>911.5492957746477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2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3"/>
        <v>237.46701846965706</v>
      </c>
      <c r="S23" s="18">
        <f>'насел.'!S23+пільги!S23+субсидії!S23+'держ.бюджет'!S23+'місц.-районн.бюджет'!S23+областной!S23+інші!S23</f>
        <v>40.300000000000004</v>
      </c>
      <c r="T23" s="18">
        <f>'насел.'!T23+пільги!T23+субсидії!T23+'держ.бюджет'!T23+'місц.-районн.бюджет'!T23+областной!T23+інші!T23</f>
        <v>26.1</v>
      </c>
      <c r="U23" s="11">
        <f t="shared" si="4"/>
        <v>64.76426799007444</v>
      </c>
      <c r="V23" s="18">
        <f>'насел.'!V23+пільги!V23+субсидії!V23+'держ.бюджет'!V23+'місц.-районн.бюджет'!V23+областной!V23+інші!V23</f>
        <v>41.7</v>
      </c>
      <c r="W23" s="18">
        <f>'насел.'!W23+пільги!W23+субсидії!W23+'держ.бюджет'!W23+'місц.-районн.бюджет'!W23+областной!W23+інші!W23</f>
        <v>26.9</v>
      </c>
      <c r="X23" s="11">
        <f t="shared" si="5"/>
        <v>64.5083932853717</v>
      </c>
      <c r="Y23" s="18">
        <f>'насел.'!Y23+пільги!Y23+субсидії!Y23+'держ.бюджет'!Y23+'місц.-районн.бюджет'!Y23+областной!Y23+інші!Y23</f>
        <v>119.9</v>
      </c>
      <c r="Z23" s="18">
        <f>'насел.'!Z23+пільги!Z23+субсидії!Z23+'держ.бюджет'!Z23+'місц.-районн.бюджет'!Z23+областной!Z23+інші!Z23</f>
        <v>143</v>
      </c>
      <c r="AA23" s="11">
        <f t="shared" si="6"/>
        <v>119.26605504587155</v>
      </c>
      <c r="AB23" s="18">
        <f>'насел.'!AB23+пільги!AB23+субсидії!AB23+'держ.бюджет'!AB23+'місц.-районн.бюджет'!AB23+областной!AB23+інші!AB23</f>
        <v>41.4</v>
      </c>
      <c r="AC23" s="18">
        <f>'насел.'!AC23+пільги!AC23+субсидії!AC23+'держ.бюджет'!AC23+'місц.-районн.бюджет'!AC23+областной!AC23+інші!AC23</f>
        <v>34.3</v>
      </c>
      <c r="AD23" s="11">
        <f t="shared" si="7"/>
        <v>82.85024154589371</v>
      </c>
      <c r="AE23" s="18">
        <f>'насел.'!AE23+пільги!AE23+субсидії!AE23+'держ.бюджет'!AE23+'місц.-районн.бюджет'!AE23+областной!AE23+інші!AE23</f>
        <v>271.20000000000005</v>
      </c>
      <c r="AF23" s="18">
        <f>'насел.'!AF23+пільги!AF23+субсидії!AF23+'держ.бюджет'!AF23+'місц.-районн.бюджет'!AF23+областной!AF23+інші!AF23</f>
        <v>323.59999999999997</v>
      </c>
      <c r="AG23" s="11">
        <f t="shared" si="8"/>
        <v>119.3215339233038</v>
      </c>
      <c r="AH23" s="18">
        <f>'насел.'!AH23+пільги!AH23+субсидії!AH23+'держ.бюджет'!AH23+'місц.-районн.бюджет'!AH23+областной!AH23+інші!AH23</f>
        <v>-52.39999999999999</v>
      </c>
      <c r="AI23" s="18">
        <f>'насел.'!AI23+пільги!AI23+субсидії!AI23+'держ.бюджет'!AI23+'місц.-районн.бюджет'!AI23+областной!AI23+інші!AI23</f>
        <v>-59.1</v>
      </c>
    </row>
    <row r="24" spans="1:35" ht="27" customHeight="1">
      <c r="A24" s="13" t="s">
        <v>29</v>
      </c>
      <c r="B24" s="15" t="s">
        <v>105</v>
      </c>
      <c r="C24" s="18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9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0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'насел.'!AF24+пільги!AF24+субсидії!AF24+'держ.бюджет'!AF24+'місц.-районн.бюджет'!AF24+областной!AF24+інші!AF24</f>
        <v>10383.399999999998</v>
      </c>
      <c r="L24" s="11">
        <f t="shared" si="1"/>
        <v>647.7075665897323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2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3"/>
        <v>69.03392936121816</v>
      </c>
      <c r="S24" s="18">
        <f>'насел.'!S24+пільги!S24+субсидії!S24+'держ.бюджет'!S24+'місц.-районн.бюджет'!S24+областной!S24+інші!S24</f>
        <v>1558.1000000000001</v>
      </c>
      <c r="T24" s="18">
        <f>'насел.'!T24+пільги!T24+субсидії!T24+'держ.бюджет'!T24+'місц.-районн.бюджет'!T24+областной!T24+інші!T24</f>
        <v>970.7</v>
      </c>
      <c r="U24" s="11">
        <f t="shared" si="4"/>
        <v>62.30023746871189</v>
      </c>
      <c r="V24" s="18">
        <f>'насел.'!V24+пільги!V24+субсидії!V24+'держ.бюджет'!V24+'місц.-районн.бюджет'!V24+областной!V24+інші!V24</f>
        <v>1618.5</v>
      </c>
      <c r="W24" s="18">
        <f>'насел.'!W24+пільги!W24+субсидії!W24+'держ.бюджет'!W24+'місц.-районн.бюджет'!W24+областной!W24+інші!W24</f>
        <v>1391.1</v>
      </c>
      <c r="X24" s="11">
        <f t="shared" si="5"/>
        <v>85.94995366079704</v>
      </c>
      <c r="Y24" s="18">
        <f>'насел.'!Y24+пільги!Y24+субсидії!Y24+'держ.бюджет'!Y24+'місц.-районн.бюджет'!Y24+областной!Y24+інші!Y24</f>
        <v>4759.299999999999</v>
      </c>
      <c r="Z24" s="18">
        <f>'насел.'!Z24+пільги!Z24+субсидії!Z24+'держ.бюджет'!Z24+'місц.-районн.бюджет'!Z24+областной!Z24+інші!Z24</f>
        <v>3454.3999999999996</v>
      </c>
      <c r="AA24" s="11">
        <f t="shared" si="6"/>
        <v>72.58210241001828</v>
      </c>
      <c r="AB24" s="18">
        <f>'насел.'!AB24+пільги!AB24+субсидії!AB24+'держ.бюджет'!AB24+'місц.-районн.бюджет'!AB24+областной!AB24+інші!AB24</f>
        <v>1528.7999999999997</v>
      </c>
      <c r="AC24" s="18">
        <f>'насел.'!AC24+пільги!AC24+субсидії!AC24+'держ.бюджет'!AC24+'місц.-районн.бюджет'!AC24+областной!AC24+інші!AC24</f>
        <v>1206.6</v>
      </c>
      <c r="AD24" s="11">
        <f t="shared" si="7"/>
        <v>78.92464678178965</v>
      </c>
      <c r="AE24" s="18">
        <f>'насел.'!AE24+пільги!AE24+субсидії!AE24+'держ.бюджет'!AE24+'місц.-районн.бюджет'!AE24+областной!AE24+інші!AE24</f>
        <v>11054.399999999998</v>
      </c>
      <c r="AF24" s="18">
        <f>'насел.'!AF24+пільги!AF24+субсидії!AF24+'держ.бюджет'!AF24+'місц.-районн.бюджет'!AF24+областной!AF24+інші!AF24</f>
        <v>10383.399999999998</v>
      </c>
      <c r="AG24" s="11">
        <f t="shared" si="8"/>
        <v>93.93001881603705</v>
      </c>
      <c r="AH24" s="18">
        <f>'насел.'!AH24+пільги!AH24+субсидії!AH24+'держ.бюджет'!AH24+'місц.-районн.бюджет'!AH24+областной!AH24+інші!AH24</f>
        <v>671.0000000000002</v>
      </c>
      <c r="AI24" s="18">
        <f>'насел.'!AI24+пільги!AI24+субсидії!AI24+'держ.бюджет'!AI24+'місц.-районн.бюджет'!AI24+областной!AI24+інші!AI24</f>
        <v>1388.0000000000007</v>
      </c>
    </row>
    <row r="25" spans="1:35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9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0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'насел.'!AF25+пільги!AF25+субсидії!AF25+'держ.бюджет'!AF25+'місц.-районн.бюджет'!AF25+областной!AF25+інші!AF25</f>
        <v>1979</v>
      </c>
      <c r="L25" s="11">
        <f t="shared" si="1"/>
        <v>583.9480672764828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2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3"/>
        <v>60.73738680465718</v>
      </c>
      <c r="S25" s="18">
        <f>'насел.'!S25+пільги!S25+субсидії!S25+'держ.бюджет'!S25+'місц.-районн.бюджет'!S25+областной!S25+інші!S25</f>
        <v>319.79999999999995</v>
      </c>
      <c r="T25" s="18">
        <f>'насел.'!T25+пільги!T25+субсидії!T25+'держ.бюджет'!T25+'місц.-районн.бюджет'!T25+областной!T25+інші!T25</f>
        <v>168.5</v>
      </c>
      <c r="U25" s="11">
        <f t="shared" si="4"/>
        <v>52.68918073796124</v>
      </c>
      <c r="V25" s="18">
        <f>'насел.'!V25+пільги!V25+субсидії!V25+'держ.бюджет'!V25+'місц.-районн.бюджет'!V25+областной!V25+інші!V25</f>
        <v>312.8</v>
      </c>
      <c r="W25" s="18">
        <f>'насел.'!W25+пільги!W25+субсидії!W25+'держ.бюджет'!W25+'місц.-районн.бюджет'!W25+областной!W25+інші!W25</f>
        <v>350.90000000000003</v>
      </c>
      <c r="X25" s="11">
        <f t="shared" si="5"/>
        <v>112.18030690537084</v>
      </c>
      <c r="Y25" s="18">
        <f>'насел.'!Y25+пільги!Y25+субсидії!Y25+'держ.бюджет'!Y25+'місц.-районн.бюджет'!Y25+областной!Y25+інші!Y25</f>
        <v>941.7999999999998</v>
      </c>
      <c r="Z25" s="18">
        <f>'насел.'!Z25+пільги!Z25+субсидії!Z25+'держ.бюджет'!Z25+'місц.-районн.бюджет'!Z25+областной!Z25+інші!Z25</f>
        <v>707.1999999999999</v>
      </c>
      <c r="AA25" s="11">
        <f t="shared" si="6"/>
        <v>75.09025270758123</v>
      </c>
      <c r="AB25" s="18">
        <f>'насел.'!AB25+пільги!AB25+субсидії!AB25+'держ.бюджет'!AB25+'місц.-районн.бюджет'!AB25+областной!AB25+інші!AB25</f>
        <v>329.3</v>
      </c>
      <c r="AC25" s="18">
        <f>'насел.'!AC25+пільги!AC25+субсидії!AC25+'держ.бюджет'!AC25+'місц.-районн.бюджет'!AC25+областной!AC25+інші!AC25</f>
        <v>219.9</v>
      </c>
      <c r="AD25" s="11">
        <f t="shared" si="7"/>
        <v>66.77801396902521</v>
      </c>
      <c r="AE25" s="18">
        <f>'насел.'!AE25+пільги!AE25+субсидії!AE25+'держ.бюджет'!AE25+'місц.-районн.бюджет'!AE25+областной!AE25+інші!AE25</f>
        <v>2222</v>
      </c>
      <c r="AF25" s="18">
        <f>'насел.'!AF25+пільги!AF25+субсидії!AF25+'держ.бюджет'!AF25+'місц.-районн.бюджет'!AF25+областной!AF25+інші!AF25</f>
        <v>1979</v>
      </c>
      <c r="AG25" s="11">
        <f t="shared" si="8"/>
        <v>89.06390639063908</v>
      </c>
      <c r="AH25" s="18">
        <f>'насел.'!AH25+пільги!AH25+субсидії!AH25+'держ.бюджет'!AH25+'місц.-районн.бюджет'!AH25+областной!AH25+інші!AH25</f>
        <v>242.99999999999997</v>
      </c>
      <c r="AI25" s="18">
        <f>'насел.'!AI25+пільги!AI25+субсидії!AI25+'держ.бюджет'!AI25+'місц.-районн.бюджет'!AI25+областной!AI25+інші!AI25</f>
        <v>39.700000000000024</v>
      </c>
    </row>
    <row r="26" spans="1:35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9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0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'насел.'!AF26+пільги!AF26+субсидії!AF26+'держ.бюджет'!AF26+'місц.-районн.бюджет'!AF26+областной!AF26+інші!AF26</f>
        <v>149.2</v>
      </c>
      <c r="L26" s="11">
        <f t="shared" si="1"/>
        <v>469.18238993710685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2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3"/>
        <v>168.8976377952756</v>
      </c>
      <c r="S26" s="18">
        <f>'насел.'!S26+пільги!S26+субсидії!S26+'держ.бюджет'!S26+'місц.-районн.бюджет'!S26+областной!S26+інші!S26</f>
        <v>19.000000000000004</v>
      </c>
      <c r="T26" s="18">
        <f>'насел.'!T26+пільги!T26+субсидії!T26+'держ.бюджет'!T26+'місц.-районн.бюджет'!T26+областной!T26+інші!T26</f>
        <v>12.299999999999999</v>
      </c>
      <c r="U26" s="11">
        <f t="shared" si="4"/>
        <v>64.73684210526314</v>
      </c>
      <c r="V26" s="18">
        <f>'насел.'!V26+пільги!V26+субсидії!V26+'держ.бюджет'!V26+'місц.-районн.бюджет'!V26+областной!V26+інші!V26</f>
        <v>-4.000000000000002</v>
      </c>
      <c r="W26" s="18">
        <f>'насел.'!W26+пільги!W26+субсидії!W26+'держ.бюджет'!W26+'місц.-районн.бюджет'!W26+областной!W26+інші!W26</f>
        <v>15.2</v>
      </c>
      <c r="X26" s="11">
        <f t="shared" si="5"/>
        <v>-379.99999999999983</v>
      </c>
      <c r="Y26" s="18">
        <f>'насел.'!Y26+пільги!Y26+субсидії!Y26+'держ.бюджет'!Y26+'місц.-районн.бюджет'!Y26+областной!Y26+інші!Y26</f>
        <v>40.400000000000006</v>
      </c>
      <c r="Z26" s="18">
        <f>'насел.'!Z26+пільги!Z26+субсидії!Z26+'держ.бюджет'!Z26+'місц.-районн.бюджет'!Z26+областной!Z26+інші!Z26</f>
        <v>70.39999999999999</v>
      </c>
      <c r="AA26" s="11">
        <f t="shared" si="6"/>
        <v>174.2574257425742</v>
      </c>
      <c r="AB26" s="18">
        <f>'насел.'!AB26+пільги!AB26+субсидії!AB26+'держ.бюджет'!AB26+'місц.-районн.бюджет'!AB26+областной!AB26+інші!AB26</f>
        <v>27.6</v>
      </c>
      <c r="AC26" s="18">
        <f>'насел.'!AC26+пільги!AC26+субсидії!AC26+'держ.бюджет'!AC26+'місц.-районн.бюджет'!AC26+областной!AC26+інші!AC26</f>
        <v>13.399999999999999</v>
      </c>
      <c r="AD26" s="11">
        <f t="shared" si="7"/>
        <v>48.55072463768116</v>
      </c>
      <c r="AE26" s="18">
        <f>'насел.'!AE26+пільги!AE26+субсидії!AE26+'держ.бюджет'!AE26+'місц.-районн.бюджет'!AE26+областной!AE26+інші!AE26</f>
        <v>164</v>
      </c>
      <c r="AF26" s="18">
        <f>'насел.'!AF26+пільги!AF26+субсидії!AF26+'держ.бюджет'!AF26+'місц.-районн.бюджет'!AF26+областной!AF26+інші!AF26</f>
        <v>149.2</v>
      </c>
      <c r="AG26" s="11">
        <f t="shared" si="8"/>
        <v>90.97560975609755</v>
      </c>
      <c r="AH26" s="18">
        <f>'насел.'!AH26+пільги!AH26+субсидії!AH26+'держ.бюджет'!AH26+'місц.-районн.бюджет'!AH26+областной!AH26+інші!AH26</f>
        <v>14.799999999999994</v>
      </c>
      <c r="AI26" s="18">
        <f>'насел.'!AI26+пільги!AI26+субсидії!AI26+'держ.бюджет'!AI26+'місц.-районн.бюджет'!AI26+областной!AI26+інші!AI26</f>
        <v>112.4</v>
      </c>
    </row>
    <row r="27" spans="1:35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9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0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'насел.'!AF27+пільги!AF27+субсидії!AF27+'держ.бюджет'!AF27+'місц.-районн.бюджет'!AF27+областной!AF27+інші!AF27</f>
        <v>3421.5</v>
      </c>
      <c r="L27" s="11">
        <f t="shared" si="1"/>
        <v>629.1835233541744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2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3"/>
        <v>25.119780971937033</v>
      </c>
      <c r="S27" s="18">
        <f>'насел.'!S27+пільги!S27+субсидії!S27+'держ.бюджет'!S27+'місц.-районн.бюджет'!S27+областной!S27+інші!S27</f>
        <v>475.89999999999986</v>
      </c>
      <c r="T27" s="18">
        <f>'насел.'!T27+пільги!T27+субсидії!T27+'держ.бюджет'!T27+'місц.-районн.бюджет'!T27+областной!T27+інші!T27</f>
        <v>709.2000000000002</v>
      </c>
      <c r="U27" s="11">
        <f t="shared" si="4"/>
        <v>149.02290397142264</v>
      </c>
      <c r="V27" s="18">
        <f>'насел.'!V27+пільги!V27+субсидії!V27+'держ.бюджет'!V27+'місц.-районн.бюджет'!V27+областной!V27+інші!V27</f>
        <v>459.59999999999997</v>
      </c>
      <c r="W27" s="18">
        <f>'насел.'!W27+пільги!W27+субсидії!W27+'держ.бюджет'!W27+'місц.-районн.бюджет'!W27+областной!W27+інші!W27</f>
        <v>286</v>
      </c>
      <c r="X27" s="11">
        <f t="shared" si="5"/>
        <v>62.228024369016545</v>
      </c>
      <c r="Y27" s="18">
        <f>'насел.'!Y27+пільги!Y27+субсидії!Y27+'держ.бюджет'!Y27+'місц.-районн.бюджет'!Y27+областной!Y27+інші!Y27</f>
        <v>1519.8999999999999</v>
      </c>
      <c r="Z27" s="18">
        <f>'насел.'!Z27+пільги!Z27+субсидії!Z27+'держ.бюджет'!Z27+'місц.-районн.бюджет'!Z27+областной!Z27+інші!Z27</f>
        <v>1141.9999999999998</v>
      </c>
      <c r="AA27" s="11">
        <f t="shared" si="6"/>
        <v>75.13652213961444</v>
      </c>
      <c r="AB27" s="18">
        <f>'насел.'!AB27+пільги!AB27+субсидії!AB27+'держ.бюджет'!AB27+'місц.-районн.бюджет'!AB27+областной!AB27+інші!AB27</f>
        <v>612.3000000000001</v>
      </c>
      <c r="AC27" s="18">
        <f>'насел.'!AC27+пільги!AC27+субсидії!AC27+'держ.бюджет'!AC27+'місц.-районн.бюджет'!AC27+областной!AC27+інші!AC27</f>
        <v>197.1</v>
      </c>
      <c r="AD27" s="11">
        <f t="shared" si="7"/>
        <v>32.19010289073983</v>
      </c>
      <c r="AE27" s="18">
        <f>'насел.'!AE27+пільги!AE27+субсидії!AE27+'держ.бюджет'!AE27+'місц.-районн.бюджет'!AE27+областной!AE27+інші!AE27</f>
        <v>3638.7999999999997</v>
      </c>
      <c r="AF27" s="18">
        <f>'насел.'!AF27+пільги!AF27+субсидії!AF27+'держ.бюджет'!AF27+'місц.-районн.бюджет'!AF27+областной!AF27+інші!AF27</f>
        <v>3421.5</v>
      </c>
      <c r="AG27" s="11">
        <f t="shared" si="8"/>
        <v>94.02825107178191</v>
      </c>
      <c r="AH27" s="18">
        <f>'насел.'!AH27+пільги!AH27+субсидії!AH27+'держ.бюджет'!AH27+'місц.-районн.бюджет'!AH27+областной!AH27+інші!AH27</f>
        <v>217.2999999999995</v>
      </c>
      <c r="AI27" s="18">
        <f>'насел.'!AI27+пільги!AI27+субсидії!AI27+'держ.бюджет'!AI27+'місц.-районн.бюджет'!AI27+областной!AI27+інші!AI27</f>
        <v>-254.50000000000023</v>
      </c>
    </row>
    <row r="28" spans="1:35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238.60000000000002</v>
      </c>
      <c r="E28" s="14">
        <f>'насел.'!E28+пільги!E28+субсидії!E28+'держ.бюджет'!E28+'місц.-районн.бюджет'!E28+областной!E28+інші!E28</f>
        <v>226.5</v>
      </c>
      <c r="F28" s="11">
        <f t="shared" si="9"/>
        <v>94.9287510477787</v>
      </c>
      <c r="G28" s="14">
        <f>'насел.'!G28+пільги!G28+субсидії!G28+'держ.бюджет'!G28+'місц.-районн.бюджет'!G28+областной!G28+інші!G28</f>
        <v>273.29999999999995</v>
      </c>
      <c r="H28" s="14">
        <f>'насел.'!H28+пільги!H28+субсидії!H28+'держ.бюджет'!H28+'місц.-районн.бюджет'!H28+областной!H28+інші!H28</f>
        <v>211.29999999999998</v>
      </c>
      <c r="I28" s="11">
        <f aca="true" t="shared" si="10" ref="I28:I39">H28/G28*100</f>
        <v>77.31430662275888</v>
      </c>
      <c r="J28" s="14">
        <f>'насел.'!J28+пільги!J28+субсидії!J28+'держ.бюджет'!J28+'місц.-районн.бюджет'!J28+областной!J28+інші!J28</f>
        <v>347.70000000000005</v>
      </c>
      <c r="K28" s="14">
        <f>'насел.'!K28+пільги!K28+субсидії!K28+'держ.бюджет'!K28+'місц.-районн.бюджет'!K28+областной!K28+інші!K28</f>
        <v>463</v>
      </c>
      <c r="L28" s="11">
        <f t="shared" si="1"/>
        <v>133.1607707794075</v>
      </c>
      <c r="M28" s="11">
        <f>'насел.'!M28+пільги!M28+субсидії!M28+'держ.бюджет'!M28+'місц.-районн.бюджет'!M28+областной!M28+інші!M28</f>
        <v>859.6</v>
      </c>
      <c r="N28" s="11">
        <f>'насел.'!N28+пільги!N28+субсидії!N28+'держ.бюджет'!N28+'місц.-районн.бюджет'!N28+областной!N28+інші!N28</f>
        <v>900.8</v>
      </c>
      <c r="O28" s="11">
        <f t="shared" si="2"/>
        <v>104.79292694276407</v>
      </c>
      <c r="P28" s="18">
        <f>'насел.'!P28+пільги!P28+субсидії!P28+'держ.бюджет'!P28+'місц.-районн.бюджет'!P28+областной!P28+інші!P28</f>
        <v>312.6</v>
      </c>
      <c r="Q28" s="18">
        <f>'насел.'!Q28+пільги!Q28+субсидії!Q28+'держ.бюджет'!Q28+'місц.-районн.бюджет'!Q28+областной!Q28+інші!Q28</f>
        <v>388.5</v>
      </c>
      <c r="R28" s="11">
        <f t="shared" si="3"/>
        <v>124.28023032629558</v>
      </c>
      <c r="S28" s="18">
        <f>'насел.'!S28+пільги!S28+субсидії!S28+'держ.бюджет'!S28+'місц.-районн.бюджет'!S28+областной!S28+інші!S28</f>
        <v>286.6</v>
      </c>
      <c r="T28" s="18">
        <f>'насел.'!T28+пільги!T28+субсидії!T28+'держ.бюджет'!T28+'місц.-районн.бюджет'!T28+областной!T28+інші!T28</f>
        <v>444.6</v>
      </c>
      <c r="U28" s="11">
        <f t="shared" si="4"/>
        <v>155.129099790649</v>
      </c>
      <c r="V28" s="18">
        <f>'насел.'!V28+пільги!V28+субсидії!V28+'держ.бюджет'!V28+'місц.-районн.бюджет'!V28+областной!V28+інші!V28</f>
        <v>343.1</v>
      </c>
      <c r="W28" s="18">
        <f>'насел.'!W28+пільги!W28+субсидії!W28+'держ.бюджет'!W28+'місц.-районн.бюджет'!W28+областной!W28+інші!W28</f>
        <v>228</v>
      </c>
      <c r="X28" s="11">
        <f t="shared" si="5"/>
        <v>66.45292917516758</v>
      </c>
      <c r="Y28" s="18">
        <f>'насел.'!Y28+пільги!Y28+субсидії!Y28+'держ.бюджет'!Y28+'місц.-районн.бюджет'!Y28+областной!Y28+інші!Y28</f>
        <v>942.3000000000001</v>
      </c>
      <c r="Z28" s="18">
        <f>'насел.'!Z28+пільги!Z28+субсидії!Z28+'держ.бюджет'!Z28+'місц.-районн.бюджет'!Z28+областной!Z28+інші!Z28</f>
        <v>1061.1</v>
      </c>
      <c r="AA28" s="11">
        <f t="shared" si="6"/>
        <v>112.6074498567335</v>
      </c>
      <c r="AB28" s="18">
        <f>'насел.'!AB28+пільги!AB28+субсидії!AB28+'держ.бюджет'!AB28+'місц.-районн.бюджет'!AB28+областной!AB28+інші!AB28</f>
        <v>293.2</v>
      </c>
      <c r="AC28" s="18">
        <f>'насел.'!AC28+пільги!AC28+субсидії!AC28+'держ.бюджет'!AC28+'місц.-районн.бюджет'!AC28+областной!AC28+інші!AC28</f>
        <v>256.5</v>
      </c>
      <c r="AD28" s="11">
        <f t="shared" si="7"/>
        <v>87.48294679399727</v>
      </c>
      <c r="AE28" s="18">
        <f>'насел.'!AE28+пільги!AE28+субсидії!AE28+'держ.бюджет'!AE28+'місц.-районн.бюджет'!AE28+областной!AE28+інші!AE28</f>
        <v>2095.1</v>
      </c>
      <c r="AF28" s="18">
        <f>'насел.'!AF28+пільги!AF28+субсидії!AF28+'держ.бюджет'!AF28+'місц.-районн.бюджет'!AF28+областной!AF28+інші!AF28</f>
        <v>2218.4</v>
      </c>
      <c r="AG28" s="11">
        <f aca="true" t="shared" si="11" ref="AG28:AG39">AF28/AE28*100</f>
        <v>105.88516061285857</v>
      </c>
      <c r="AH28" s="18">
        <f>'насел.'!AH28+пільги!AH28+субсидії!AH28+'держ.бюджет'!AH28+'місц.-районн.бюджет'!AH28+областной!AH28+інші!AH28</f>
        <v>-123.30000000000004</v>
      </c>
      <c r="AI28" s="18">
        <f>'насел.'!AI28+пільги!AI28+субсидії!AI28+'держ.бюджет'!AI28+'місц.-районн.бюджет'!AI28+областной!AI28+інші!AI28</f>
        <v>86.29999999999993</v>
      </c>
    </row>
    <row r="29" spans="1:35" ht="27" customHeight="1">
      <c r="A29" s="13" t="s">
        <v>34</v>
      </c>
      <c r="B29" s="65" t="s">
        <v>110</v>
      </c>
      <c r="C29" s="18"/>
      <c r="D29" s="66"/>
      <c r="E29" s="66"/>
      <c r="F29" s="66"/>
      <c r="G29" s="66"/>
      <c r="H29" s="66"/>
      <c r="I29" s="66"/>
      <c r="J29" s="14"/>
      <c r="K29" s="66"/>
      <c r="L29" s="66"/>
      <c r="M29" s="11"/>
      <c r="N29" s="11"/>
      <c r="O29" s="11"/>
      <c r="P29" s="18"/>
      <c r="Q29" s="18"/>
      <c r="R29" s="66"/>
      <c r="S29" s="18"/>
      <c r="T29" s="18"/>
      <c r="U29" s="66"/>
      <c r="V29" s="18"/>
      <c r="W29" s="18"/>
      <c r="X29" s="66"/>
      <c r="Y29" s="18"/>
      <c r="Z29" s="18"/>
      <c r="AA29" s="11"/>
      <c r="AB29" s="18"/>
      <c r="AC29" s="18"/>
      <c r="AD29" s="66"/>
      <c r="AE29" s="18"/>
      <c r="AF29" s="18"/>
      <c r="AG29" s="66"/>
      <c r="AH29" s="66"/>
      <c r="AI29" s="66"/>
    </row>
    <row r="30" spans="1:35" ht="27" customHeight="1">
      <c r="A30" s="13" t="s">
        <v>35</v>
      </c>
      <c r="B30" s="15" t="s">
        <v>152</v>
      </c>
      <c r="C30" s="18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12" ref="F30:F42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10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'насел.'!AF30+пільги!AF30+субсидії!AF30+'держ.бюджет'!AF30+'місц.-районн.бюджет'!AF30+областной!AF30+інші!AF30</f>
        <v>1056.2</v>
      </c>
      <c r="L30" s="11">
        <f aca="true" t="shared" si="13" ref="L30:L39">K30/J30*100</f>
        <v>644.4173276388042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2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4" ref="R30:R39">Q30/P30*100</f>
        <v>128.58990944372576</v>
      </c>
      <c r="S30" s="18">
        <f>'насел.'!S30+пільги!S30+субсидії!S30+'держ.бюджет'!S30+'місц.-районн.бюджет'!S30+областной!S30+інші!S30</f>
        <v>176.5</v>
      </c>
      <c r="T30" s="18">
        <f>'насел.'!T30+пільги!T30+субсидії!T30+'держ.бюджет'!T30+'місц.-районн.бюджет'!T30+областной!T30+інші!T30</f>
        <v>100</v>
      </c>
      <c r="U30" s="11">
        <f aca="true" t="shared" si="15" ref="U30:U39">T30/S30*100</f>
        <v>56.657223796033996</v>
      </c>
      <c r="V30" s="18">
        <f>'насел.'!V30+пільги!V30+субсидії!V30+'держ.бюджет'!V30+'місц.-районн.бюджет'!V30+областной!V30+інші!V30</f>
        <v>136.4</v>
      </c>
      <c r="W30" s="18">
        <f>'насел.'!W30+пільги!W30+субсидії!W30+'держ.бюджет'!W30+'місц.-районн.бюджет'!W30+областной!W30+інші!W30</f>
        <v>122.9</v>
      </c>
      <c r="X30" s="11">
        <f aca="true" t="shared" si="16" ref="X30:X39">W30/V30*100</f>
        <v>90.10263929618768</v>
      </c>
      <c r="Y30" s="18">
        <f>'насел.'!Y30+пільги!Y30+субсидії!Y30+'держ.бюджет'!Y30+'місц.-районн.бюджет'!Y30+областной!Y30+інші!Y30</f>
        <v>467.5</v>
      </c>
      <c r="Z30" s="18">
        <f>'насел.'!Z30+пільги!Z30+субсидії!Z30+'держ.бюджет'!Z30+'місц.-районн.бюджет'!Z30+областной!Z30+інші!Z30</f>
        <v>421.7</v>
      </c>
      <c r="AA30" s="11">
        <f aca="true" t="shared" si="17" ref="AA30:AA43">Z30/Y30*100</f>
        <v>90.20320855614973</v>
      </c>
      <c r="AB30" s="18">
        <f>'насел.'!AB30+пільги!AB30+субсидії!AB30+'держ.бюджет'!AB30+'місц.-районн.бюджет'!AB30+областной!AB30+інші!AB30</f>
        <v>138.2</v>
      </c>
      <c r="AC30" s="18">
        <f>'насел.'!AC30+пільги!AC30+субсидії!AC30+'держ.бюджет'!AC30+'місц.-районн.бюджет'!AC30+областной!AC30+інші!AC30</f>
        <v>119.30000000000001</v>
      </c>
      <c r="AD30" s="11">
        <f aca="true" t="shared" si="18" ref="AD30:AD39">AC30/AB30*100</f>
        <v>86.32416787264835</v>
      </c>
      <c r="AE30" s="18">
        <f>'насел.'!AE30+пільги!AE30+субсидії!AE30+'держ.бюджет'!AE30+'місц.-районн.бюджет'!AE30+областной!AE30+інші!AE30</f>
        <v>1056</v>
      </c>
      <c r="AF30" s="18">
        <f>'насел.'!AF30+пільги!AF30+субсидії!AF30+'держ.бюджет'!AF30+'місц.-районн.бюджет'!AF30+областной!AF30+інші!AF30</f>
        <v>1056.2</v>
      </c>
      <c r="AG30" s="11">
        <f t="shared" si="11"/>
        <v>100.0189393939394</v>
      </c>
      <c r="AH30" s="18">
        <f>'насел.'!AH30+пільги!AH30+субсидії!AH30+'держ.бюджет'!AH30+'місц.-районн.бюджет'!AH30+областной!AH30+інші!AH30</f>
        <v>-0.1999999999998998</v>
      </c>
      <c r="AI30" s="18">
        <f>'насел.'!AI30+пільги!AI30+субсидії!AI30+'держ.бюджет'!AI30+'місц.-районн.бюджет'!AI30+областной!AI30+інші!AI30</f>
        <v>-55.09999999999987</v>
      </c>
    </row>
    <row r="31" spans="1:35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12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10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259.20000000000005</v>
      </c>
      <c r="L31" s="11">
        <f t="shared" si="13"/>
        <v>163.94686907020878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689.5000000000001</v>
      </c>
      <c r="O31" s="11">
        <f t="shared" si="2"/>
        <v>149.6310763888889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4"/>
        <v>148.42569269521414</v>
      </c>
      <c r="S31" s="18">
        <f>'насел.'!S31+пільги!S31+субсидії!S31+'держ.бюджет'!S31+'місц.-районн.бюджет'!S31+областной!S31+інші!S31</f>
        <v>165.8</v>
      </c>
      <c r="T31" s="18">
        <f>'насел.'!T31+пільги!T31+субсидії!T31+'держ.бюджет'!T31+'місц.-районн.бюджет'!T31+областной!T31+інші!T31</f>
        <v>157.7</v>
      </c>
      <c r="U31" s="11">
        <f t="shared" si="15"/>
        <v>95.11459589867309</v>
      </c>
      <c r="V31" s="18">
        <f>'насел.'!V31+пільги!V31+субсидії!V31+'держ.бюджет'!V31+'місц.-районн.бюджет'!V31+областной!V31+інші!V31</f>
        <v>162.90000000000003</v>
      </c>
      <c r="W31" s="18">
        <f>'насел.'!W31+пільги!W31+субсидії!W31+'держ.бюджет'!W31+'місц.-районн.бюджет'!W31+областной!W31+інші!W31</f>
        <v>283.3</v>
      </c>
      <c r="X31" s="11">
        <f t="shared" si="16"/>
        <v>173.91037446286063</v>
      </c>
      <c r="Y31" s="18">
        <f>'насел.'!Y31+пільги!Y31+субсидії!Y31+'держ.бюджет'!Y31+'місц.-районн.бюджет'!Y31+областной!Y31+інші!Y31</f>
        <v>487.5</v>
      </c>
      <c r="Z31" s="18">
        <f>'насел.'!Z31+пільги!Z31+субсидії!Z31+'держ.бюджет'!Z31+'місц.-районн.бюджет'!Z31+областной!Z31+інші!Z31</f>
        <v>676.7</v>
      </c>
      <c r="AA31" s="11">
        <f t="shared" si="17"/>
        <v>138.81025641025641</v>
      </c>
      <c r="AB31" s="18">
        <f>'насел.'!AB31+пільги!AB31+субсидії!AB31+'держ.бюджет'!AB31+'місц.-районн.бюджет'!AB31+областной!AB31+інші!AB31</f>
        <v>161.3</v>
      </c>
      <c r="AC31" s="18">
        <f>'насел.'!AC31+пільги!AC31+субсидії!AC31+'держ.бюджет'!AC31+'місц.-районн.бюджет'!AC31+областной!AC31+інші!AC31</f>
        <v>95.6</v>
      </c>
      <c r="AD31" s="11">
        <f t="shared" si="18"/>
        <v>59.26844389336638</v>
      </c>
      <c r="AE31" s="18">
        <f>'насел.'!AE31+пільги!AE31+субсидії!AE31+'держ.бюджет'!AE31+'місц.-районн.бюджет'!AE31+областной!AE31+інші!AE31</f>
        <v>1109.6</v>
      </c>
      <c r="AF31" s="18">
        <f>'насел.'!AF31+пільги!AF31+субсидії!AF31+'держ.бюджет'!AF31+'місц.-районн.бюджет'!AF31+областной!AF31+інші!AF31</f>
        <v>1461.8</v>
      </c>
      <c r="AG31" s="11">
        <f t="shared" si="11"/>
        <v>131.74116798846433</v>
      </c>
      <c r="AH31" s="18">
        <f>'насел.'!AH31+пільги!AH31+субсидії!AH31+'держ.бюджет'!AH31+'місц.-районн.бюджет'!AH31+областной!AH31+інші!AH31</f>
        <v>-352.19999999999993</v>
      </c>
      <c r="AI31" s="18">
        <f>'насел.'!AI31+пільги!AI31+субсидії!AI31+'держ.бюджет'!AI31+'місц.-районн.бюджет'!AI31+областной!AI31+інші!AI31</f>
        <v>-1085.6</v>
      </c>
    </row>
    <row r="32" spans="1:35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12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10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'насел.'!AF32+пільги!AF32+субсидії!AF32+'держ.бюджет'!AF32+'місц.-районн.бюджет'!AF32+областной!AF32+інші!AF32</f>
        <v>11708.96</v>
      </c>
      <c r="L32" s="11">
        <f t="shared" si="13"/>
        <v>649.5955617198335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2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4"/>
        <v>55.70166098807496</v>
      </c>
      <c r="S32" s="18">
        <f>'насел.'!S32+пільги!S32+субсидії!S32+'держ.бюджет'!S32+'місц.-районн.бюджет'!S32+областной!S32+інші!S32</f>
        <v>1765.6</v>
      </c>
      <c r="T32" s="18">
        <f>'насел.'!T32+пільги!T32+субсидії!T32+'держ.бюджет'!T32+'місц.-районн.бюджет'!T32+областной!T32+інші!T32</f>
        <v>1352.2</v>
      </c>
      <c r="U32" s="11">
        <f t="shared" si="15"/>
        <v>76.58586316266425</v>
      </c>
      <c r="V32" s="18">
        <f>'насел.'!V32+пільги!V32+субсидії!V32+'держ.бюджет'!V32+'місц.-районн.бюджет'!V32+областной!V32+інші!V32</f>
        <v>2342.6</v>
      </c>
      <c r="W32" s="18">
        <f>'насел.'!W32+пільги!W32+субсидії!W32+'держ.бюджет'!W32+'місц.-районн.бюджет'!W32+областной!W32+інші!W32</f>
        <v>1717.8000000000002</v>
      </c>
      <c r="X32" s="11">
        <f t="shared" si="16"/>
        <v>73.32877998804747</v>
      </c>
      <c r="Y32" s="18">
        <f>'насел.'!Y32+пільги!Y32+субсидії!Y32+'держ.бюджет'!Y32+'місц.-районн.бюджет'!Y32+областной!Y32+інші!Y32</f>
        <v>5986.599999999999</v>
      </c>
      <c r="Z32" s="18">
        <f>'насел.'!Z32+пільги!Z32+субсидії!Z32+'держ.бюджет'!Z32+'місц.-районн.бюджет'!Z32+областной!Z32+інші!Z32</f>
        <v>4116.3</v>
      </c>
      <c r="AA32" s="11">
        <f t="shared" si="17"/>
        <v>68.75856078575487</v>
      </c>
      <c r="AB32" s="18">
        <f>'насел.'!AB32+пільги!AB32+субсидії!AB32+'держ.бюджет'!AB32+'місц.-районн.бюджет'!AB32+областной!AB32+інші!AB32</f>
        <v>2065.43</v>
      </c>
      <c r="AC32" s="18">
        <f>'насел.'!AC32+пільги!AC32+субсидії!AC32+'держ.бюджет'!AC32+'місц.-районн.бюджет'!AC32+областной!AC32+інші!AC32</f>
        <v>1847.36</v>
      </c>
      <c r="AD32" s="11">
        <f t="shared" si="18"/>
        <v>89.44190798042054</v>
      </c>
      <c r="AE32" s="18">
        <f>'насел.'!AE32+пільги!AE32+субсидії!AE32+'держ.бюджет'!AE32+'місц.-районн.бюджет'!AE32+областной!AE32+інші!AE32</f>
        <v>13564.129999999997</v>
      </c>
      <c r="AF32" s="18">
        <f>'насел.'!AF32+пільги!AF32+субсидії!AF32+'держ.бюджет'!AF32+'місц.-районн.бюджет'!AF32+областной!AF32+інші!AF32</f>
        <v>11708.96</v>
      </c>
      <c r="AG32" s="11">
        <f t="shared" si="11"/>
        <v>86.32297095353702</v>
      </c>
      <c r="AH32" s="18">
        <f>'насел.'!AH32+пільги!AH32+субсидії!AH32+'держ.бюджет'!AH32+'місц.-районн.бюджет'!AH32+областной!AH32+інші!AH32</f>
        <v>1855.1699999999996</v>
      </c>
      <c r="AI32" s="18">
        <f>'насел.'!AI32+пільги!AI32+субсидії!AI32+'держ.бюджет'!AI32+'місц.-районн.бюджет'!AI32+областной!AI32+інші!AI32</f>
        <v>4624.169999999999</v>
      </c>
    </row>
    <row r="33" spans="1:35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12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10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'насел.'!AF33+пільги!AF33+субсидії!AF33+'держ.бюджет'!AF33+'місц.-районн.бюджет'!AF33+областной!AF33+інші!AF33</f>
        <v>3943.6</v>
      </c>
      <c r="L33" s="11">
        <f t="shared" si="13"/>
        <v>472.2308705544246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2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439.3</v>
      </c>
      <c r="R33" s="11">
        <f t="shared" si="14"/>
        <v>50.51747930082796</v>
      </c>
      <c r="S33" s="18">
        <f>'насел.'!S33+пільги!S33+субсидії!S33+'держ.бюджет'!S33+'місц.-районн.бюджет'!S33+областной!S33+інші!S33</f>
        <v>837.4000000000001</v>
      </c>
      <c r="T33" s="18">
        <f>'насел.'!T33+пільги!T33+субсидії!T33+'держ.бюджет'!T33+'місц.-районн.бюджет'!T33+областной!T33+інші!T33</f>
        <v>472.99999999999994</v>
      </c>
      <c r="U33" s="11">
        <f t="shared" si="15"/>
        <v>56.48435634105563</v>
      </c>
      <c r="V33" s="18">
        <f>'насел.'!V33+пільги!V33+субсидії!V33+'держ.бюджет'!V33+'місц.-районн.бюджет'!V33+областной!V33+інші!V33</f>
        <v>851.8000000000001</v>
      </c>
      <c r="W33" s="18">
        <f>'насел.'!W33+пільги!W33+субсидії!W33+'держ.бюджет'!W33+'місц.-районн.бюджет'!W33+областной!W33+інші!W33</f>
        <v>438.7</v>
      </c>
      <c r="X33" s="11">
        <f t="shared" si="16"/>
        <v>51.502700164357826</v>
      </c>
      <c r="Y33" s="18">
        <f>'насел.'!Y33+пільги!Y33+субсидії!Y33+'держ.бюджет'!Y33+'місц.-районн.бюджет'!Y33+областной!Y33+інші!Y33</f>
        <v>2558.8</v>
      </c>
      <c r="Z33" s="18">
        <f>'насел.'!Z33+пільги!Z33+субсидії!Z33+'держ.бюджет'!Z33+'місц.-районн.бюджет'!Z33+областной!Z33+інші!Z33</f>
        <v>1351</v>
      </c>
      <c r="AA33" s="11">
        <f t="shared" si="17"/>
        <v>52.79818664999218</v>
      </c>
      <c r="AB33" s="18">
        <f>'насел.'!AB33+пільги!AB33+субсидії!AB33+'держ.бюджет'!AB33+'місц.-районн.бюджет'!AB33+областной!AB33+інші!AB33</f>
        <v>768.8</v>
      </c>
      <c r="AC33" s="18">
        <f>'насел.'!AC33+пільги!AC33+субсидії!AC33+'держ.бюджет'!AC33+'місц.-районн.бюджет'!AC33+областной!AC33+інші!AC33</f>
        <v>521.1999999999999</v>
      </c>
      <c r="AD33" s="11">
        <f t="shared" si="18"/>
        <v>67.7939646201873</v>
      </c>
      <c r="AE33" s="18">
        <f>'насел.'!AE33+пільги!AE33+субсидії!AE33+'держ.бюджет'!AE33+'місц.-районн.бюджет'!AE33+областной!AE33+інші!AE33</f>
        <v>5766.1</v>
      </c>
      <c r="AF33" s="18">
        <f>'насел.'!AF33+пільги!AF33+субсидії!AF33+'держ.бюджет'!AF33+'місц.-районн.бюджет'!AF33+областной!AF33+інші!AF33</f>
        <v>3943.6</v>
      </c>
      <c r="AG33" s="11">
        <f t="shared" si="11"/>
        <v>68.39284785210107</v>
      </c>
      <c r="AH33" s="18">
        <f>'насел.'!AH33+пільги!AH33+субсидії!AH33+'держ.бюджет'!AH33+'місц.-районн.бюджет'!AH33+областной!AH33+інші!AH33</f>
        <v>1822.5000000000005</v>
      </c>
      <c r="AI33" s="18">
        <f>'насел.'!AI33+пільги!AI33+субсидії!AI33+'держ.бюджет'!AI33+'місц.-районн.бюджет'!AI33+областной!AI33+інші!AI33</f>
        <v>3534.8000000000006</v>
      </c>
    </row>
    <row r="34" spans="1:35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185.70000000000002</v>
      </c>
      <c r="E34" s="14">
        <f>'насел.'!E34+пільги!E34+субсидії!E34+'держ.бюджет'!E34+'місц.-районн.бюджет'!E34+областной!E34+інші!E34</f>
        <v>572.5000000000001</v>
      </c>
      <c r="F34" s="11">
        <f t="shared" si="12"/>
        <v>308.29294561120093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75.8</v>
      </c>
      <c r="I34" s="11">
        <f t="shared" si="10"/>
        <v>39.23395445134575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'насел.'!AF34+пільги!AF34+субсидії!AF34+'держ.бюджет'!AF34+'місц.-районн.бюджет'!AF34+областной!AF34+інші!AF34</f>
        <v>1556.3000000000002</v>
      </c>
      <c r="L34" s="11">
        <f t="shared" si="13"/>
        <v>798.1025641025643</v>
      </c>
      <c r="M34" s="11">
        <f>'насел.'!M34+пільги!M34+субсидії!M34+'держ.бюджет'!M34+'місц.-районн.бюджет'!M34+областной!M34+інші!M34</f>
        <v>573.9000000000001</v>
      </c>
      <c r="N34" s="11">
        <f>'насел.'!N34+пільги!N34+субсидії!N34+'держ.бюджет'!N34+'місц.-районн.бюджет'!N34+областной!N34+інші!N34</f>
        <v>949.9999999999999</v>
      </c>
      <c r="O34" s="11">
        <f t="shared" si="2"/>
        <v>165.53406516814772</v>
      </c>
      <c r="P34" s="18">
        <f>'насел.'!P34+пільги!P34+субсидії!P34+'держ.бюджет'!P34+'місц.-районн.бюджет'!P34+областной!P34+інші!P34</f>
        <v>187.1</v>
      </c>
      <c r="Q34" s="18">
        <f>'насел.'!Q34+пільги!Q34+субсидії!Q34+'держ.бюджет'!Q34+'місц.-районн.бюджет'!Q34+областной!Q34+інші!Q34</f>
        <v>294.50000000000006</v>
      </c>
      <c r="R34" s="11">
        <f t="shared" si="14"/>
        <v>157.4024585783004</v>
      </c>
      <c r="S34" s="18">
        <f>'насел.'!S34+пільги!S34+субсидії!S34+'держ.бюджет'!S34+'місц.-районн.бюджет'!S34+областной!S34+інші!S34</f>
        <v>193.39999999999986</v>
      </c>
      <c r="T34" s="18">
        <f>'насел.'!T34+пільги!T34+субсидії!T34+'держ.бюджет'!T34+'місц.-районн.бюджет'!T34+областной!T34+інші!T34</f>
        <v>85.9</v>
      </c>
      <c r="U34" s="11">
        <f t="shared" si="15"/>
        <v>44.415718717683596</v>
      </c>
      <c r="V34" s="18">
        <f>'насел.'!V34+пільги!V34+субсидії!V34+'держ.бюджет'!V34+'місц.-районн.бюджет'!V34+областной!V34+інші!V34</f>
        <v>191</v>
      </c>
      <c r="W34" s="18">
        <f>'насел.'!W34+пільги!W34+субсидії!W34+'держ.бюджет'!W34+'місц.-районн.бюджет'!W34+областной!W34+інші!W34</f>
        <v>120.7</v>
      </c>
      <c r="X34" s="11">
        <f t="shared" si="16"/>
        <v>63.19371727748692</v>
      </c>
      <c r="Y34" s="18">
        <f>'насел.'!Y34+пільги!Y34+субсидії!Y34+'держ.бюджет'!Y34+'місц.-районн.бюджет'!Y34+областной!Y34+інші!Y34</f>
        <v>571.4999999999999</v>
      </c>
      <c r="Z34" s="18">
        <f>'насел.'!Z34+пільги!Z34+субсидії!Z34+'держ.бюджет'!Z34+'місц.-районн.бюджет'!Z34+областной!Z34+інші!Z34</f>
        <v>501.09999999999997</v>
      </c>
      <c r="AA34" s="11">
        <f t="shared" si="17"/>
        <v>87.68153980752406</v>
      </c>
      <c r="AB34" s="18">
        <f>'насел.'!AB34+пільги!AB34+субсидії!AB34+'держ.бюджет'!AB34+'місц.-районн.бюджет'!AB34+областной!AB34+інші!AB34</f>
        <v>195</v>
      </c>
      <c r="AC34" s="18">
        <f>'насел.'!AC34+пільги!AC34+субсидії!AC34+'держ.бюджет'!AC34+'місц.-районн.бюджет'!AC34+областной!AC34+інші!AC34</f>
        <v>105.19999999999999</v>
      </c>
      <c r="AD34" s="11">
        <f t="shared" si="18"/>
        <v>53.94871794871794</v>
      </c>
      <c r="AE34" s="18">
        <f>'насел.'!AE34+пільги!AE34+субсидії!AE34+'держ.бюджет'!AE34+'місц.-районн.бюджет'!AE34+областной!AE34+інші!AE34</f>
        <v>1340.3999999999999</v>
      </c>
      <c r="AF34" s="18">
        <f>'насел.'!AF34+пільги!AF34+субсидії!AF34+'держ.бюджет'!AF34+'місц.-районн.бюджет'!AF34+областной!AF34+інші!AF34</f>
        <v>1556.3000000000002</v>
      </c>
      <c r="AG34" s="11">
        <f t="shared" si="11"/>
        <v>116.1071321993435</v>
      </c>
      <c r="AH34" s="18">
        <f>'насел.'!AH34+пільги!AH34+субсидії!AH34+'держ.бюджет'!AH34+'місц.-районн.бюджет'!AH34+областной!AH34+інші!AH34</f>
        <v>-215.9000000000001</v>
      </c>
      <c r="AI34" s="18">
        <f>'насел.'!AI34+пільги!AI34+субсидії!AI34+'держ.бюджет'!AI34+'місц.-районн.бюджет'!AI34+областной!AI34+інші!AI34</f>
        <v>-873.9000000000001</v>
      </c>
    </row>
    <row r="35" spans="1:35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12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10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'насел.'!AF35+пільги!AF35+субсидії!AF35+'держ.бюджет'!AF35+'місц.-районн.бюджет'!AF35+областной!AF35+інші!AF35</f>
        <v>11580.900000000001</v>
      </c>
      <c r="L35" s="11">
        <f t="shared" si="13"/>
        <v>611.7426443399717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2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4"/>
        <v>234.83084577114428</v>
      </c>
      <c r="S35" s="18">
        <f>'насел.'!S35+пільги!S35+субсидії!S35+'держ.бюджет'!S35+'місц.-районн.бюджет'!S35+областной!S35+інші!S35</f>
        <v>-1060.5</v>
      </c>
      <c r="T35" s="18">
        <f>'насел.'!T35+пільги!T35+субсидії!T35+'держ.бюджет'!T35+'місц.-районн.бюджет'!T35+областной!T35+інші!T35</f>
        <v>-1349.2</v>
      </c>
      <c r="U35" s="11">
        <f t="shared" si="15"/>
        <v>127.22300801508723</v>
      </c>
      <c r="V35" s="18">
        <f>'насел.'!V35+пільги!V35+субсидії!V35+'держ.бюджет'!V35+'місц.-районн.бюджет'!V35+областной!V35+інші!V35</f>
        <v>2320.7</v>
      </c>
      <c r="W35" s="18">
        <f>'насел.'!W35+пільги!W35+субсидії!W35+'держ.бюджет'!W35+'місц.-районн.бюджет'!W35+областной!W35+інші!W35</f>
        <v>1318.5</v>
      </c>
      <c r="X35" s="11">
        <f t="shared" si="16"/>
        <v>56.814754169000736</v>
      </c>
      <c r="Y35" s="18">
        <f>'насел.'!Y35+пільги!Y35+субсидії!Y35+'держ.бюджет'!Y35+'місц.-районн.бюджет'!Y35+областной!Y35+інші!Y35</f>
        <v>3270.1999999999994</v>
      </c>
      <c r="Z35" s="18">
        <f>'насел.'!Z35+пільги!Z35+субсидії!Z35+'держ.бюджет'!Z35+'місц.-районн.бюджет'!Z35+областной!Z35+інші!Z35</f>
        <v>4689.4</v>
      </c>
      <c r="AA35" s="11">
        <f t="shared" si="17"/>
        <v>143.39795731147944</v>
      </c>
      <c r="AB35" s="18">
        <f>'насел.'!AB35+пільги!AB35+субсидії!AB35+'держ.бюджет'!AB35+'місц.-районн.бюджет'!AB35+областной!AB35+інші!AB35</f>
        <v>2190.8999999999996</v>
      </c>
      <c r="AC35" s="18">
        <f>'насел.'!AC35+пільги!AC35+субсидії!AC35+'держ.бюджет'!AC35+'місц.-районн.бюджет'!AC35+областной!AC35+інші!AC35</f>
        <v>1691.4</v>
      </c>
      <c r="AD35" s="11">
        <f t="shared" si="18"/>
        <v>77.20115021224157</v>
      </c>
      <c r="AE35" s="18">
        <f>'насел.'!AE35+пільги!AE35+субсидії!AE35+'держ.бюджет'!AE35+'місц.-районн.бюджет'!AE35+областной!AE35+інші!AE35</f>
        <v>11217.4</v>
      </c>
      <c r="AF35" s="18">
        <f>'насел.'!AF35+пільги!AF35+субсидії!AF35+'держ.бюджет'!AF35+'місц.-районн.бюджет'!AF35+областной!AF35+інші!AF35</f>
        <v>11580.900000000001</v>
      </c>
      <c r="AG35" s="11">
        <f t="shared" si="11"/>
        <v>103.24050136395245</v>
      </c>
      <c r="AH35" s="18">
        <f>'насел.'!AH35+пільги!AH35+субсидії!AH35+'держ.бюджет'!AH35+'місц.-районн.бюджет'!AH35+областной!AH35+інші!AH35</f>
        <v>-363.4999999999998</v>
      </c>
      <c r="AI35" s="18">
        <f>'насел.'!AI35+пільги!AI35+субсидії!AI35+'держ.бюджет'!AI35+'місц.-районн.бюджет'!AI35+областной!AI35+інші!AI35</f>
        <v>-1946.6000000000001</v>
      </c>
    </row>
    <row r="36" spans="1:35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1861.8000000000002</v>
      </c>
      <c r="F36" s="11">
        <f t="shared" si="12"/>
        <v>82.94943194475385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10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'насел.'!AF36+пільги!AF36+субсидії!AF36+'держ.бюджет'!AF36+'місц.-районн.бюджет'!AF36+областной!AF36+інші!AF36</f>
        <v>15719.9</v>
      </c>
      <c r="L36" s="11">
        <f t="shared" si="13"/>
        <v>691.1669011607457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6469.1</v>
      </c>
      <c r="O36" s="11">
        <f t="shared" si="2"/>
        <v>96.81382819515115</v>
      </c>
      <c r="P36" s="18">
        <f>'насел.'!P36+пільги!P36+субсидії!P36+'держ.бюджет'!P36+'місц.-районн.бюджет'!P36+областной!P36+інші!P36</f>
        <v>2044.2</v>
      </c>
      <c r="Q36" s="18">
        <f>'насел.'!Q36+пільги!Q36+субсидії!Q36+'держ.бюджет'!Q36+'місц.-районн.бюджет'!Q36+областной!Q36+інші!Q36</f>
        <v>3296.6</v>
      </c>
      <c r="R36" s="11">
        <f t="shared" si="14"/>
        <v>161.26602093728596</v>
      </c>
      <c r="S36" s="18">
        <f>'насел.'!S36+пільги!S36+субсидії!S36+'держ.бюджет'!S36+'місц.-районн.бюджет'!S36+областной!S36+інші!S36</f>
        <v>2104.9000000000005</v>
      </c>
      <c r="T36" s="18">
        <f>'насел.'!T36+пільги!T36+субсидії!T36+'держ.бюджет'!T36+'місц.-районн.бюджет'!T36+областной!T36+інші!T36</f>
        <v>2457.2</v>
      </c>
      <c r="U36" s="11">
        <f t="shared" si="15"/>
        <v>116.7371371561594</v>
      </c>
      <c r="V36" s="18">
        <f>'насел.'!V36+пільги!V36+субсидії!V36+'держ.бюджет'!V36+'місц.-районн.бюджет'!V36+областной!V36+інші!V36</f>
        <v>2160.1</v>
      </c>
      <c r="W36" s="18">
        <f>'насел.'!W36+пільги!W36+субсидії!W36+'держ.бюджет'!W36+'місц.-районн.бюджет'!W36+областной!W36+інші!W36</f>
        <v>1478.7000000000003</v>
      </c>
      <c r="X36" s="11">
        <f t="shared" si="16"/>
        <v>68.45516411277256</v>
      </c>
      <c r="Y36" s="18">
        <f>'насел.'!Y36+пільги!Y36+субсидії!Y36+'держ.бюджет'!Y36+'місц.-районн.бюджет'!Y36+областной!Y36+інші!Y36</f>
        <v>6309.2</v>
      </c>
      <c r="Z36" s="18">
        <f>'насел.'!Z36+пільги!Z36+субсидії!Z36+'держ.бюджет'!Z36+'місц.-районн.бюджет'!Z36+областной!Z36+інші!Z36</f>
        <v>7232.5</v>
      </c>
      <c r="AA36" s="11">
        <f t="shared" si="17"/>
        <v>114.63418499968301</v>
      </c>
      <c r="AB36" s="18">
        <f>'насел.'!AB36+пільги!AB36+субсидії!AB36+'держ.бюджет'!AB36+'місц.-районн.бюджет'!AB36+областной!AB36+інші!AB36</f>
        <v>2151.2999999999997</v>
      </c>
      <c r="AC36" s="18">
        <f>'насел.'!AC36+пільги!AC36+субсидії!AC36+'держ.бюджет'!AC36+'місц.-районн.бюджет'!AC36+областной!AC36+інші!AC36</f>
        <v>2018.3000000000002</v>
      </c>
      <c r="AD36" s="11">
        <f t="shared" si="18"/>
        <v>93.81769162831777</v>
      </c>
      <c r="AE36" s="18">
        <f>'насел.'!AE36+пільги!AE36+субсидії!AE36+'держ.бюджет'!AE36+'місц.-районн.бюджет'!AE36+областной!AE36+інші!AE36</f>
        <v>15142.5</v>
      </c>
      <c r="AF36" s="18">
        <f>'насел.'!AF36+пільги!AF36+субсидії!AF36+'держ.бюджет'!AF36+'місц.-районн.бюджет'!AF36+областной!AF36+інші!AF36</f>
        <v>15719.9</v>
      </c>
      <c r="AG36" s="11">
        <f t="shared" si="11"/>
        <v>103.81310879973584</v>
      </c>
      <c r="AH36" s="18">
        <f>'насел.'!AH36+пільги!AH36+субсидії!AH36+'держ.бюджет'!AH36+'місц.-районн.бюджет'!AH36+областной!AH36+інші!AH36</f>
        <v>-577.3999999999987</v>
      </c>
      <c r="AI36" s="18">
        <f>'насел.'!AI36+пільги!AI36+субсидії!AI36+'держ.бюджет'!AI36+'місц.-районн.бюджет'!AI36+областной!AI36+інші!AI36</f>
        <v>-4600.799999999998</v>
      </c>
    </row>
    <row r="37" spans="1:35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12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10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'насел.'!AF37+пільги!AF37+субсидії!AF37+'держ.бюджет'!AF37+'місц.-районн.бюджет'!AF37+областной!AF37+інші!AF37</f>
        <v>16368.400000000001</v>
      </c>
      <c r="L37" s="11">
        <f t="shared" si="13"/>
        <v>692.8130026242276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2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1471.3999999999999</v>
      </c>
      <c r="R37" s="11">
        <f t="shared" si="14"/>
        <v>56.04479317437342</v>
      </c>
      <c r="S37" s="18">
        <f>'насел.'!S37+пільги!S37+субсидії!S37+'держ.бюджет'!S37+'місц.-районн.бюджет'!S37+областной!S37+інші!S37</f>
        <v>2893.3</v>
      </c>
      <c r="T37" s="18">
        <f>'насел.'!T37+пільги!T37+субсидії!T37+'держ.бюджет'!T37+'місц.-районн.бюджет'!T37+областной!T37+інші!T37</f>
        <v>1301.1999999999998</v>
      </c>
      <c r="U37" s="11">
        <f t="shared" si="15"/>
        <v>44.97286835101786</v>
      </c>
      <c r="V37" s="18">
        <f>'насел.'!V37+пільги!V37+субсидії!V37+'держ.бюджет'!V37+'місц.-районн.бюджет'!V37+областной!V37+інші!V37</f>
        <v>2623.3000000000006</v>
      </c>
      <c r="W37" s="18">
        <f>'насел.'!W37+пільги!W37+субсидії!W37+'держ.бюджет'!W37+'місц.-районн.бюджет'!W37+областной!W37+інші!W37</f>
        <v>1357.9</v>
      </c>
      <c r="X37" s="11">
        <f t="shared" si="16"/>
        <v>51.76304654442876</v>
      </c>
      <c r="Y37" s="18">
        <f>'насел.'!Y37+пільги!Y37+субсидії!Y37+'держ.бюджет'!Y37+'місц.-районн.бюджет'!Y37+областной!Y37+інші!Y37</f>
        <v>8142.000000000001</v>
      </c>
      <c r="Z37" s="18">
        <f>'насел.'!Z37+пільги!Z37+субсидії!Z37+'держ.бюджет'!Z37+'місц.-районн.бюджет'!Z37+областной!Z37+інші!Z37</f>
        <v>4130.5</v>
      </c>
      <c r="AA37" s="11">
        <f t="shared" si="17"/>
        <v>50.730778678457376</v>
      </c>
      <c r="AB37" s="18">
        <f>'насел.'!AB37+пільги!AB37+субсидії!AB37+'держ.бюджет'!AB37+'місц.-районн.бюджет'!AB37+областной!AB37+інші!AB37</f>
        <v>3670.2999999999997</v>
      </c>
      <c r="AC37" s="18">
        <f>'насел.'!AC37+пільги!AC37+субсидії!AC37+'держ.бюджет'!AC37+'місц.-районн.бюджет'!AC37+областной!AC37+інші!AC37</f>
        <v>1777.5</v>
      </c>
      <c r="AD37" s="11">
        <f t="shared" si="18"/>
        <v>48.429283709778495</v>
      </c>
      <c r="AE37" s="18">
        <f>'насел.'!AE37+пільги!AE37+субсидії!AE37+'держ.бюджет'!AE37+'місц.-районн.бюджет'!AE37+областной!AE37+інші!AE37</f>
        <v>19574.4</v>
      </c>
      <c r="AF37" s="18">
        <f>'насел.'!AF37+пільги!AF37+субсидії!AF37+'держ.бюджет'!AF37+'місц.-районн.бюджет'!AF37+областной!AF37+інші!AF37</f>
        <v>16368.400000000001</v>
      </c>
      <c r="AG37" s="11">
        <f t="shared" si="11"/>
        <v>83.62146477031224</v>
      </c>
      <c r="AH37" s="18">
        <f>'насел.'!AH37+пільги!AH37+субсидії!AH37+'держ.бюджет'!AH37+'місц.-районн.бюджет'!AH37+областной!AH37+інші!AH37</f>
        <v>3206.000000000002</v>
      </c>
      <c r="AI37" s="18">
        <f>'насел.'!AI37+пільги!AI37+субсидії!AI37+'держ.бюджет'!AI37+'місц.-районн.бюджет'!AI37+областной!AI37+інші!AI37</f>
        <v>13069.2</v>
      </c>
    </row>
    <row r="38" spans="1:35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12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10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'насел.'!AF38+пільги!AF38+субсидії!AF38+'держ.бюджет'!AF38+'місц.-районн.бюджет'!AF38+областной!AF38+інші!AF38</f>
        <v>4813.9</v>
      </c>
      <c r="L38" s="11">
        <f t="shared" si="13"/>
        <v>671.6757360122785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2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4"/>
        <v>155.67289853004138</v>
      </c>
      <c r="S38" s="18">
        <f>'насел.'!S38+пільги!S38+субсидії!S38+'держ.бюджет'!S38+'місц.-районн.бюджет'!S38+областной!S38+інші!S38</f>
        <v>729.1000000000001</v>
      </c>
      <c r="T38" s="18">
        <f>'насел.'!T38+пільги!T38+субсидії!T38+'держ.бюджет'!T38+'місц.-районн.бюджет'!T38+областной!T38+інші!T38</f>
        <v>727.8</v>
      </c>
      <c r="U38" s="11">
        <f t="shared" si="15"/>
        <v>99.82169798381564</v>
      </c>
      <c r="V38" s="18">
        <f>'насел.'!V38+пільги!V38+субсидії!V38+'держ.бюджет'!V38+'місц.-районн.бюджет'!V38+областной!V38+інші!V38</f>
        <v>685</v>
      </c>
      <c r="W38" s="18">
        <f>'насел.'!W38+пільги!W38+субсидії!W38+'держ.бюджет'!W38+'місц.-районн.бюджет'!W38+областной!W38+інші!W38</f>
        <v>512</v>
      </c>
      <c r="X38" s="11">
        <f t="shared" si="16"/>
        <v>74.74452554744525</v>
      </c>
      <c r="Y38" s="18">
        <f>'насел.'!Y38+пільги!Y38+субсидії!Y38+'держ.бюджет'!Y38+'місц.-районн.бюджет'!Y38+областной!Y38+інші!Y38</f>
        <v>2114.8</v>
      </c>
      <c r="Z38" s="18">
        <f>'насел.'!Z38+пільги!Z38+субсидії!Z38+'держ.бюджет'!Z38+'місц.-районн.бюджет'!Z38+областной!Z38+інші!Z38</f>
        <v>2330.6</v>
      </c>
      <c r="AA38" s="11">
        <f t="shared" si="17"/>
        <v>110.20427463589937</v>
      </c>
      <c r="AB38" s="18">
        <f>'насел.'!AB38+пільги!AB38+субсидії!AB38+'держ.бюджет'!AB38+'місц.-районн.бюджет'!AB38+областной!AB38+інші!AB38</f>
        <v>669.9000000000001</v>
      </c>
      <c r="AC38" s="18">
        <f>'насел.'!AC38+пільги!AC38+субсидії!AC38+'держ.бюджет'!AC38+'місц.-районн.бюджет'!AC38+областной!AC38+інші!AC38</f>
        <v>699.1999999999999</v>
      </c>
      <c r="AD38" s="11">
        <f t="shared" si="18"/>
        <v>104.37378713240778</v>
      </c>
      <c r="AE38" s="18">
        <f>'насел.'!AE38+пільги!AE38+субсидії!AE38+'держ.бюджет'!AE38+'місц.-районн.бюджет'!AE38+областной!AE38+інші!AE38</f>
        <v>4726.8</v>
      </c>
      <c r="AF38" s="18">
        <f>'насел.'!AF38+пільги!AF38+субсидії!AF38+'держ.бюджет'!AF38+'місц.-районн.бюджет'!AF38+областной!AF38+інші!AF38</f>
        <v>4813.9</v>
      </c>
      <c r="AG38" s="11">
        <f t="shared" si="11"/>
        <v>101.84268426842684</v>
      </c>
      <c r="AH38" s="18">
        <f>'насел.'!AH38+пільги!AH38+субсидії!AH38+'держ.бюджет'!AH38+'місц.-районн.бюджет'!AH38+областной!AH38+інші!AH38</f>
        <v>-87.09999999999968</v>
      </c>
      <c r="AI38" s="18">
        <f>'насел.'!AI38+пільги!AI38+субсидії!AI38+'держ.бюджет'!AI38+'місц.-районн.бюджет'!AI38+областной!AI38+інші!AI38</f>
        <v>1076.0000000000005</v>
      </c>
    </row>
    <row r="39" spans="1:35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12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10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'насел.'!AF39+пільги!AF39+субсидії!AF39+'держ.бюджет'!AF39+'місц.-районн.бюджет'!AF39+областной!AF39+інші!AF39</f>
        <v>8833.7</v>
      </c>
      <c r="L39" s="11">
        <f t="shared" si="13"/>
        <v>720.353910136182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2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4"/>
        <v>136.99264940875682</v>
      </c>
      <c r="S39" s="18">
        <f>'насел.'!S39+пільги!S39+субсидії!S39+'держ.бюджет'!S39+'місц.-районн.бюджет'!S39+областной!S39+інші!S39</f>
        <v>1185.6999999999998</v>
      </c>
      <c r="T39" s="18">
        <f>'насел.'!T39+пільги!T39+субсидії!T39+'держ.бюджет'!T39+'місц.-районн.бюджет'!T39+областной!T39+інші!T39</f>
        <v>1244</v>
      </c>
      <c r="U39" s="11">
        <f t="shared" si="15"/>
        <v>104.91692670996038</v>
      </c>
      <c r="V39" s="18">
        <f>'насел.'!V39+пільги!V39+субсидії!V39+'держ.бюджет'!V39+'місц.-районн.бюджет'!V39+областной!V39+інші!V39</f>
        <v>1276.7</v>
      </c>
      <c r="W39" s="18">
        <f>'насел.'!W39+пільги!W39+субсидії!W39+'держ.бюджет'!W39+'місц.-районн.бюджет'!W39+областной!W39+інші!W39</f>
        <v>516.6</v>
      </c>
      <c r="X39" s="11">
        <f t="shared" si="16"/>
        <v>40.46369546487037</v>
      </c>
      <c r="Y39" s="18">
        <f>'насел.'!Y39+пільги!Y39+субсидії!Y39+'держ.бюджет'!Y39+'місц.-районн.бюджет'!Y39+областной!Y39+інші!Y39</f>
        <v>3713.9999999999995</v>
      </c>
      <c r="Z39" s="18">
        <f>'насел.'!Z39+пільги!Z39+субсидії!Z39+'держ.бюджет'!Z39+'місц.-районн.бюджет'!Z39+областной!Z39+інші!Z39</f>
        <v>3475.1999999999994</v>
      </c>
      <c r="AA39" s="11">
        <f t="shared" si="17"/>
        <v>93.5702746365105</v>
      </c>
      <c r="AB39" s="18">
        <f>'насел.'!AB39+пільги!AB39+субсидії!AB39+'держ.бюджет'!AB39+'місц.-районн.бюджет'!AB39+областной!AB39+інші!AB39</f>
        <v>1264.1</v>
      </c>
      <c r="AC39" s="18">
        <f>'насел.'!AC39+пільги!AC39+субсидії!AC39+'держ.бюджет'!AC39+'місц.-районн.бюджет'!AC39+областной!AC39+інші!AC39</f>
        <v>713.6</v>
      </c>
      <c r="AD39" s="11">
        <f t="shared" si="18"/>
        <v>56.451230124199036</v>
      </c>
      <c r="AE39" s="18">
        <f>'насел.'!AE39+пільги!AE39+субсидії!AE39+'держ.бюджет'!AE39+'місц.-районн.бюджет'!AE39+областной!AE39+інші!AE39</f>
        <v>8753.4</v>
      </c>
      <c r="AF39" s="18">
        <f>'насел.'!AF39+пільги!AF39+субсидії!AF39+'держ.бюджет'!AF39+'місц.-районн.бюджет'!AF39+областной!AF39+інші!AF39</f>
        <v>8833.7</v>
      </c>
      <c r="AG39" s="11">
        <f t="shared" si="11"/>
        <v>100.91735782667308</v>
      </c>
      <c r="AH39" s="18">
        <f>'насел.'!AH39+пільги!AH39+субсидії!AH39+'держ.бюджет'!AH39+'місц.-районн.бюджет'!AH39+областной!AH39+інші!AH39</f>
        <v>-80.30000000000021</v>
      </c>
      <c r="AI39" s="18">
        <f>'насел.'!AI39+пільги!AI39+субсидії!AI39+'держ.бюджет'!AI39+'місц.-районн.бюджет'!AI39+областной!AI39+інші!AI39</f>
        <v>-2214.7</v>
      </c>
    </row>
    <row r="40" spans="1:35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1216.3999999999999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12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'насел.'!AF40+пільги!AF40+субсидії!AF40+'держ.бюджет'!AF40+'місц.-районн.бюджет'!AF40+областной!AF40+інші!AF40</f>
        <v>8522.699999999999</v>
      </c>
      <c r="L40" s="11">
        <f>K40/J40*100</f>
        <v>648.6566709795266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2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2227</v>
      </c>
      <c r="R40" s="11">
        <f>Q40/P40*100</f>
        <v>163.79817593409825</v>
      </c>
      <c r="S40" s="18">
        <f>'насел.'!S40+пільги!S40+субсидії!S40+'держ.бюджет'!S40+'місц.-районн.бюджет'!S40+областной!S40+інші!S40</f>
        <v>1378.9</v>
      </c>
      <c r="T40" s="18">
        <f>'насел.'!T40+пільги!T40+субсидії!T40+'держ.бюджет'!T40+'місц.-районн.бюджет'!T40+областной!T40+інші!T40</f>
        <v>810.5000000000001</v>
      </c>
      <c r="U40" s="11">
        <f>T40/S40*100</f>
        <v>58.77873667416057</v>
      </c>
      <c r="V40" s="18">
        <f>'насел.'!V40+пільги!V40+субсидії!V40+'держ.бюджет'!V40+'місц.-районн.бюджет'!V40+областной!V40+інші!V40</f>
        <v>1444.1000000000001</v>
      </c>
      <c r="W40" s="18">
        <f>'насел.'!W40+пільги!W40+субсидії!W40+'держ.бюджет'!W40+'місц.-районн.бюджет'!W40+областной!W40+інші!W40</f>
        <v>835.3000000000001</v>
      </c>
      <c r="X40" s="11">
        <f>W40/V40*100</f>
        <v>57.842254691503356</v>
      </c>
      <c r="Y40" s="18">
        <f>'насел.'!Y40+пільги!Y40+субсидії!Y40+'держ.бюджет'!Y40+'місц.-районн.бюджет'!Y40+областной!Y40+інші!Y40</f>
        <v>4182.599999999999</v>
      </c>
      <c r="Z40" s="18">
        <f>'насел.'!Z40+пільги!Z40+субсидії!Z40+'держ.бюджет'!Z40+'місц.-районн.бюджет'!Z40+областной!Z40+інші!Z40</f>
        <v>3872.7999999999997</v>
      </c>
      <c r="AA40" s="11">
        <f t="shared" si="17"/>
        <v>92.59312389422848</v>
      </c>
      <c r="AB40" s="18">
        <f>'насел.'!AB40+пільги!AB40+субсидії!AB40+'держ.бюджет'!AB40+'місц.-районн.бюджет'!AB40+областной!AB40+інші!AB40</f>
        <v>1432.9</v>
      </c>
      <c r="AC40" s="18">
        <f>'насел.'!AC40+пільги!AC40+субсидії!AC40+'держ.бюджет'!AC40+'місц.-районн.бюджет'!AC40+областной!AC40+інші!AC40</f>
        <v>1078.1999999999998</v>
      </c>
      <c r="AD40" s="11">
        <f>AC40/AB40*100</f>
        <v>75.24600460604367</v>
      </c>
      <c r="AE40" s="18">
        <f>'насел.'!AE40+пільги!AE40+субсидії!AE40+'держ.бюджет'!AE40+'місц.-районн.бюджет'!AE40+областной!AE40+інші!AE40</f>
        <v>9543.500000000002</v>
      </c>
      <c r="AF40" s="18">
        <f>'насел.'!AF40+пільги!AF40+субсидії!AF40+'держ.бюджет'!AF40+'місц.-районн.бюджет'!AF40+областной!AF40+інші!AF40</f>
        <v>8522.699999999999</v>
      </c>
      <c r="AG40" s="11">
        <f>AF40/AE40*100</f>
        <v>89.30371457012623</v>
      </c>
      <c r="AH40" s="18">
        <f>'насел.'!AH40+пільги!AH40+субсидії!AH40+'держ.бюджет'!AH40+'місц.-районн.бюджет'!AH40+областной!AH40+інші!AH40</f>
        <v>1020.8000000000008</v>
      </c>
      <c r="AI40" s="18">
        <f>'насел.'!AI40+пільги!AI40+субсидії!AI40+'держ.бюджет'!AI40+'місц.-районн.бюджет'!AI40+областной!AI40+інші!AI40</f>
        <v>2237.2</v>
      </c>
    </row>
    <row r="41" spans="1:39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596576.8</v>
      </c>
      <c r="D41" s="18">
        <f>SUM(D42:D42)</f>
        <v>103976.1</v>
      </c>
      <c r="E41" s="18">
        <f>SUM(E42:E42)</f>
        <v>84016.50000000001</v>
      </c>
      <c r="F41" s="11">
        <f t="shared" si="12"/>
        <v>80.80366545773501</v>
      </c>
      <c r="G41" s="18">
        <f aca="true" t="shared" si="19" ref="G41:U41">SUM(G42:G42)</f>
        <v>104486.9</v>
      </c>
      <c r="H41" s="18">
        <f t="shared" si="19"/>
        <v>66607.1</v>
      </c>
      <c r="I41" s="18">
        <f t="shared" si="19"/>
        <v>63.74684290566569</v>
      </c>
      <c r="J41" s="18">
        <f t="shared" si="19"/>
        <v>104460</v>
      </c>
      <c r="K41" s="18">
        <f t="shared" si="19"/>
        <v>94920.8</v>
      </c>
      <c r="L41" s="18">
        <f t="shared" si="19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2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19"/>
        <v>83.55628145088001</v>
      </c>
      <c r="S41" s="18">
        <f>'насел.'!S41+пільги!S41+субсидії!S41+'держ.бюджет'!S41+'місц.-районн.бюджет'!S41+областной!S41+інші!S41</f>
        <v>97219.6</v>
      </c>
      <c r="T41" s="18">
        <f>'насел.'!T41+пільги!T41+субсидії!T41+'держ.бюджет'!T41+'місц.-районн.бюджет'!T41+областной!T41+інші!T41</f>
        <v>97001.40000000001</v>
      </c>
      <c r="U41" s="18">
        <f t="shared" si="19"/>
        <v>99.77555966080914</v>
      </c>
      <c r="V41" s="18">
        <f>'насел.'!V41+пільги!V41+субсидії!V41+'держ.бюджет'!V41+'місц.-районн.бюджет'!V41+областной!V41+інші!V41</f>
        <v>96364.4</v>
      </c>
      <c r="W41" s="18">
        <f>'насел.'!W41+пільги!W41+субсидії!W41+'держ.бюджет'!W41+'місц.-районн.бюджет'!W41+областной!W41+інші!W41</f>
        <v>66059.9</v>
      </c>
      <c r="X41" s="18">
        <f>SUM(X42:X42)</f>
        <v>68.55218317137864</v>
      </c>
      <c r="Y41" s="18">
        <f>'насел.'!Y41+пільги!Y41+субсидії!Y41+'держ.бюджет'!Y41+'місц.-районн.бюджет'!Y41+областной!Y41+інші!Y41</f>
        <v>295588.30000000005</v>
      </c>
      <c r="Z41" s="18">
        <f>'насел.'!Z41+пільги!Z41+субсидії!Z41+'держ.бюджет'!Z41+'місц.-районн.бюджет'!Z41+областной!Z41+інші!Z41</f>
        <v>248292.30000000005</v>
      </c>
      <c r="AA41" s="11">
        <f t="shared" si="17"/>
        <v>83.9993666867058</v>
      </c>
      <c r="AB41" s="18">
        <f>'насел.'!AB41+пільги!AB41+субсидії!AB41+'держ.бюджет'!AB41+'місц.-районн.бюджет'!AB41+областной!AB41+інші!AB41</f>
        <v>95362.4</v>
      </c>
      <c r="AC41" s="18">
        <f>'насел.'!AC41+пільги!AC41+субсидії!AC41+'держ.бюджет'!AC41+'місц.-районн.бюджет'!AC41+областной!AC41+інші!AC41</f>
        <v>79857.6</v>
      </c>
      <c r="AD41" s="18">
        <f>SUM(AD42:AD42)</f>
        <v>83.74118101054505</v>
      </c>
      <c r="AE41" s="18">
        <f>'насел.'!AE41+пільги!AE41+субсидії!AE41+'держ.бюджет'!AE41+'місц.-районн.бюджет'!AE41+областной!AE41+інші!AE41</f>
        <v>703873.7</v>
      </c>
      <c r="AF41" s="18">
        <f>'насел.'!AF41+пільги!AF41+субсидії!AF41+'держ.бюджет'!AF41+'місц.-районн.бюджет'!AF41+областной!AF41+інші!AF41</f>
        <v>573694.3</v>
      </c>
      <c r="AG41" s="11">
        <f>AF41/AE41*100</f>
        <v>81.50528994051065</v>
      </c>
      <c r="AH41" s="18">
        <f>SUM(AH42:AH42)</f>
        <v>130179.3999999999</v>
      </c>
      <c r="AI41" s="18">
        <f>SUM(AI42:AI42)</f>
        <v>726756.2</v>
      </c>
      <c r="AJ41" s="48">
        <f>M41+Y41+AB41</f>
        <v>703873.7000000001</v>
      </c>
      <c r="AK41" s="48">
        <f>N41+Z41+AC41</f>
        <v>573694.3</v>
      </c>
      <c r="AL41" s="48">
        <f>AJ41-AK41</f>
        <v>130179.40000000002</v>
      </c>
      <c r="AM41" s="48">
        <f>C41+AE41-AF41</f>
        <v>726756.2</v>
      </c>
    </row>
    <row r="42" spans="1:37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12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2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8">
        <f>'насел.'!S42+пільги!S42+субсидії!S42+'держ.бюджет'!S42+'місц.-районн.бюджет'!S42+областной!S42+інші!S42</f>
        <v>97219.6</v>
      </c>
      <c r="T42" s="18">
        <f>'насел.'!T42+пільги!T42+субсидії!T42+'держ.бюджет'!T42+'місц.-районн.бюджет'!T42+областной!T42+інші!T42</f>
        <v>97001.40000000001</v>
      </c>
      <c r="U42" s="11">
        <f>T42/S42*100</f>
        <v>99.77555966080914</v>
      </c>
      <c r="V42" s="18">
        <f>'насел.'!V42+пільги!V42+субсидії!V42+'держ.бюджет'!V42+'місц.-районн.бюджет'!V42+областной!V42+інші!V42</f>
        <v>96364.4</v>
      </c>
      <c r="W42" s="18">
        <f>'насел.'!W42+пільги!W42+субсидії!W42+'держ.бюджет'!W42+'місц.-районн.бюджет'!W42+областной!W42+інші!W42</f>
        <v>66059.9</v>
      </c>
      <c r="X42" s="11">
        <f>W42/V42*100</f>
        <v>68.55218317137864</v>
      </c>
      <c r="Y42" s="18">
        <f>'насел.'!Y42+пільги!Y42+субсидії!Y42+'держ.бюджет'!Y42+'місц.-районн.бюджет'!Y42+областной!Y42+інші!Y42</f>
        <v>295588.30000000005</v>
      </c>
      <c r="Z42" s="18">
        <f>'насел.'!Z42+пільги!Z42+субсидії!Z42+'держ.бюджет'!Z42+'місц.-районн.бюджет'!Z42+областной!Z42+інші!Z42</f>
        <v>248292.30000000005</v>
      </c>
      <c r="AA42" s="11">
        <f t="shared" si="17"/>
        <v>83.9993666867058</v>
      </c>
      <c r="AB42" s="18">
        <f>'насел.'!AB42+пільги!AB42+субсидії!AB42+'держ.бюджет'!AB42+'місц.-районн.бюджет'!AB42+областной!AB42+інші!AB42</f>
        <v>95362.4</v>
      </c>
      <c r="AC42" s="18">
        <f>'насел.'!AC42+пільги!AC42+субсидії!AC42+'держ.бюджет'!AC42+'місц.-районн.бюджет'!AC42+областной!AC42+інші!AC42</f>
        <v>79857.6</v>
      </c>
      <c r="AD42" s="11">
        <f>AC42/AB42*100</f>
        <v>83.74118101054505</v>
      </c>
      <c r="AE42" s="18">
        <f>'насел.'!AE42+пільги!AE42+субсидії!AE42+'держ.бюджет'!AE42+'місц.-районн.бюджет'!AE42+областной!AE42+інші!AE42</f>
        <v>703873.7</v>
      </c>
      <c r="AF42" s="18">
        <f>'насел.'!AF42+пільги!AF42+субсидії!AF42+'держ.бюджет'!AF42+'місц.-районн.бюджет'!AF42+областной!AF42+інші!AF42</f>
        <v>573694.3</v>
      </c>
      <c r="AG42" s="11">
        <f>AF42/AE42*100</f>
        <v>81.50528994051065</v>
      </c>
      <c r="AH42" s="11">
        <f>AE42-AF42</f>
        <v>130179.3999999999</v>
      </c>
      <c r="AI42" s="14">
        <f>'насел.'!AI42+пільги!AI42+субсидії!AI42+'держ.бюджет'!AI42+'місц.-районн.бюджет'!AI42+областной!AI42+інші!AI42</f>
        <v>726756.2</v>
      </c>
      <c r="AJ42" s="48"/>
      <c r="AK42" s="48"/>
    </row>
    <row r="43" spans="1:39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607677.7000000001</v>
      </c>
      <c r="D43" s="18">
        <f>'насел.'!D43+пільги!D43+субсидії!D43+'держ.бюджет'!D43+'місц.-районн.бюджет'!D43+областной!D43+інші!D43</f>
        <v>126611.20000000001</v>
      </c>
      <c r="E43" s="18">
        <f>'насел.'!E43+пільги!E43+субсидії!E43+'держ.бюджет'!E43+'місц.-районн.бюджет'!E43+областной!E43+інші!E43</f>
        <v>111309.09999999998</v>
      </c>
      <c r="F43" s="18">
        <f>'насел.'!F43+пільги!F43+субсидії!F43+'держ.бюджет'!F43+'місц.-районн.бюджет'!F43+областной!F43+інші!F43</f>
        <v>496.81899801228207</v>
      </c>
      <c r="G43" s="18">
        <f>'насел.'!G43+пільги!G43+субсидії!G43+'держ.бюджет'!G43+'місц.-районн.бюджет'!G43+областной!G43+інші!G43</f>
        <v>127243.1</v>
      </c>
      <c r="H43" s="18">
        <f>'насел.'!H43+пільги!H43+субсидії!H43+'держ.бюджет'!H43+'місц.-районн.бюджет'!H43+областной!H43+інші!H43</f>
        <v>82281.20000000001</v>
      </c>
      <c r="I43" s="18">
        <f>'насел.'!I43+пільги!I43+субсидії!I43+'держ.бюджет'!I43+'місц.-районн.бюджет'!I43+областной!I43+інші!I43</f>
        <v>409.125689756235</v>
      </c>
      <c r="J43" s="18">
        <f>'насел.'!J43+пільги!J43+субсидії!J43+'держ.бюджет'!J43+'місц.-районн.бюджет'!J43+областной!J43+інші!J43</f>
        <v>128569.70000000001</v>
      </c>
      <c r="K43" s="18">
        <f>'насел.'!K43+пільги!K43+субсидії!K43+'держ.бюджет'!K43+'місц.-районн.бюджет'!K43+областной!K43+інші!K43</f>
        <v>126438.6</v>
      </c>
      <c r="L43" s="18">
        <f>'насел.'!L43+пільги!L43+субсидії!L43+'держ.бюджет'!L43+'місц.-районн.бюджет'!L43+областной!L43+інші!L43</f>
        <v>700.2231930229152</v>
      </c>
      <c r="M43" s="18">
        <f>'насел.'!M43+пільги!M43+субсидії!M43+'держ.бюджет'!M43+'місц.-районн.бюджет'!M43+областной!M43+інші!M43</f>
        <v>382424.00000000006</v>
      </c>
      <c r="N43" s="18">
        <f>'насел.'!N43+пільги!N43+субсидії!N43+'держ.бюджет'!N43+'місц.-районн.бюджет'!N43+областной!N43+інші!N43</f>
        <v>320028.89999999997</v>
      </c>
      <c r="O43" s="11">
        <f t="shared" si="2"/>
        <v>83.68431374599919</v>
      </c>
      <c r="P43" s="18">
        <f>'насел.'!P43+пільги!P43+субсидії!P43+'держ.бюджет'!P43+'місц.-районн.бюджет'!P43+областной!P43+інші!P43</f>
        <v>125318.7</v>
      </c>
      <c r="Q43" s="18">
        <f>'насел.'!Q43+пільги!Q43+субсидії!Q43+'держ.бюджет'!Q43+'місц.-районн.бюджет'!Q43+областной!Q43+інші!Q43</f>
        <v>113711.00000000001</v>
      </c>
      <c r="R43" s="11">
        <f>Q43/P43*100</f>
        <v>90.73745578273635</v>
      </c>
      <c r="S43" s="18">
        <f>'насел.'!S43+пільги!S43+субсидії!S43+'держ.бюджет'!S43+'місц.-районн.бюджет'!S43+областной!S43+інші!S43</f>
        <v>116774.4</v>
      </c>
      <c r="T43" s="18">
        <f>'насел.'!T43+пільги!T43+субсидії!T43+'держ.бюджет'!T43+'місц.-районн.бюджет'!T43+областной!T43+інші!T43</f>
        <v>111875.40000000002</v>
      </c>
      <c r="U43" s="11">
        <f>T43/S43*100</f>
        <v>95.80473117395596</v>
      </c>
      <c r="V43" s="18">
        <f>'насел.'!V43+пільги!V43+субсидії!V43+'держ.бюджет'!V43+'місц.-районн.бюджет'!V43+областной!V43+інші!V43</f>
        <v>121811.49999999999</v>
      </c>
      <c r="W43" s="18">
        <f>'насел.'!W43+пільги!W43+субсидії!W43+'держ.бюджет'!W43+'місц.-районн.бюджет'!W43+областной!W43+інші!W43</f>
        <v>85406.59999999999</v>
      </c>
      <c r="X43" s="11">
        <f>W43/V43*100</f>
        <v>70.11374131342279</v>
      </c>
      <c r="Y43" s="18">
        <f>'насел.'!Y43+пільги!Y43+субсидії!Y43+'держ.бюджет'!Y43+'місц.-районн.бюджет'!Y43+областной!Y43+інші!Y43</f>
        <v>363904.6000000001</v>
      </c>
      <c r="Z43" s="18">
        <f>'насел.'!Z43+пільги!Z43+субсидії!Z43+'держ.бюджет'!Z43+'місц.-районн.бюджет'!Z43+областной!Z43+інші!Z43</f>
        <v>310993</v>
      </c>
      <c r="AA43" s="11">
        <f t="shared" si="17"/>
        <v>85.46003540488356</v>
      </c>
      <c r="AB43" s="18">
        <f>'насел.'!AB43+пільги!AB43+субсидії!AB43+'держ.бюджет'!AB43+'місц.-районн.бюджет'!AB43+областной!AB43+інші!AB43</f>
        <v>118856.73000000001</v>
      </c>
      <c r="AC43" s="18">
        <f>'насел.'!AC43+пільги!AC43+субсидії!AC43+'держ.бюджет'!AC43+'місц.-районн.бюджет'!AC43+областной!AC43+інші!AC43</f>
        <v>97467.56</v>
      </c>
      <c r="AD43" s="11">
        <f>AC43/AB43*100</f>
        <v>82.00424157723334</v>
      </c>
      <c r="AE43" s="18">
        <f>'насел.'!AE43+пільги!AE43+субсидії!AE43+'держ.бюджет'!AE43+'місц.-районн.бюджет'!AE43+областной!AE43+інші!AE43</f>
        <v>865185.3300000001</v>
      </c>
      <c r="AF43" s="18">
        <f>'насел.'!AF43+пільги!AF43+субсидії!AF43+'держ.бюджет'!AF43+'місц.-районн.бюджет'!AF43+областной!AF43+інші!AF43</f>
        <v>728489.4600000001</v>
      </c>
      <c r="AG43" s="11">
        <f>AF43/AE43*100</f>
        <v>84.20039438255385</v>
      </c>
      <c r="AH43" s="18">
        <f>'насел.'!AH43+пільги!AH43+субсидії!AH43+'держ.бюджет'!AH43+'місц.-районн.бюджет'!AH43+областной!AH43+інші!AH43</f>
        <v>136695.87</v>
      </c>
      <c r="AI43" s="18">
        <f>'насел.'!AI43+пільги!AI43+субсидії!AI43+'держ.бюджет'!AI43+'місц.-районн.бюджет'!AI43+областной!AI43+інші!AI43</f>
        <v>744373.5700000001</v>
      </c>
      <c r="AJ43" s="48">
        <f>M43+Y43+AB43</f>
        <v>865185.3300000001</v>
      </c>
      <c r="AK43" s="48">
        <f>N43+Z43+AC43</f>
        <v>728489.46</v>
      </c>
      <c r="AL43" s="48">
        <f>AJ43-AK43</f>
        <v>136695.8700000001</v>
      </c>
      <c r="AM43" s="48">
        <f>C43+AE43-AF43</f>
        <v>744373.5700000002</v>
      </c>
    </row>
    <row r="44" spans="1:39" ht="32.25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9"/>
      <c r="AK44" s="19"/>
      <c r="AL44" s="48"/>
      <c r="AM44" s="48"/>
    </row>
    <row r="45" spans="1:47" ht="3.7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K45" s="20"/>
      <c r="AS45" s="12"/>
      <c r="AT45" s="12"/>
      <c r="AU45" s="21"/>
    </row>
    <row r="46" spans="2:35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23"/>
      <c r="AF46" s="23"/>
      <c r="AG46" s="59"/>
      <c r="AH46" s="23"/>
      <c r="AI46" s="23">
        <f>D43-E43</f>
        <v>15302.100000000035</v>
      </c>
    </row>
    <row r="47" spans="1:48" s="12" customFormat="1" ht="25.5" customHeight="1">
      <c r="A47" s="24"/>
      <c r="B47" s="24"/>
      <c r="C47" s="25"/>
      <c r="D47" s="26">
        <f>D43-E43</f>
        <v>15302.100000000035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7"/>
      <c r="AQ47" s="6"/>
      <c r="AR47" s="6"/>
      <c r="AS47" s="29"/>
      <c r="AT47" s="6"/>
      <c r="AV47" s="6"/>
    </row>
    <row r="48" spans="1:48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7"/>
      <c r="AQ48" s="6"/>
      <c r="AR48" s="6"/>
      <c r="AS48" s="29"/>
      <c r="AT48" s="6"/>
      <c r="AV48" s="6"/>
    </row>
    <row r="49" spans="1:48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7"/>
      <c r="AQ49" s="6"/>
      <c r="AR49" s="6"/>
      <c r="AS49" s="29"/>
      <c r="AT49" s="6"/>
      <c r="AV49" s="6"/>
    </row>
    <row r="50" spans="1:48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7"/>
      <c r="AQ50" s="6"/>
      <c r="AR50" s="6"/>
      <c r="AS50" s="29"/>
      <c r="AT50" s="6"/>
      <c r="AV50" s="6"/>
    </row>
    <row r="51" spans="1:48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21"/>
      <c r="AF51" s="21"/>
      <c r="AG51" s="60"/>
      <c r="AH51" s="21"/>
      <c r="AI51" s="21"/>
      <c r="AJ51" s="21"/>
      <c r="AK51" s="21"/>
      <c r="AL51" s="21"/>
      <c r="AM51" s="21"/>
      <c r="AN51" s="21"/>
      <c r="AO51" s="21"/>
      <c r="AP51" s="21"/>
      <c r="AQ51" s="7"/>
      <c r="AR51" s="7"/>
      <c r="AS51" s="32"/>
      <c r="AT51" s="7"/>
      <c r="AV51" s="7"/>
    </row>
    <row r="52" spans="1:36" s="38" customFormat="1" ht="42" customHeight="1">
      <c r="A52" s="33"/>
      <c r="B52" s="157" t="s">
        <v>138</v>
      </c>
      <c r="C52" s="157"/>
      <c r="D52" s="157"/>
      <c r="E52" s="157"/>
      <c r="F52" s="157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34"/>
      <c r="AF52" s="34"/>
      <c r="AG52" s="61"/>
      <c r="AH52" s="35" t="s">
        <v>137</v>
      </c>
      <c r="AI52" s="36"/>
      <c r="AJ52" s="37"/>
    </row>
    <row r="53" spans="1:35" ht="73.5" customHeight="1" hidden="1">
      <c r="A53" s="153" t="s">
        <v>134</v>
      </c>
      <c r="B53" s="153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0"/>
      <c r="AF53" s="40"/>
      <c r="AG53" s="41"/>
      <c r="AI53" s="4" t="s">
        <v>135</v>
      </c>
    </row>
  </sheetData>
  <sheetProtection/>
  <mergeCells count="19">
    <mergeCell ref="A53:B53"/>
    <mergeCell ref="A44:AI45"/>
    <mergeCell ref="B52:F52"/>
    <mergeCell ref="D5:F5"/>
    <mergeCell ref="G5:I5"/>
    <mergeCell ref="AE5:AG5"/>
    <mergeCell ref="M5:O5"/>
    <mergeCell ref="J5:L5"/>
    <mergeCell ref="AH5:AH6"/>
    <mergeCell ref="AI5:AI6"/>
    <mergeCell ref="P5:R5"/>
    <mergeCell ref="I1:AI1"/>
    <mergeCell ref="B2:AI2"/>
    <mergeCell ref="B3:AI3"/>
    <mergeCell ref="B4:F4"/>
    <mergeCell ref="S5:U5"/>
    <mergeCell ref="V5:X5"/>
    <mergeCell ref="Y5:AA5"/>
    <mergeCell ref="AB5:AD5"/>
  </mergeCells>
  <printOptions horizontalCentered="1"/>
  <pageMargins left="0" right="0" top="0" bottom="0" header="0" footer="0"/>
  <pageSetup fitToHeight="1" fitToWidth="1" horizontalDpi="600" verticalDpi="600" orientation="landscape" paperSize="9" scale="47" r:id="rId1"/>
  <rowBreaks count="1" manualBreakCount="1">
    <brk id="30" min="1" max="28" man="1"/>
  </rowBreaks>
  <colBreaks count="1" manualBreakCount="1">
    <brk id="34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T93"/>
  <sheetViews>
    <sheetView view="pageBreakPreview" zoomScale="76" zoomScaleNormal="50" zoomScaleSheetLayoutView="76" zoomScalePageLayoutView="0" workbookViewId="0" topLeftCell="A1">
      <pane xSplit="6" ySplit="9" topLeftCell="N4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I29" sqref="Y29:AI29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customWidth="1"/>
    <col min="29" max="29" width="12.125" style="12" customWidth="1"/>
    <col min="30" max="30" width="11.00390625" style="12" customWidth="1"/>
    <col min="31" max="32" width="14.75390625" style="2" customWidth="1"/>
    <col min="33" max="33" width="11.75390625" style="12" customWidth="1"/>
    <col min="34" max="34" width="17.125" style="2" customWidth="1"/>
    <col min="35" max="35" width="21.125" style="2" customWidth="1"/>
    <col min="36" max="36" width="15.375" style="2" customWidth="1"/>
    <col min="37" max="37" width="15.625" style="2" customWidth="1"/>
    <col min="38" max="38" width="10.75390625" style="2" customWidth="1"/>
    <col min="39" max="39" width="14.25390625" style="2" customWidth="1"/>
    <col min="40" max="40" width="6.75390625" style="2" customWidth="1"/>
    <col min="41" max="41" width="12.25390625" style="2" customWidth="1"/>
    <col min="42" max="42" width="10.75390625" style="2" customWidth="1"/>
    <col min="43" max="16384" width="5.75390625" style="2" customWidth="1"/>
  </cols>
  <sheetData>
    <row r="1" spans="9:35" ht="15" customHeight="1">
      <c r="I1" s="150" t="s">
        <v>86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s="63" customFormat="1" ht="42" customHeight="1">
      <c r="A2" s="62"/>
      <c r="B2" s="151" t="s">
        <v>128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63" customFormat="1" ht="42" customHeight="1">
      <c r="A3" s="62"/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8.75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  <c r="AG4" s="6"/>
      <c r="AH4" s="7"/>
      <c r="AI4" s="5" t="s">
        <v>87</v>
      </c>
    </row>
    <row r="5" spans="1:35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154</v>
      </c>
      <c r="Z5" s="147"/>
      <c r="AA5" s="148"/>
      <c r="AB5" s="146" t="s">
        <v>155</v>
      </c>
      <c r="AC5" s="147"/>
      <c r="AD5" s="148"/>
      <c r="AE5" s="158" t="s">
        <v>144</v>
      </c>
      <c r="AF5" s="159"/>
      <c r="AG5" s="160"/>
      <c r="AH5" s="161" t="s">
        <v>156</v>
      </c>
      <c r="AI5" s="161" t="s">
        <v>157</v>
      </c>
    </row>
    <row r="6" spans="1:3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162"/>
      <c r="AI6" s="162"/>
    </row>
    <row r="7" spans="1:46" s="12" customFormat="1" ht="36" customHeight="1">
      <c r="A7" s="8"/>
      <c r="B7" s="9" t="s">
        <v>89</v>
      </c>
      <c r="C7" s="11">
        <f>SUM(C8:C40)</f>
        <v>-17269.100000000002</v>
      </c>
      <c r="D7" s="11">
        <f>SUM(D8:D40)</f>
        <v>1988.1</v>
      </c>
      <c r="E7" s="11">
        <f>SUM(E8:E40)</f>
        <v>7152.5</v>
      </c>
      <c r="F7" s="11">
        <f aca="true" t="shared" si="0" ref="F7:F20">E7/D7*100</f>
        <v>359.7656053518435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1764.3999999999996</v>
      </c>
      <c r="K7" s="11">
        <f>SUM(K8:K40)</f>
        <v>7670.099999999999</v>
      </c>
      <c r="L7" s="11">
        <f aca="true" t="shared" si="2" ref="L7:L24">K7/J7*100</f>
        <v>434.7143504874179</v>
      </c>
      <c r="M7" s="11">
        <f>SUM(M8:M40)</f>
        <v>5368.599999999999</v>
      </c>
      <c r="N7" s="11">
        <f>SUM(N8:N40)</f>
        <v>21650</v>
      </c>
      <c r="O7" s="11">
        <f>N7/M7*100</f>
        <v>403.27087136311144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41392.299999999996</v>
      </c>
      <c r="T7" s="11">
        <f>SUM(T8:T40)</f>
        <v>4817.499999999999</v>
      </c>
      <c r="U7" s="11">
        <f aca="true" t="shared" si="4" ref="U7:U24">T7/S7*100</f>
        <v>11.638638104188459</v>
      </c>
      <c r="V7" s="11">
        <f>SUM(V8:V40)</f>
        <v>17651.2</v>
      </c>
      <c r="W7" s="11">
        <f>SUM(W8:W40)</f>
        <v>9664.000000000002</v>
      </c>
      <c r="X7" s="11">
        <f aca="true" t="shared" si="5" ref="X7:X24">W7/V7*100</f>
        <v>54.749818709209585</v>
      </c>
      <c r="Y7" s="11">
        <f>SUM(Y8:Y40)</f>
        <v>67426.1</v>
      </c>
      <c r="Z7" s="11">
        <f>SUM(Z8:Z40)</f>
        <v>20406.100000000002</v>
      </c>
      <c r="AA7" s="11">
        <f>Z7/Y7*100</f>
        <v>30.264393165257964</v>
      </c>
      <c r="AB7" s="11">
        <f>SUM(AB8:AB40)</f>
        <v>11309.130000000003</v>
      </c>
      <c r="AC7" s="11">
        <f>SUM(AC8:AC40)</f>
        <v>12908.159999999998</v>
      </c>
      <c r="AD7" s="11">
        <f aca="true" t="shared" si="6" ref="AD7:AD24">AC7/AB7*100</f>
        <v>114.13928392369701</v>
      </c>
      <c r="AE7" s="11">
        <f>SUM(AE8:AE40)</f>
        <v>84103.82999999999</v>
      </c>
      <c r="AF7" s="11">
        <f>SUM(AF8:AF40)</f>
        <v>54964.26000000001</v>
      </c>
      <c r="AG7" s="11">
        <f aca="true" t="shared" si="7" ref="AG7:AG42">AF7/AE7*100</f>
        <v>65.35286205158555</v>
      </c>
      <c r="AH7" s="11">
        <f>SUM(AH8:AH40)</f>
        <v>29139.57</v>
      </c>
      <c r="AI7" s="11">
        <f>SUM(AI8:AI40)</f>
        <v>11870.469999999998</v>
      </c>
      <c r="AJ7" s="27">
        <f>SUM(AH8:AH40)</f>
        <v>29139.57</v>
      </c>
      <c r="AK7" s="27">
        <f>SUM(AI8:AI40)</f>
        <v>11870.469999999998</v>
      </c>
      <c r="AL7" s="86"/>
      <c r="AM7" s="27"/>
      <c r="AN7" s="27"/>
      <c r="AO7" s="27"/>
      <c r="AP7" s="27"/>
      <c r="AQ7" s="24"/>
      <c r="AR7" s="24"/>
      <c r="AS7" s="24"/>
      <c r="AT7" s="24"/>
    </row>
    <row r="8" spans="1:46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8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44">
        <v>1252.6</v>
      </c>
      <c r="T8" s="44">
        <v>669.4</v>
      </c>
      <c r="U8" s="11">
        <f t="shared" si="4"/>
        <v>53.44084304646336</v>
      </c>
      <c r="V8" s="44">
        <v>1234.8</v>
      </c>
      <c r="W8" s="44">
        <v>670.2</v>
      </c>
      <c r="X8" s="11">
        <f t="shared" si="5"/>
        <v>54.275996112730816</v>
      </c>
      <c r="Y8" s="89">
        <f>P8+S8+V8</f>
        <v>3050.7</v>
      </c>
      <c r="Z8" s="89">
        <f>Q8+T8+W8</f>
        <v>1887.6000000000001</v>
      </c>
      <c r="AA8" s="11">
        <f aca="true" t="shared" si="9" ref="AA8:AA28">Z8/Y8*100</f>
        <v>61.87432392565641</v>
      </c>
      <c r="AB8" s="44">
        <v>3006.2</v>
      </c>
      <c r="AC8" s="44">
        <v>859.6</v>
      </c>
      <c r="AD8" s="11">
        <f t="shared" si="6"/>
        <v>28.594238573614533</v>
      </c>
      <c r="AE8" s="72">
        <f>M8+Y8+AB8</f>
        <v>6477.4</v>
      </c>
      <c r="AF8" s="72">
        <f>N8+Z8+AC8</f>
        <v>4481.3</v>
      </c>
      <c r="AG8" s="11">
        <f t="shared" si="7"/>
        <v>69.18362305863465</v>
      </c>
      <c r="AH8" s="89">
        <f>AE8-AF8</f>
        <v>1996.0999999999995</v>
      </c>
      <c r="AI8" s="90">
        <f>C8+AE8-AF8</f>
        <v>-2248.2000000000007</v>
      </c>
      <c r="AJ8" s="45"/>
      <c r="AK8" s="45"/>
      <c r="AL8" s="45"/>
      <c r="AM8" s="45"/>
      <c r="AN8" s="46"/>
      <c r="AO8" s="46"/>
      <c r="AP8" s="45"/>
      <c r="AQ8" s="46"/>
      <c r="AR8" s="46"/>
      <c r="AS8" s="46"/>
      <c r="AT8" s="46"/>
    </row>
    <row r="9" spans="1:46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10" ref="M9:M42">D9+G9+J9</f>
        <v>-190.10000000000002</v>
      </c>
      <c r="N9" s="89">
        <f aca="true" t="shared" si="11" ref="N9:N42">E9+H9+K9</f>
        <v>193.6</v>
      </c>
      <c r="O9" s="11">
        <f t="shared" si="8"/>
        <v>-101.84113624408204</v>
      </c>
      <c r="P9" s="44">
        <v>58.5</v>
      </c>
      <c r="Q9" s="44">
        <v>60</v>
      </c>
      <c r="R9" s="11">
        <f t="shared" si="3"/>
        <v>102.56410256410255</v>
      </c>
      <c r="S9" s="44">
        <v>1142.5</v>
      </c>
      <c r="T9" s="44">
        <v>81.5</v>
      </c>
      <c r="U9" s="11">
        <f t="shared" si="4"/>
        <v>7.133479212253829</v>
      </c>
      <c r="V9" s="44">
        <v>138</v>
      </c>
      <c r="W9" s="44">
        <v>116.1</v>
      </c>
      <c r="X9" s="11">
        <f t="shared" si="5"/>
        <v>84.13043478260869</v>
      </c>
      <c r="Y9" s="89">
        <f aca="true" t="shared" si="12" ref="Y9:Y28">P9+S9+V9</f>
        <v>1339</v>
      </c>
      <c r="Z9" s="89">
        <f aca="true" t="shared" si="13" ref="Z9:Z28">Q9+T9+W9</f>
        <v>257.6</v>
      </c>
      <c r="AA9" s="11">
        <f t="shared" si="9"/>
        <v>19.238237490664677</v>
      </c>
      <c r="AB9" s="44">
        <v>7.1</v>
      </c>
      <c r="AC9" s="44">
        <v>126.7</v>
      </c>
      <c r="AD9" s="11">
        <f t="shared" si="6"/>
        <v>1784.5070422535211</v>
      </c>
      <c r="AE9" s="72">
        <f aca="true" t="shared" si="14" ref="AE9:AE40">M9+Y9+AB9</f>
        <v>1156</v>
      </c>
      <c r="AF9" s="72">
        <f aca="true" t="shared" si="15" ref="AF9:AF40">N9+Z9+AC9</f>
        <v>577.9000000000001</v>
      </c>
      <c r="AG9" s="11">
        <f t="shared" si="7"/>
        <v>49.991349480968864</v>
      </c>
      <c r="AH9" s="89">
        <f aca="true" t="shared" si="16" ref="AH9:AH42">AE9-AF9</f>
        <v>578.0999999999999</v>
      </c>
      <c r="AI9" s="90">
        <f aca="true" t="shared" si="17" ref="AI9:AI42">C9+AE9-AF9</f>
        <v>-766.1000000000001</v>
      </c>
      <c r="AJ9" s="45"/>
      <c r="AK9" s="45"/>
      <c r="AL9" s="45"/>
      <c r="AM9" s="45"/>
      <c r="AN9" s="46"/>
      <c r="AO9" s="46"/>
      <c r="AP9" s="45"/>
      <c r="AQ9" s="46"/>
      <c r="AR9" s="46"/>
      <c r="AS9" s="46"/>
      <c r="AT9" s="46"/>
    </row>
    <row r="10" spans="1:46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10"/>
        <v>-99</v>
      </c>
      <c r="N10" s="89">
        <f t="shared" si="11"/>
        <v>48.800000000000004</v>
      </c>
      <c r="O10" s="11">
        <f t="shared" si="8"/>
        <v>-49.2929292929293</v>
      </c>
      <c r="P10" s="44">
        <v>1.7</v>
      </c>
      <c r="Q10" s="44">
        <v>10.9</v>
      </c>
      <c r="R10" s="11">
        <f t="shared" si="3"/>
        <v>641.1764705882354</v>
      </c>
      <c r="S10" s="44">
        <v>55.1</v>
      </c>
      <c r="T10" s="44">
        <v>18.5</v>
      </c>
      <c r="U10" s="11">
        <f t="shared" si="4"/>
        <v>33.57531760435572</v>
      </c>
      <c r="V10" s="44">
        <v>271.3</v>
      </c>
      <c r="W10" s="44">
        <v>21.7</v>
      </c>
      <c r="X10" s="11">
        <f t="shared" si="5"/>
        <v>7.998525617397714</v>
      </c>
      <c r="Y10" s="89">
        <f t="shared" si="12"/>
        <v>328.1</v>
      </c>
      <c r="Z10" s="89">
        <f t="shared" si="13"/>
        <v>51.099999999999994</v>
      </c>
      <c r="AA10" s="11">
        <f t="shared" si="9"/>
        <v>15.574519963425782</v>
      </c>
      <c r="AB10" s="44">
        <v>-14.1</v>
      </c>
      <c r="AC10" s="44">
        <v>26.6</v>
      </c>
      <c r="AD10" s="11">
        <f t="shared" si="6"/>
        <v>-188.65248226950357</v>
      </c>
      <c r="AE10" s="72">
        <f t="shared" si="14"/>
        <v>215.00000000000003</v>
      </c>
      <c r="AF10" s="72">
        <f t="shared" si="15"/>
        <v>126.5</v>
      </c>
      <c r="AG10" s="11">
        <f t="shared" si="7"/>
        <v>58.837209302325576</v>
      </c>
      <c r="AH10" s="89">
        <f t="shared" si="16"/>
        <v>88.50000000000003</v>
      </c>
      <c r="AI10" s="90">
        <f t="shared" si="17"/>
        <v>-108.49999999999997</v>
      </c>
      <c r="AJ10" s="45"/>
      <c r="AK10" s="45"/>
      <c r="AL10" s="45"/>
      <c r="AM10" s="45"/>
      <c r="AN10" s="46"/>
      <c r="AO10" s="46"/>
      <c r="AP10" s="45"/>
      <c r="AQ10" s="46"/>
      <c r="AR10" s="46"/>
      <c r="AS10" s="46"/>
      <c r="AT10" s="46"/>
    </row>
    <row r="11" spans="1:46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10"/>
        <v>420.2</v>
      </c>
      <c r="N11" s="89">
        <f t="shared" si="11"/>
        <v>789.4000000000001</v>
      </c>
      <c r="O11" s="11">
        <f t="shared" si="8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44">
        <v>249.1</v>
      </c>
      <c r="T11" s="44">
        <v>-439.5</v>
      </c>
      <c r="U11" s="11">
        <f t="shared" si="4"/>
        <v>-176.43516659975913</v>
      </c>
      <c r="V11" s="44">
        <v>312.4</v>
      </c>
      <c r="W11" s="44">
        <v>306.2</v>
      </c>
      <c r="X11" s="11">
        <f t="shared" si="5"/>
        <v>98.01536491677338</v>
      </c>
      <c r="Y11" s="89">
        <f t="shared" si="12"/>
        <v>692.9</v>
      </c>
      <c r="Z11" s="89">
        <f t="shared" si="13"/>
        <v>-61.900000000000034</v>
      </c>
      <c r="AA11" s="11">
        <f t="shared" si="9"/>
        <v>-8.933468032905187</v>
      </c>
      <c r="AB11" s="44">
        <v>0</v>
      </c>
      <c r="AC11" s="44">
        <v>0</v>
      </c>
      <c r="AD11" s="171">
        <v>0</v>
      </c>
      <c r="AE11" s="72">
        <f t="shared" si="14"/>
        <v>1113.1</v>
      </c>
      <c r="AF11" s="72">
        <f t="shared" si="15"/>
        <v>727.5</v>
      </c>
      <c r="AG11" s="11">
        <f t="shared" si="7"/>
        <v>65.35800916359716</v>
      </c>
      <c r="AH11" s="89">
        <f t="shared" si="16"/>
        <v>385.5999999999999</v>
      </c>
      <c r="AI11" s="90">
        <f t="shared" si="17"/>
        <v>-692.3000000000002</v>
      </c>
      <c r="AJ11" s="45"/>
      <c r="AK11" s="45"/>
      <c r="AL11" s="45"/>
      <c r="AM11" s="45"/>
      <c r="AN11" s="46"/>
      <c r="AO11" s="46"/>
      <c r="AP11" s="45"/>
      <c r="AQ11" s="46"/>
      <c r="AR11" s="46"/>
      <c r="AS11" s="46"/>
      <c r="AT11" s="46"/>
    </row>
    <row r="12" spans="1:46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10"/>
        <v>-72.2</v>
      </c>
      <c r="N12" s="89">
        <f t="shared" si="11"/>
        <v>216.29999999999998</v>
      </c>
      <c r="O12" s="11">
        <f t="shared" si="8"/>
        <v>-299.58448753462596</v>
      </c>
      <c r="P12" s="44">
        <v>70.4</v>
      </c>
      <c r="Q12" s="44">
        <v>59.1</v>
      </c>
      <c r="R12" s="141">
        <f t="shared" si="3"/>
        <v>83.94886363636364</v>
      </c>
      <c r="S12" s="44">
        <v>298.9</v>
      </c>
      <c r="T12" s="44">
        <v>93.8</v>
      </c>
      <c r="U12" s="141">
        <f t="shared" si="4"/>
        <v>31.381733021077284</v>
      </c>
      <c r="V12" s="44">
        <v>745.4</v>
      </c>
      <c r="W12" s="44">
        <v>140.8</v>
      </c>
      <c r="X12" s="141">
        <f t="shared" si="5"/>
        <v>18.88918701368393</v>
      </c>
      <c r="Y12" s="89">
        <f>P12+S12+V12</f>
        <v>1114.6999999999998</v>
      </c>
      <c r="Z12" s="89">
        <f t="shared" si="13"/>
        <v>293.70000000000005</v>
      </c>
      <c r="AA12" s="11">
        <f t="shared" si="9"/>
        <v>26.347896294967267</v>
      </c>
      <c r="AB12" s="44">
        <v>-29.4</v>
      </c>
      <c r="AC12" s="44">
        <v>142.6</v>
      </c>
      <c r="AD12" s="141">
        <f t="shared" si="6"/>
        <v>-485.0340136054422</v>
      </c>
      <c r="AE12" s="72">
        <f t="shared" si="14"/>
        <v>1013.0999999999998</v>
      </c>
      <c r="AF12" s="72">
        <f t="shared" si="15"/>
        <v>652.6</v>
      </c>
      <c r="AG12" s="11">
        <f t="shared" si="7"/>
        <v>64.41614845523642</v>
      </c>
      <c r="AH12" s="89">
        <f t="shared" si="16"/>
        <v>360.4999999999998</v>
      </c>
      <c r="AI12" s="90">
        <f t="shared" si="17"/>
        <v>-197.50000000000023</v>
      </c>
      <c r="AJ12" s="45"/>
      <c r="AK12" s="45"/>
      <c r="AL12" s="45"/>
      <c r="AM12" s="45"/>
      <c r="AN12" s="46"/>
      <c r="AO12" s="46"/>
      <c r="AP12" s="45"/>
      <c r="AQ12" s="46"/>
      <c r="AR12" s="46"/>
      <c r="AS12" s="46"/>
      <c r="AT12" s="46"/>
    </row>
    <row r="13" spans="1:46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10"/>
        <v>-180.4</v>
      </c>
      <c r="N13" s="89">
        <f t="shared" si="11"/>
        <v>389.70000000000005</v>
      </c>
      <c r="O13" s="11">
        <f t="shared" si="8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44">
        <v>1414.2</v>
      </c>
      <c r="T13" s="44">
        <v>147.9</v>
      </c>
      <c r="U13" s="11">
        <f t="shared" si="4"/>
        <v>10.458209588459907</v>
      </c>
      <c r="V13" s="44">
        <v>-24.3</v>
      </c>
      <c r="W13" s="44">
        <v>130.1</v>
      </c>
      <c r="X13" s="11">
        <f t="shared" si="5"/>
        <v>-535.3909465020575</v>
      </c>
      <c r="Y13" s="89">
        <f t="shared" si="12"/>
        <v>1507</v>
      </c>
      <c r="Z13" s="89">
        <f t="shared" si="13"/>
        <v>386.29999999999995</v>
      </c>
      <c r="AA13" s="11">
        <f t="shared" si="9"/>
        <v>25.633709356337093</v>
      </c>
      <c r="AB13" s="44">
        <v>92</v>
      </c>
      <c r="AC13" s="44">
        <v>180</v>
      </c>
      <c r="AD13" s="11">
        <f t="shared" si="6"/>
        <v>195.65217391304347</v>
      </c>
      <c r="AE13" s="72">
        <f t="shared" si="14"/>
        <v>1418.6</v>
      </c>
      <c r="AF13" s="72">
        <f t="shared" si="15"/>
        <v>956</v>
      </c>
      <c r="AG13" s="11">
        <f t="shared" si="7"/>
        <v>67.39038488650783</v>
      </c>
      <c r="AH13" s="89">
        <f t="shared" si="16"/>
        <v>462.5999999999999</v>
      </c>
      <c r="AI13" s="90">
        <f t="shared" si="17"/>
        <v>-1336.5</v>
      </c>
      <c r="AJ13" s="45"/>
      <c r="AK13" s="45"/>
      <c r="AL13" s="45"/>
      <c r="AM13" s="45"/>
      <c r="AN13" s="46"/>
      <c r="AO13" s="46"/>
      <c r="AP13" s="45"/>
      <c r="AQ13" s="46"/>
      <c r="AR13" s="46"/>
      <c r="AS13" s="46"/>
      <c r="AT13" s="46"/>
    </row>
    <row r="14" spans="1:46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10"/>
        <v>-83</v>
      </c>
      <c r="N14" s="89">
        <f t="shared" si="11"/>
        <v>84.6</v>
      </c>
      <c r="O14" s="11">
        <f t="shared" si="8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44">
        <v>170.9</v>
      </c>
      <c r="T14" s="44">
        <v>37.7</v>
      </c>
      <c r="U14" s="11">
        <f t="shared" si="4"/>
        <v>22.05968402574605</v>
      </c>
      <c r="V14" s="44">
        <v>84.4</v>
      </c>
      <c r="W14" s="44">
        <v>45.9</v>
      </c>
      <c r="X14" s="11">
        <f t="shared" si="5"/>
        <v>54.38388625592416</v>
      </c>
      <c r="Y14" s="89">
        <f t="shared" si="12"/>
        <v>230</v>
      </c>
      <c r="Z14" s="89">
        <f t="shared" si="13"/>
        <v>108.4</v>
      </c>
      <c r="AA14" s="11">
        <f t="shared" si="9"/>
        <v>47.1304347826087</v>
      </c>
      <c r="AB14" s="44">
        <v>158.1</v>
      </c>
      <c r="AC14" s="44">
        <v>53.7</v>
      </c>
      <c r="AD14" s="11">
        <f t="shared" si="6"/>
        <v>33.96584440227704</v>
      </c>
      <c r="AE14" s="72">
        <f t="shared" si="14"/>
        <v>305.1</v>
      </c>
      <c r="AF14" s="72">
        <f t="shared" si="15"/>
        <v>246.7</v>
      </c>
      <c r="AG14" s="11">
        <f t="shared" si="7"/>
        <v>80.85873484103571</v>
      </c>
      <c r="AH14" s="89">
        <f t="shared" si="16"/>
        <v>58.400000000000034</v>
      </c>
      <c r="AI14" s="90">
        <f t="shared" si="17"/>
        <v>-380.99999999999994</v>
      </c>
      <c r="AJ14" s="45"/>
      <c r="AK14" s="45"/>
      <c r="AL14" s="45"/>
      <c r="AM14" s="45"/>
      <c r="AN14" s="46"/>
      <c r="AO14" s="46"/>
      <c r="AP14" s="45"/>
      <c r="AQ14" s="46"/>
      <c r="AR14" s="46"/>
      <c r="AS14" s="46"/>
      <c r="AT14" s="46"/>
    </row>
    <row r="15" spans="1:46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10"/>
        <v>698.2</v>
      </c>
      <c r="N15" s="89">
        <f t="shared" si="11"/>
        <v>903</v>
      </c>
      <c r="O15" s="11">
        <f t="shared" si="8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44">
        <v>1615.4</v>
      </c>
      <c r="T15" s="44">
        <v>833.3</v>
      </c>
      <c r="U15" s="11">
        <f t="shared" si="4"/>
        <v>51.58474681193512</v>
      </c>
      <c r="V15" s="44">
        <v>1000.7</v>
      </c>
      <c r="W15" s="44">
        <v>634.2</v>
      </c>
      <c r="X15" s="11">
        <f t="shared" si="5"/>
        <v>63.37563705406216</v>
      </c>
      <c r="Y15" s="89">
        <f t="shared" si="12"/>
        <v>3211.6000000000004</v>
      </c>
      <c r="Z15" s="89">
        <f t="shared" si="13"/>
        <v>1875.3</v>
      </c>
      <c r="AA15" s="11">
        <f t="shared" si="9"/>
        <v>58.39145597210113</v>
      </c>
      <c r="AB15" s="44">
        <v>710.8</v>
      </c>
      <c r="AC15" s="44">
        <v>543</v>
      </c>
      <c r="AD15" s="11">
        <f t="shared" si="6"/>
        <v>76.39279684862129</v>
      </c>
      <c r="AE15" s="72">
        <f t="shared" si="14"/>
        <v>4620.6</v>
      </c>
      <c r="AF15" s="72">
        <f t="shared" si="15"/>
        <v>3321.3</v>
      </c>
      <c r="AG15" s="11">
        <f t="shared" si="7"/>
        <v>71.88027528892351</v>
      </c>
      <c r="AH15" s="89">
        <f t="shared" si="16"/>
        <v>1299.3000000000002</v>
      </c>
      <c r="AI15" s="90">
        <f t="shared" si="17"/>
        <v>572</v>
      </c>
      <c r="AJ15" s="45"/>
      <c r="AK15" s="45"/>
      <c r="AL15" s="45"/>
      <c r="AM15" s="45"/>
      <c r="AN15" s="46"/>
      <c r="AO15" s="46"/>
      <c r="AP15" s="45"/>
      <c r="AQ15" s="46"/>
      <c r="AR15" s="46"/>
      <c r="AS15" s="46"/>
      <c r="AT15" s="46"/>
    </row>
    <row r="16" spans="1:46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10"/>
        <v>-12.8</v>
      </c>
      <c r="N16" s="89">
        <f t="shared" si="11"/>
        <v>26.9</v>
      </c>
      <c r="O16" s="11">
        <f t="shared" si="8"/>
        <v>-210.15624999999994</v>
      </c>
      <c r="P16" s="44">
        <v>14.6</v>
      </c>
      <c r="Q16" s="44">
        <v>7.3</v>
      </c>
      <c r="R16" s="11">
        <f t="shared" si="3"/>
        <v>50</v>
      </c>
      <c r="S16" s="44">
        <v>29.2</v>
      </c>
      <c r="T16" s="44">
        <v>13.3</v>
      </c>
      <c r="U16" s="11">
        <f t="shared" si="4"/>
        <v>45.54794520547946</v>
      </c>
      <c r="V16" s="44">
        <v>35.3</v>
      </c>
      <c r="W16" s="44">
        <v>14.2</v>
      </c>
      <c r="X16" s="11">
        <f t="shared" si="5"/>
        <v>40.226628895184135</v>
      </c>
      <c r="Y16" s="89">
        <f t="shared" si="12"/>
        <v>79.1</v>
      </c>
      <c r="Z16" s="89">
        <f t="shared" si="13"/>
        <v>34.8</v>
      </c>
      <c r="AA16" s="11">
        <f t="shared" si="9"/>
        <v>43.994943109987354</v>
      </c>
      <c r="AB16" s="44">
        <v>33.7</v>
      </c>
      <c r="AC16" s="44">
        <v>21.8</v>
      </c>
      <c r="AD16" s="11">
        <f t="shared" si="6"/>
        <v>64.68842729970326</v>
      </c>
      <c r="AE16" s="72">
        <f t="shared" si="14"/>
        <v>100</v>
      </c>
      <c r="AF16" s="72">
        <f t="shared" si="15"/>
        <v>83.5</v>
      </c>
      <c r="AG16" s="11">
        <f t="shared" si="7"/>
        <v>83.5</v>
      </c>
      <c r="AH16" s="89">
        <f t="shared" si="16"/>
        <v>16.5</v>
      </c>
      <c r="AI16" s="90">
        <f t="shared" si="17"/>
        <v>-85.6</v>
      </c>
      <c r="AJ16" s="45"/>
      <c r="AK16" s="45"/>
      <c r="AL16" s="45"/>
      <c r="AM16" s="45"/>
      <c r="AN16" s="46"/>
      <c r="AO16" s="46"/>
      <c r="AP16" s="45"/>
      <c r="AQ16" s="46"/>
      <c r="AR16" s="46"/>
      <c r="AS16" s="46"/>
      <c r="AT16" s="46"/>
    </row>
    <row r="17" spans="1:46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10"/>
        <v>1662.6</v>
      </c>
      <c r="N17" s="89">
        <f t="shared" si="11"/>
        <v>1456.1</v>
      </c>
      <c r="O17" s="11">
        <f t="shared" si="8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44">
        <f>320.1+357.9</f>
        <v>678</v>
      </c>
      <c r="T17" s="44">
        <f>227.1+329.4</f>
        <v>556.5</v>
      </c>
      <c r="U17" s="11">
        <f t="shared" si="4"/>
        <v>82.07964601769912</v>
      </c>
      <c r="V17" s="44">
        <f>211.4+401.9</f>
        <v>613.3</v>
      </c>
      <c r="W17" s="44">
        <f>230.9+367.9</f>
        <v>598.8</v>
      </c>
      <c r="X17" s="11">
        <f t="shared" si="5"/>
        <v>97.6357410728844</v>
      </c>
      <c r="Y17" s="89">
        <f t="shared" si="12"/>
        <v>1816.2</v>
      </c>
      <c r="Z17" s="89">
        <f t="shared" si="13"/>
        <v>1612.7</v>
      </c>
      <c r="AA17" s="11">
        <f t="shared" si="9"/>
        <v>88.79528686268033</v>
      </c>
      <c r="AB17" s="44">
        <f>32.7+437.9</f>
        <v>470.59999999999997</v>
      </c>
      <c r="AC17" s="44">
        <f>233.7+371.9</f>
        <v>605.5999999999999</v>
      </c>
      <c r="AD17" s="11">
        <f t="shared" si="6"/>
        <v>128.68678283042922</v>
      </c>
      <c r="AE17" s="72">
        <f t="shared" si="14"/>
        <v>3949.4</v>
      </c>
      <c r="AF17" s="72">
        <f t="shared" si="15"/>
        <v>3674.4</v>
      </c>
      <c r="AG17" s="11">
        <f t="shared" si="7"/>
        <v>93.03691700005065</v>
      </c>
      <c r="AH17" s="89">
        <f t="shared" si="16"/>
        <v>275</v>
      </c>
      <c r="AI17" s="90">
        <f t="shared" si="17"/>
        <v>3622.2999999999997</v>
      </c>
      <c r="AJ17" s="45"/>
      <c r="AK17" s="45"/>
      <c r="AL17" s="45"/>
      <c r="AM17" s="45"/>
      <c r="AN17" s="46"/>
      <c r="AO17" s="46"/>
      <c r="AP17" s="45"/>
      <c r="AQ17" s="46"/>
      <c r="AR17" s="46"/>
      <c r="AS17" s="46"/>
      <c r="AT17" s="46"/>
    </row>
    <row r="18" spans="1:46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10"/>
        <v>133.2</v>
      </c>
      <c r="N18" s="89">
        <f t="shared" si="11"/>
        <v>148.2</v>
      </c>
      <c r="O18" s="11">
        <f t="shared" si="8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44">
        <v>147.6</v>
      </c>
      <c r="T18" s="44">
        <v>78.1</v>
      </c>
      <c r="U18" s="11">
        <f t="shared" si="4"/>
        <v>52.913279132791324</v>
      </c>
      <c r="V18" s="44">
        <v>85.4</v>
      </c>
      <c r="W18" s="44">
        <v>64.5</v>
      </c>
      <c r="X18" s="11">
        <f t="shared" si="5"/>
        <v>75.52693208430912</v>
      </c>
      <c r="Y18" s="89">
        <f t="shared" si="12"/>
        <v>286.4</v>
      </c>
      <c r="Z18" s="89">
        <f t="shared" si="13"/>
        <v>190.5</v>
      </c>
      <c r="AA18" s="11">
        <f t="shared" si="9"/>
        <v>66.51536312849163</v>
      </c>
      <c r="AB18" s="44">
        <v>88.7</v>
      </c>
      <c r="AC18" s="44">
        <v>85.3</v>
      </c>
      <c r="AD18" s="11">
        <f t="shared" si="6"/>
        <v>96.16685456595265</v>
      </c>
      <c r="AE18" s="72">
        <f t="shared" si="14"/>
        <v>508.29999999999995</v>
      </c>
      <c r="AF18" s="72">
        <f t="shared" si="15"/>
        <v>424</v>
      </c>
      <c r="AG18" s="11">
        <f t="shared" si="7"/>
        <v>83.41530592169978</v>
      </c>
      <c r="AH18" s="89">
        <f t="shared" si="16"/>
        <v>84.29999999999995</v>
      </c>
      <c r="AI18" s="90">
        <f t="shared" si="17"/>
        <v>19.799999999999955</v>
      </c>
      <c r="AJ18" s="45"/>
      <c r="AK18" s="45"/>
      <c r="AL18" s="45"/>
      <c r="AM18" s="45"/>
      <c r="AN18" s="46"/>
      <c r="AO18" s="46"/>
      <c r="AP18" s="45"/>
      <c r="AQ18" s="46"/>
      <c r="AR18" s="46"/>
      <c r="AS18" s="46"/>
      <c r="AT18" s="46"/>
    </row>
    <row r="19" spans="1:46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10"/>
        <v>230.3</v>
      </c>
      <c r="N19" s="89">
        <f t="shared" si="11"/>
        <v>748.3</v>
      </c>
      <c r="O19" s="11">
        <f t="shared" si="8"/>
        <v>324.92401215805467</v>
      </c>
      <c r="P19" s="44">
        <v>288</v>
      </c>
      <c r="Q19" s="44">
        <v>219</v>
      </c>
      <c r="R19" s="141">
        <f t="shared" si="3"/>
        <v>76.04166666666666</v>
      </c>
      <c r="S19" s="44">
        <v>1236.1</v>
      </c>
      <c r="T19" s="44">
        <v>315</v>
      </c>
      <c r="U19" s="141">
        <f t="shared" si="4"/>
        <v>25.483375131461855</v>
      </c>
      <c r="V19" s="44">
        <v>712.8</v>
      </c>
      <c r="W19" s="44">
        <v>286.4</v>
      </c>
      <c r="X19" s="141">
        <f t="shared" si="5"/>
        <v>40.17957351290685</v>
      </c>
      <c r="Y19" s="89">
        <f t="shared" si="12"/>
        <v>2236.8999999999996</v>
      </c>
      <c r="Z19" s="89">
        <f t="shared" si="13"/>
        <v>820.4</v>
      </c>
      <c r="AA19" s="11">
        <f t="shared" si="9"/>
        <v>36.67575662747553</v>
      </c>
      <c r="AB19" s="44">
        <v>601.3</v>
      </c>
      <c r="AC19" s="44">
        <v>661.4</v>
      </c>
      <c r="AD19" s="141">
        <f t="shared" si="6"/>
        <v>109.99501080991185</v>
      </c>
      <c r="AE19" s="72">
        <f t="shared" si="14"/>
        <v>3068.5</v>
      </c>
      <c r="AF19" s="72">
        <f t="shared" si="15"/>
        <v>2230.1</v>
      </c>
      <c r="AG19" s="11">
        <f t="shared" si="7"/>
        <v>72.67720384552713</v>
      </c>
      <c r="AH19" s="89">
        <f t="shared" si="16"/>
        <v>838.4000000000001</v>
      </c>
      <c r="AI19" s="90">
        <f t="shared" si="17"/>
        <v>760.9000000000001</v>
      </c>
      <c r="AJ19" s="45"/>
      <c r="AK19" s="45"/>
      <c r="AL19" s="45"/>
      <c r="AM19" s="45"/>
      <c r="AN19" s="46"/>
      <c r="AO19" s="46"/>
      <c r="AP19" s="45"/>
      <c r="AQ19" s="46"/>
      <c r="AR19" s="46"/>
      <c r="AS19" s="46"/>
      <c r="AT19" s="46"/>
    </row>
    <row r="20" spans="1:46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10"/>
        <v>91.2</v>
      </c>
      <c r="N20" s="89">
        <f t="shared" si="11"/>
        <v>163.2</v>
      </c>
      <c r="O20" s="11">
        <f t="shared" si="8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44">
        <v>265.7</v>
      </c>
      <c r="T20" s="44">
        <v>72.3</v>
      </c>
      <c r="U20" s="11">
        <f t="shared" si="4"/>
        <v>27.211140383891607</v>
      </c>
      <c r="V20" s="44">
        <v>282.1</v>
      </c>
      <c r="W20" s="44">
        <v>74.5</v>
      </c>
      <c r="X20" s="11">
        <f t="shared" si="5"/>
        <v>26.409074796171566</v>
      </c>
      <c r="Y20" s="89">
        <f t="shared" si="12"/>
        <v>640</v>
      </c>
      <c r="Z20" s="89">
        <f t="shared" si="13"/>
        <v>176.4</v>
      </c>
      <c r="AA20" s="11">
        <f t="shared" si="9"/>
        <v>27.5625</v>
      </c>
      <c r="AB20" s="44">
        <v>121.1</v>
      </c>
      <c r="AC20" s="44">
        <v>141.6</v>
      </c>
      <c r="AD20" s="11">
        <f t="shared" si="6"/>
        <v>116.92815854665565</v>
      </c>
      <c r="AE20" s="72">
        <f t="shared" si="14"/>
        <v>852.3000000000001</v>
      </c>
      <c r="AF20" s="72">
        <f t="shared" si="15"/>
        <v>481.20000000000005</v>
      </c>
      <c r="AG20" s="11">
        <f t="shared" si="7"/>
        <v>56.45899331221401</v>
      </c>
      <c r="AH20" s="89">
        <f t="shared" si="16"/>
        <v>371.1</v>
      </c>
      <c r="AI20" s="90">
        <f t="shared" si="17"/>
        <v>324.20000000000005</v>
      </c>
      <c r="AJ20" s="45"/>
      <c r="AK20" s="45"/>
      <c r="AL20" s="45"/>
      <c r="AM20" s="45"/>
      <c r="AN20" s="46"/>
      <c r="AO20" s="46"/>
      <c r="AP20" s="45"/>
      <c r="AQ20" s="46"/>
      <c r="AR20" s="46"/>
      <c r="AS20" s="46"/>
      <c r="AT20" s="46"/>
    </row>
    <row r="21" spans="1:46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18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10"/>
        <v>30.6</v>
      </c>
      <c r="N21" s="89">
        <f t="shared" si="11"/>
        <v>25.1</v>
      </c>
      <c r="O21" s="11">
        <f t="shared" si="8"/>
        <v>82.02614379084967</v>
      </c>
      <c r="P21" s="44">
        <v>4.5</v>
      </c>
      <c r="Q21" s="44">
        <v>4.6</v>
      </c>
      <c r="R21" s="11">
        <f t="shared" si="3"/>
        <v>102.22222222222221</v>
      </c>
      <c r="S21" s="44">
        <v>8</v>
      </c>
      <c r="T21" s="44">
        <v>8.1</v>
      </c>
      <c r="U21" s="11">
        <f t="shared" si="4"/>
        <v>101.25</v>
      </c>
      <c r="V21" s="44">
        <v>8</v>
      </c>
      <c r="W21" s="44">
        <v>8.3</v>
      </c>
      <c r="X21" s="11">
        <f t="shared" si="5"/>
        <v>103.75000000000001</v>
      </c>
      <c r="Y21" s="89">
        <f t="shared" si="12"/>
        <v>20.5</v>
      </c>
      <c r="Z21" s="89">
        <f t="shared" si="13"/>
        <v>21</v>
      </c>
      <c r="AA21" s="11">
        <f t="shared" si="9"/>
        <v>102.4390243902439</v>
      </c>
      <c r="AB21" s="44">
        <v>9.3</v>
      </c>
      <c r="AC21" s="44">
        <v>9</v>
      </c>
      <c r="AD21" s="11">
        <f t="shared" si="6"/>
        <v>96.77419354838709</v>
      </c>
      <c r="AE21" s="72">
        <f t="shared" si="14"/>
        <v>60.400000000000006</v>
      </c>
      <c r="AF21" s="72">
        <f t="shared" si="15"/>
        <v>55.1</v>
      </c>
      <c r="AG21" s="11">
        <f t="shared" si="7"/>
        <v>91.2251655629139</v>
      </c>
      <c r="AH21" s="89">
        <f t="shared" si="16"/>
        <v>5.300000000000004</v>
      </c>
      <c r="AI21" s="90">
        <f t="shared" si="17"/>
        <v>12.000000000000007</v>
      </c>
      <c r="AJ21" s="45"/>
      <c r="AK21" s="45"/>
      <c r="AL21" s="45"/>
      <c r="AM21" s="45"/>
      <c r="AN21" s="46"/>
      <c r="AO21" s="46"/>
      <c r="AP21" s="45"/>
      <c r="AQ21" s="46"/>
      <c r="AR21" s="46"/>
      <c r="AS21" s="46"/>
      <c r="AT21" s="46"/>
    </row>
    <row r="22" spans="1:46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18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10"/>
        <v>270.1</v>
      </c>
      <c r="N22" s="89">
        <f t="shared" si="11"/>
        <v>211.5</v>
      </c>
      <c r="O22" s="11">
        <f t="shared" si="8"/>
        <v>78.30433172898925</v>
      </c>
      <c r="P22" s="44">
        <v>177.5</v>
      </c>
      <c r="Q22" s="44">
        <v>56.9</v>
      </c>
      <c r="R22" s="142">
        <f t="shared" si="3"/>
        <v>32.056338028169016</v>
      </c>
      <c r="S22" s="44">
        <v>55.9</v>
      </c>
      <c r="T22" s="44">
        <v>150</v>
      </c>
      <c r="U22" s="142">
        <f t="shared" si="4"/>
        <v>268.3363148479428</v>
      </c>
      <c r="V22" s="44">
        <v>264.7</v>
      </c>
      <c r="W22" s="44">
        <v>79.8</v>
      </c>
      <c r="X22" s="142">
        <f t="shared" si="5"/>
        <v>30.14733660748017</v>
      </c>
      <c r="Y22" s="89">
        <f t="shared" si="12"/>
        <v>498.1</v>
      </c>
      <c r="Z22" s="89">
        <f t="shared" si="13"/>
        <v>286.7</v>
      </c>
      <c r="AA22" s="11">
        <f t="shared" si="9"/>
        <v>57.558723147962255</v>
      </c>
      <c r="AB22" s="44">
        <v>193</v>
      </c>
      <c r="AC22" s="44">
        <v>121</v>
      </c>
      <c r="AD22" s="142">
        <f t="shared" si="6"/>
        <v>62.69430051813472</v>
      </c>
      <c r="AE22" s="72">
        <f t="shared" si="14"/>
        <v>961.2</v>
      </c>
      <c r="AF22" s="72">
        <f t="shared" si="15"/>
        <v>619.2</v>
      </c>
      <c r="AG22" s="11">
        <f t="shared" si="7"/>
        <v>64.41947565543072</v>
      </c>
      <c r="AH22" s="89">
        <f t="shared" si="16"/>
        <v>342</v>
      </c>
      <c r="AI22" s="90">
        <f t="shared" si="17"/>
        <v>589.2</v>
      </c>
      <c r="AJ22" s="45"/>
      <c r="AK22" s="45"/>
      <c r="AL22" s="45"/>
      <c r="AM22" s="45"/>
      <c r="AN22" s="46"/>
      <c r="AO22" s="46"/>
      <c r="AP22" s="45"/>
      <c r="AQ22" s="46"/>
      <c r="AR22" s="46"/>
      <c r="AS22" s="46"/>
      <c r="AT22" s="46"/>
    </row>
    <row r="23" spans="1:46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10"/>
        <v>-3.3</v>
      </c>
      <c r="N23" s="89">
        <f t="shared" si="11"/>
        <v>26.7</v>
      </c>
      <c r="O23" s="11">
        <f t="shared" si="8"/>
        <v>-809.0909090909091</v>
      </c>
      <c r="P23" s="44">
        <v>14.9</v>
      </c>
      <c r="Q23" s="44">
        <v>7.7</v>
      </c>
      <c r="R23" s="142">
        <f t="shared" si="3"/>
        <v>51.67785234899329</v>
      </c>
      <c r="S23" s="44">
        <v>84.4</v>
      </c>
      <c r="T23" s="44">
        <v>12.2</v>
      </c>
      <c r="U23" s="142">
        <f t="shared" si="4"/>
        <v>14.454976303317535</v>
      </c>
      <c r="V23" s="44">
        <v>23.8</v>
      </c>
      <c r="W23" s="44">
        <v>14.7</v>
      </c>
      <c r="X23" s="142">
        <f t="shared" si="5"/>
        <v>61.764705882352935</v>
      </c>
      <c r="Y23" s="89">
        <f t="shared" si="12"/>
        <v>123.10000000000001</v>
      </c>
      <c r="Z23" s="89">
        <f t="shared" si="13"/>
        <v>34.599999999999994</v>
      </c>
      <c r="AA23" s="11">
        <f t="shared" si="9"/>
        <v>28.10722989439479</v>
      </c>
      <c r="AB23" s="44">
        <v>13.8</v>
      </c>
      <c r="AC23" s="44">
        <v>20.9</v>
      </c>
      <c r="AD23" s="142">
        <f t="shared" si="6"/>
        <v>151.44927536231882</v>
      </c>
      <c r="AE23" s="72">
        <f t="shared" si="14"/>
        <v>133.60000000000002</v>
      </c>
      <c r="AF23" s="72">
        <f t="shared" si="15"/>
        <v>82.19999999999999</v>
      </c>
      <c r="AG23" s="11">
        <f t="shared" si="7"/>
        <v>61.52694610778441</v>
      </c>
      <c r="AH23" s="89">
        <f t="shared" si="16"/>
        <v>51.400000000000034</v>
      </c>
      <c r="AI23" s="90">
        <f t="shared" si="17"/>
        <v>-34.39999999999996</v>
      </c>
      <c r="AJ23" s="45"/>
      <c r="AK23" s="45"/>
      <c r="AL23" s="45"/>
      <c r="AM23" s="45"/>
      <c r="AN23" s="46"/>
      <c r="AO23" s="46"/>
      <c r="AP23" s="45"/>
      <c r="AQ23" s="46"/>
      <c r="AR23" s="46"/>
      <c r="AS23" s="46"/>
      <c r="AT23" s="46"/>
    </row>
    <row r="24" spans="1:46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18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10"/>
        <v>836.2</v>
      </c>
      <c r="N24" s="89">
        <f t="shared" si="11"/>
        <v>1812.3000000000002</v>
      </c>
      <c r="O24" s="11">
        <f t="shared" si="8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44">
        <v>3125</v>
      </c>
      <c r="T24" s="44">
        <v>775.6</v>
      </c>
      <c r="U24" s="11">
        <f t="shared" si="4"/>
        <v>24.8192</v>
      </c>
      <c r="V24" s="44">
        <v>1086.9</v>
      </c>
      <c r="W24" s="44">
        <v>776.4</v>
      </c>
      <c r="X24" s="142">
        <f t="shared" si="5"/>
        <v>71.4325144907535</v>
      </c>
      <c r="Y24" s="89">
        <f t="shared" si="12"/>
        <v>4948</v>
      </c>
      <c r="Z24" s="89">
        <f t="shared" si="13"/>
        <v>2063.7</v>
      </c>
      <c r="AA24" s="11">
        <f t="shared" si="9"/>
        <v>41.70776071139854</v>
      </c>
      <c r="AB24" s="44">
        <v>528.5</v>
      </c>
      <c r="AC24" s="44">
        <v>998.7</v>
      </c>
      <c r="AD24" s="142">
        <f t="shared" si="6"/>
        <v>188.96877956480606</v>
      </c>
      <c r="AE24" s="72">
        <f t="shared" si="14"/>
        <v>6312.7</v>
      </c>
      <c r="AF24" s="72">
        <f t="shared" si="15"/>
        <v>4874.7</v>
      </c>
      <c r="AG24" s="11">
        <f t="shared" si="7"/>
        <v>77.2205237061796</v>
      </c>
      <c r="AH24" s="89">
        <f t="shared" si="16"/>
        <v>1438</v>
      </c>
      <c r="AI24" s="90">
        <f t="shared" si="17"/>
        <v>-238.30000000000018</v>
      </c>
      <c r="AJ24" s="45"/>
      <c r="AK24" s="45"/>
      <c r="AL24" s="45"/>
      <c r="AM24" s="45"/>
      <c r="AN24" s="46"/>
      <c r="AO24" s="46"/>
      <c r="AP24" s="45"/>
      <c r="AQ24" s="46"/>
      <c r="AR24" s="46"/>
      <c r="AS24" s="46"/>
      <c r="AT24" s="46"/>
    </row>
    <row r="25" spans="1:46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18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10"/>
        <v>-77.1</v>
      </c>
      <c r="N25" s="89">
        <f t="shared" si="11"/>
        <v>209.7</v>
      </c>
      <c r="O25" s="11">
        <f t="shared" si="8"/>
        <v>-271.98443579766536</v>
      </c>
      <c r="P25" s="44">
        <v>68</v>
      </c>
      <c r="Q25" s="44">
        <v>66.9</v>
      </c>
      <c r="R25" s="11">
        <f>Q25/P25*100</f>
        <v>98.38235294117648</v>
      </c>
      <c r="S25" s="44">
        <v>824.8</v>
      </c>
      <c r="T25" s="44">
        <v>93.8</v>
      </c>
      <c r="U25" s="11">
        <f>T25/S25*100</f>
        <v>11.372453928225026</v>
      </c>
      <c r="V25" s="44">
        <v>17.8</v>
      </c>
      <c r="W25" s="44">
        <v>113.8</v>
      </c>
      <c r="X25" s="11">
        <f>W25/V25*100</f>
        <v>639.3258426966293</v>
      </c>
      <c r="Y25" s="89">
        <f t="shared" si="12"/>
        <v>910.5999999999999</v>
      </c>
      <c r="Z25" s="89">
        <f t="shared" si="13"/>
        <v>274.5</v>
      </c>
      <c r="AA25" s="11">
        <f t="shared" si="9"/>
        <v>30.144959367450035</v>
      </c>
      <c r="AB25" s="44">
        <v>139.1</v>
      </c>
      <c r="AC25" s="44">
        <v>139.3</v>
      </c>
      <c r="AD25" s="11">
        <f>AC25/AB25*100</f>
        <v>100.14378145219267</v>
      </c>
      <c r="AE25" s="72">
        <f t="shared" si="14"/>
        <v>972.5999999999999</v>
      </c>
      <c r="AF25" s="72">
        <f t="shared" si="15"/>
        <v>623.5</v>
      </c>
      <c r="AG25" s="11">
        <f t="shared" si="7"/>
        <v>64.10651860991157</v>
      </c>
      <c r="AH25" s="89">
        <f t="shared" si="16"/>
        <v>349.0999999999999</v>
      </c>
      <c r="AI25" s="90">
        <f t="shared" si="17"/>
        <v>-376.30000000000007</v>
      </c>
      <c r="AJ25" s="45"/>
      <c r="AK25" s="45"/>
      <c r="AL25" s="45"/>
      <c r="AM25" s="45"/>
      <c r="AN25" s="46"/>
      <c r="AO25" s="46"/>
      <c r="AP25" s="45"/>
      <c r="AQ25" s="46"/>
      <c r="AR25" s="46"/>
      <c r="AS25" s="46"/>
      <c r="AT25" s="46"/>
    </row>
    <row r="26" spans="1:46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18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10"/>
        <v>53.6</v>
      </c>
      <c r="N26" s="89">
        <f t="shared" si="11"/>
        <v>24.1</v>
      </c>
      <c r="O26" s="11">
        <f t="shared" si="8"/>
        <v>44.96268656716418</v>
      </c>
      <c r="P26" s="44">
        <v>16.7</v>
      </c>
      <c r="Q26" s="44">
        <v>7.1</v>
      </c>
      <c r="R26" s="11">
        <f>Q26/P26*100</f>
        <v>42.51497005988024</v>
      </c>
      <c r="S26" s="44">
        <v>15.6</v>
      </c>
      <c r="T26" s="44">
        <v>9.9</v>
      </c>
      <c r="U26" s="11">
        <f>T26/S26*100</f>
        <v>63.46153846153847</v>
      </c>
      <c r="V26" s="44">
        <v>16.1</v>
      </c>
      <c r="W26" s="44">
        <v>12.1</v>
      </c>
      <c r="X26" s="11">
        <f>W26/V26*100</f>
        <v>75.15527950310558</v>
      </c>
      <c r="Y26" s="89">
        <f t="shared" si="12"/>
        <v>48.4</v>
      </c>
      <c r="Z26" s="89">
        <f t="shared" si="13"/>
        <v>29.1</v>
      </c>
      <c r="AA26" s="11">
        <f t="shared" si="9"/>
        <v>60.12396694214877</v>
      </c>
      <c r="AB26" s="44">
        <v>15.8</v>
      </c>
      <c r="AC26" s="44">
        <v>13.2</v>
      </c>
      <c r="AD26" s="11">
        <f>AC26/AB26*100</f>
        <v>83.54430379746834</v>
      </c>
      <c r="AE26" s="72">
        <f t="shared" si="14"/>
        <v>117.8</v>
      </c>
      <c r="AF26" s="72">
        <f t="shared" si="15"/>
        <v>66.4</v>
      </c>
      <c r="AG26" s="11">
        <f t="shared" si="7"/>
        <v>56.36672325976232</v>
      </c>
      <c r="AH26" s="89">
        <f t="shared" si="16"/>
        <v>51.39999999999999</v>
      </c>
      <c r="AI26" s="90">
        <f t="shared" si="17"/>
        <v>114.9</v>
      </c>
      <c r="AJ26" s="45"/>
      <c r="AK26" s="45"/>
      <c r="AL26" s="45"/>
      <c r="AM26" s="45"/>
      <c r="AN26" s="46"/>
      <c r="AO26" s="46"/>
      <c r="AP26" s="45"/>
      <c r="AQ26" s="46"/>
      <c r="AR26" s="46"/>
      <c r="AS26" s="46"/>
      <c r="AT26" s="46"/>
    </row>
    <row r="27" spans="1:46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18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10"/>
        <v>-679.9</v>
      </c>
      <c r="N27" s="89">
        <f t="shared" si="11"/>
        <v>290</v>
      </c>
      <c r="O27" s="11">
        <f t="shared" si="8"/>
        <v>-42.65333137226063</v>
      </c>
      <c r="P27" s="44">
        <v>24</v>
      </c>
      <c r="Q27" s="44">
        <v>77.2</v>
      </c>
      <c r="R27" s="11">
        <f>Q27/P27*100</f>
        <v>321.6666666666667</v>
      </c>
      <c r="S27" s="44">
        <v>1920.6</v>
      </c>
      <c r="T27" s="44">
        <v>136.7</v>
      </c>
      <c r="U27" s="11">
        <f>T27/S27*100</f>
        <v>7.117567426845777</v>
      </c>
      <c r="V27" s="44">
        <v>324.7</v>
      </c>
      <c r="W27" s="44">
        <v>232.1</v>
      </c>
      <c r="X27" s="11">
        <f>W27/V27*100</f>
        <v>71.48136741607638</v>
      </c>
      <c r="Y27" s="89">
        <f t="shared" si="12"/>
        <v>2269.2999999999997</v>
      </c>
      <c r="Z27" s="89">
        <f t="shared" si="13"/>
        <v>446</v>
      </c>
      <c r="AA27" s="11">
        <f t="shared" si="9"/>
        <v>19.65363768562993</v>
      </c>
      <c r="AB27" s="44">
        <v>-61.7</v>
      </c>
      <c r="AC27" s="44">
        <v>178.5</v>
      </c>
      <c r="AD27" s="11">
        <f>AC27/AB27*100</f>
        <v>-289.30307941653155</v>
      </c>
      <c r="AE27" s="72">
        <f t="shared" si="14"/>
        <v>1527.6999999999996</v>
      </c>
      <c r="AF27" s="72">
        <f t="shared" si="15"/>
        <v>914.5</v>
      </c>
      <c r="AG27" s="11">
        <f t="shared" si="7"/>
        <v>59.86122929894614</v>
      </c>
      <c r="AH27" s="89">
        <f t="shared" si="16"/>
        <v>613.1999999999996</v>
      </c>
      <c r="AI27" s="90">
        <f t="shared" si="17"/>
        <v>-1030.0000000000005</v>
      </c>
      <c r="AJ27" s="45"/>
      <c r="AK27" s="45"/>
      <c r="AL27" s="45"/>
      <c r="AM27" s="45"/>
      <c r="AN27" s="46"/>
      <c r="AO27" s="46"/>
      <c r="AP27" s="45"/>
      <c r="AQ27" s="46"/>
      <c r="AR27" s="46"/>
      <c r="AS27" s="46"/>
      <c r="AT27" s="46"/>
    </row>
    <row r="28" spans="1:46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18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49</v>
      </c>
      <c r="K28" s="99">
        <v>98</v>
      </c>
      <c r="L28" s="94">
        <f>K28/J28*100</f>
        <v>200</v>
      </c>
      <c r="M28" s="89">
        <f t="shared" si="10"/>
        <v>101.6</v>
      </c>
      <c r="N28" s="89">
        <f t="shared" si="11"/>
        <v>204.7</v>
      </c>
      <c r="O28" s="11">
        <f t="shared" si="8"/>
        <v>201.4763779527559</v>
      </c>
      <c r="P28" s="44">
        <v>84.3</v>
      </c>
      <c r="Q28" s="99">
        <v>56.2</v>
      </c>
      <c r="R28" s="94">
        <f>Q28/P28*100</f>
        <v>66.66666666666667</v>
      </c>
      <c r="S28" s="44">
        <v>148</v>
      </c>
      <c r="T28" s="99">
        <v>81.1</v>
      </c>
      <c r="U28" s="94">
        <f>T28/S28*100</f>
        <v>54.7972972972973</v>
      </c>
      <c r="V28" s="44">
        <v>149.9</v>
      </c>
      <c r="W28" s="99">
        <v>73.6</v>
      </c>
      <c r="X28" s="94">
        <f>W28/V28*100</f>
        <v>49.099399599733154</v>
      </c>
      <c r="Y28" s="89">
        <f t="shared" si="12"/>
        <v>382.20000000000005</v>
      </c>
      <c r="Z28" s="89">
        <f t="shared" si="13"/>
        <v>210.9</v>
      </c>
      <c r="AA28" s="11">
        <f t="shared" si="9"/>
        <v>55.180533751962315</v>
      </c>
      <c r="AB28" s="44">
        <v>324.1</v>
      </c>
      <c r="AC28" s="99">
        <v>121.1</v>
      </c>
      <c r="AD28" s="94">
        <f>AC28/AB28*100</f>
        <v>37.365010799136066</v>
      </c>
      <c r="AE28" s="72">
        <f t="shared" si="14"/>
        <v>807.9000000000001</v>
      </c>
      <c r="AF28" s="72">
        <f t="shared" si="15"/>
        <v>536.7</v>
      </c>
      <c r="AG28" s="11">
        <f t="shared" si="7"/>
        <v>66.43148904567397</v>
      </c>
      <c r="AH28" s="89">
        <f t="shared" si="16"/>
        <v>271.20000000000005</v>
      </c>
      <c r="AI28" s="90">
        <f t="shared" si="17"/>
        <v>94.90000000000009</v>
      </c>
      <c r="AJ28" s="45"/>
      <c r="AK28" s="45"/>
      <c r="AL28" s="45"/>
      <c r="AM28" s="45"/>
      <c r="AN28" s="46"/>
      <c r="AO28" s="46"/>
      <c r="AP28" s="45"/>
      <c r="AQ28" s="46"/>
      <c r="AR28" s="46"/>
      <c r="AS28" s="46"/>
      <c r="AT28" s="46"/>
    </row>
    <row r="29" spans="1:46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72"/>
      <c r="AF29" s="72"/>
      <c r="AG29" s="66"/>
      <c r="AH29" s="89"/>
      <c r="AI29" s="100"/>
      <c r="AJ29" s="45"/>
      <c r="AK29" s="101"/>
      <c r="AL29" s="45"/>
      <c r="AM29" s="45"/>
      <c r="AN29" s="46"/>
      <c r="AO29" s="46"/>
      <c r="AP29" s="45"/>
      <c r="AQ29" s="46"/>
      <c r="AR29" s="46"/>
      <c r="AS29" s="46"/>
      <c r="AT29" s="46"/>
    </row>
    <row r="30" spans="1:46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19" ref="I30:I35">H30/G30*100</f>
        <v>230.7692307692308</v>
      </c>
      <c r="J30" s="44">
        <v>33.4</v>
      </c>
      <c r="K30" s="44">
        <v>37.4</v>
      </c>
      <c r="L30" s="75">
        <f aca="true" t="shared" si="20" ref="L30:L43">K30/J30*100</f>
        <v>111.97604790419162</v>
      </c>
      <c r="M30" s="89">
        <f t="shared" si="10"/>
        <v>59.3</v>
      </c>
      <c r="N30" s="89">
        <f t="shared" si="11"/>
        <v>106.9</v>
      </c>
      <c r="O30" s="11">
        <f t="shared" si="8"/>
        <v>180.26981450252953</v>
      </c>
      <c r="P30" s="44">
        <v>52.8</v>
      </c>
      <c r="Q30" s="44">
        <v>41.9</v>
      </c>
      <c r="R30" s="141">
        <f aca="true" t="shared" si="21" ref="R30:R41">Q30/P30*100</f>
        <v>79.35606060606061</v>
      </c>
      <c r="S30" s="44">
        <v>234.5</v>
      </c>
      <c r="T30" s="44">
        <v>54.8</v>
      </c>
      <c r="U30" s="141">
        <f aca="true" t="shared" si="22" ref="U30:U41">T30/S30*100</f>
        <v>23.368869936034116</v>
      </c>
      <c r="V30" s="44">
        <v>77.5</v>
      </c>
      <c r="W30" s="44">
        <v>67</v>
      </c>
      <c r="X30" s="141">
        <f aca="true" t="shared" si="23" ref="X30:X41">W30/V30*100</f>
        <v>86.45161290322581</v>
      </c>
      <c r="Y30" s="89">
        <f aca="true" t="shared" si="24" ref="Y30:Y40">P30+S30+V30</f>
        <v>364.8</v>
      </c>
      <c r="Z30" s="89">
        <f aca="true" t="shared" si="25" ref="Z30:Z40">Q30+T30+W30</f>
        <v>163.7</v>
      </c>
      <c r="AA30" s="11">
        <f aca="true" t="shared" si="26" ref="AA30:AA43">Z30/Y30*100</f>
        <v>44.873903508771924</v>
      </c>
      <c r="AB30" s="44">
        <v>5.6</v>
      </c>
      <c r="AC30" s="44">
        <v>67.7</v>
      </c>
      <c r="AD30" s="141">
        <f aca="true" t="shared" si="27" ref="AD30:AD41">AC30/AB30*100</f>
        <v>1208.9285714285716</v>
      </c>
      <c r="AE30" s="72">
        <f t="shared" si="14"/>
        <v>429.70000000000005</v>
      </c>
      <c r="AF30" s="72">
        <f t="shared" si="15"/>
        <v>338.3</v>
      </c>
      <c r="AG30" s="11">
        <f t="shared" si="7"/>
        <v>78.72934605538747</v>
      </c>
      <c r="AH30" s="89">
        <f t="shared" si="16"/>
        <v>91.40000000000003</v>
      </c>
      <c r="AI30" s="90">
        <f t="shared" si="17"/>
        <v>-196.29999999999995</v>
      </c>
      <c r="AJ30" s="45"/>
      <c r="AK30" s="45"/>
      <c r="AL30" s="45"/>
      <c r="AM30" s="45"/>
      <c r="AN30" s="46"/>
      <c r="AO30" s="46"/>
      <c r="AP30" s="45"/>
      <c r="AQ30" s="46"/>
      <c r="AR30" s="46"/>
      <c r="AS30" s="46"/>
      <c r="AT30" s="46"/>
    </row>
    <row r="31" spans="1:46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19"/>
        <v>-76.44110275689223</v>
      </c>
      <c r="J31" s="44">
        <v>-44.1</v>
      </c>
      <c r="K31" s="44">
        <v>31.4</v>
      </c>
      <c r="L31" s="75">
        <f t="shared" si="20"/>
        <v>-71.20181405895691</v>
      </c>
      <c r="M31" s="89">
        <f t="shared" si="10"/>
        <v>-132.5</v>
      </c>
      <c r="N31" s="89">
        <f t="shared" si="11"/>
        <v>92.4</v>
      </c>
      <c r="O31" s="11">
        <f t="shared" si="8"/>
        <v>-69.73584905660378</v>
      </c>
      <c r="P31" s="44">
        <v>34.3</v>
      </c>
      <c r="Q31" s="44">
        <v>27.1</v>
      </c>
      <c r="R31" s="141">
        <f t="shared" si="21"/>
        <v>79.00874635568515</v>
      </c>
      <c r="S31" s="44">
        <v>97.4</v>
      </c>
      <c r="T31" s="44">
        <v>41.9</v>
      </c>
      <c r="U31" s="141">
        <f t="shared" si="22"/>
        <v>43.01848049281314</v>
      </c>
      <c r="V31" s="44">
        <v>327.1</v>
      </c>
      <c r="W31" s="44">
        <v>37.2</v>
      </c>
      <c r="X31" s="141">
        <f t="shared" si="23"/>
        <v>11.372668908590645</v>
      </c>
      <c r="Y31" s="89">
        <f t="shared" si="24"/>
        <v>458.8</v>
      </c>
      <c r="Z31" s="89">
        <f t="shared" si="25"/>
        <v>106.2</v>
      </c>
      <c r="AA31" s="11">
        <f t="shared" si="26"/>
        <v>23.147340889276375</v>
      </c>
      <c r="AB31" s="44">
        <v>23.9</v>
      </c>
      <c r="AC31" s="44">
        <v>62.7</v>
      </c>
      <c r="AD31" s="141">
        <f t="shared" si="27"/>
        <v>262.34309623430966</v>
      </c>
      <c r="AE31" s="72">
        <f t="shared" si="14"/>
        <v>350.2</v>
      </c>
      <c r="AF31" s="72">
        <f t="shared" si="15"/>
        <v>261.3</v>
      </c>
      <c r="AG31" s="11">
        <f t="shared" si="7"/>
        <v>74.61450599657339</v>
      </c>
      <c r="AH31" s="89">
        <f t="shared" si="16"/>
        <v>88.89999999999998</v>
      </c>
      <c r="AI31" s="90">
        <f t="shared" si="17"/>
        <v>-1008.5999999999999</v>
      </c>
      <c r="AJ31" s="45"/>
      <c r="AK31" s="45"/>
      <c r="AL31" s="45"/>
      <c r="AM31" s="45"/>
      <c r="AN31" s="46"/>
      <c r="AO31" s="46"/>
      <c r="AP31" s="45"/>
      <c r="AQ31" s="46"/>
      <c r="AR31" s="46"/>
      <c r="AS31" s="46"/>
      <c r="AT31" s="46"/>
    </row>
    <row r="32" spans="1:46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19"/>
        <v>141.2829798241076</v>
      </c>
      <c r="J32" s="44">
        <v>583.5</v>
      </c>
      <c r="K32" s="44">
        <v>891.4</v>
      </c>
      <c r="L32" s="11">
        <f t="shared" si="20"/>
        <v>152.76778063410455</v>
      </c>
      <c r="M32" s="89">
        <f t="shared" si="10"/>
        <v>1896.9</v>
      </c>
      <c r="N32" s="89">
        <f t="shared" si="11"/>
        <v>2566.5</v>
      </c>
      <c r="O32" s="11">
        <f t="shared" si="8"/>
        <v>135.29969950972637</v>
      </c>
      <c r="P32" s="44">
        <v>1047.1</v>
      </c>
      <c r="Q32" s="44">
        <v>653.6</v>
      </c>
      <c r="R32" s="11">
        <f t="shared" si="21"/>
        <v>62.42001719033522</v>
      </c>
      <c r="S32" s="44">
        <v>1995.4</v>
      </c>
      <c r="T32" s="44">
        <v>984</v>
      </c>
      <c r="U32" s="11">
        <f t="shared" si="22"/>
        <v>49.313420867996385</v>
      </c>
      <c r="V32" s="44">
        <v>1862.5</v>
      </c>
      <c r="W32" s="44">
        <v>739.9</v>
      </c>
      <c r="X32" s="11">
        <f t="shared" si="23"/>
        <v>39.7261744966443</v>
      </c>
      <c r="Y32" s="89">
        <f t="shared" si="24"/>
        <v>4905</v>
      </c>
      <c r="Z32" s="89">
        <f t="shared" si="25"/>
        <v>2377.5</v>
      </c>
      <c r="AA32" s="11">
        <f t="shared" si="26"/>
        <v>48.47094801223242</v>
      </c>
      <c r="AB32" s="44">
        <v>1221.73</v>
      </c>
      <c r="AC32" s="44">
        <v>1350.36</v>
      </c>
      <c r="AD32" s="11">
        <f t="shared" si="27"/>
        <v>110.52851284653728</v>
      </c>
      <c r="AE32" s="72">
        <f t="shared" si="14"/>
        <v>8023.629999999999</v>
      </c>
      <c r="AF32" s="72">
        <f t="shared" si="15"/>
        <v>6294.36</v>
      </c>
      <c r="AG32" s="11">
        <f t="shared" si="7"/>
        <v>78.44778485548312</v>
      </c>
      <c r="AH32" s="89">
        <f t="shared" si="16"/>
        <v>1729.2699999999995</v>
      </c>
      <c r="AI32" s="90">
        <f t="shared" si="17"/>
        <v>3384.2699999999995</v>
      </c>
      <c r="AJ32" s="45"/>
      <c r="AK32" s="45"/>
      <c r="AL32" s="45"/>
      <c r="AM32" s="45"/>
      <c r="AN32" s="46"/>
      <c r="AO32" s="46"/>
      <c r="AP32" s="45"/>
      <c r="AQ32" s="46"/>
      <c r="AR32" s="46"/>
      <c r="AS32" s="46"/>
      <c r="AT32" s="46"/>
    </row>
    <row r="33" spans="1:46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19"/>
        <v>87.32452518579686</v>
      </c>
      <c r="J33" s="44">
        <v>149.7</v>
      </c>
      <c r="K33" s="44">
        <v>252.2</v>
      </c>
      <c r="L33" s="11">
        <f t="shared" si="20"/>
        <v>168.47027388109552</v>
      </c>
      <c r="M33" s="89">
        <f t="shared" si="10"/>
        <v>586.2</v>
      </c>
      <c r="N33" s="89">
        <f t="shared" si="11"/>
        <v>657.4</v>
      </c>
      <c r="O33" s="11">
        <f t="shared" si="8"/>
        <v>112.14602524735584</v>
      </c>
      <c r="P33" s="44">
        <v>339.7</v>
      </c>
      <c r="Q33" s="44">
        <v>177.6</v>
      </c>
      <c r="R33" s="11">
        <f t="shared" si="21"/>
        <v>52.281424786576395</v>
      </c>
      <c r="S33" s="44">
        <v>525.4</v>
      </c>
      <c r="T33" s="44">
        <v>285.4</v>
      </c>
      <c r="U33" s="11">
        <f t="shared" si="22"/>
        <v>54.320517700799385</v>
      </c>
      <c r="V33" s="44">
        <v>515.2</v>
      </c>
      <c r="W33" s="44">
        <v>273.2</v>
      </c>
      <c r="X33" s="11">
        <f t="shared" si="23"/>
        <v>53.027950310559</v>
      </c>
      <c r="Y33" s="89">
        <f t="shared" si="24"/>
        <v>1380.3</v>
      </c>
      <c r="Z33" s="89">
        <f t="shared" si="25"/>
        <v>736.2</v>
      </c>
      <c r="AA33" s="11">
        <f t="shared" si="26"/>
        <v>53.33623125407521</v>
      </c>
      <c r="AB33" s="44">
        <v>399.7</v>
      </c>
      <c r="AC33" s="44">
        <v>361.9</v>
      </c>
      <c r="AD33" s="11">
        <f t="shared" si="27"/>
        <v>90.54290718038528</v>
      </c>
      <c r="AE33" s="72">
        <f t="shared" si="14"/>
        <v>2366.2</v>
      </c>
      <c r="AF33" s="72">
        <f t="shared" si="15"/>
        <v>1755.5</v>
      </c>
      <c r="AG33" s="11">
        <f t="shared" si="7"/>
        <v>74.19068548727918</v>
      </c>
      <c r="AH33" s="89">
        <f t="shared" si="16"/>
        <v>610.6999999999998</v>
      </c>
      <c r="AI33" s="90">
        <f t="shared" si="17"/>
        <v>1450</v>
      </c>
      <c r="AJ33" s="45"/>
      <c r="AK33" s="45"/>
      <c r="AL33" s="45"/>
      <c r="AM33" s="45"/>
      <c r="AN33" s="46"/>
      <c r="AO33" s="46"/>
      <c r="AP33" s="45"/>
      <c r="AQ33" s="46"/>
      <c r="AR33" s="46"/>
      <c r="AS33" s="46"/>
      <c r="AT33" s="46"/>
    </row>
    <row r="34" spans="1:46" ht="24.75" customHeight="1">
      <c r="A34" s="13" t="s">
        <v>39</v>
      </c>
      <c r="B34" s="47" t="s">
        <v>115</v>
      </c>
      <c r="C34" s="91">
        <v>-1182.7</v>
      </c>
      <c r="D34" s="79">
        <v>-82.2</v>
      </c>
      <c r="E34" s="79">
        <v>33.4</v>
      </c>
      <c r="F34" s="11">
        <f>E34/D34*100</f>
        <v>-40.63260340632603</v>
      </c>
      <c r="G34" s="44">
        <v>-74</v>
      </c>
      <c r="H34" s="44">
        <v>38.8</v>
      </c>
      <c r="I34" s="11">
        <f t="shared" si="19"/>
        <v>-52.43243243243243</v>
      </c>
      <c r="J34" s="44">
        <v>-69</v>
      </c>
      <c r="K34" s="44">
        <v>34.6</v>
      </c>
      <c r="L34" s="11">
        <f t="shared" si="20"/>
        <v>-50.14492753623189</v>
      </c>
      <c r="M34" s="89">
        <f t="shared" si="10"/>
        <v>-225.2</v>
      </c>
      <c r="N34" s="89">
        <f t="shared" si="11"/>
        <v>106.79999999999998</v>
      </c>
      <c r="O34" s="11">
        <f t="shared" si="8"/>
        <v>-47.42451154529307</v>
      </c>
      <c r="P34" s="44">
        <v>21.9</v>
      </c>
      <c r="Q34" s="44">
        <v>29.2</v>
      </c>
      <c r="R34" s="11">
        <f t="shared" si="21"/>
        <v>133.33333333333334</v>
      </c>
      <c r="S34" s="44">
        <v>872.8</v>
      </c>
      <c r="T34" s="44">
        <v>52.1</v>
      </c>
      <c r="U34" s="11">
        <f t="shared" si="22"/>
        <v>5.96929422548121</v>
      </c>
      <c r="V34" s="44">
        <v>90.3</v>
      </c>
      <c r="W34" s="44">
        <v>78.5</v>
      </c>
      <c r="X34" s="11">
        <f t="shared" si="23"/>
        <v>86.93244739756368</v>
      </c>
      <c r="Y34" s="89">
        <f t="shared" si="24"/>
        <v>984.9999999999999</v>
      </c>
      <c r="Z34" s="89">
        <f t="shared" si="25"/>
        <v>159.8</v>
      </c>
      <c r="AA34" s="11">
        <f t="shared" si="26"/>
        <v>16.22335025380711</v>
      </c>
      <c r="AB34" s="44">
        <v>-72.4</v>
      </c>
      <c r="AC34" s="44">
        <v>85.6</v>
      </c>
      <c r="AD34" s="11">
        <f t="shared" si="27"/>
        <v>-118.23204419889501</v>
      </c>
      <c r="AE34" s="72">
        <f t="shared" si="14"/>
        <v>687.4</v>
      </c>
      <c r="AF34" s="72">
        <f t="shared" si="15"/>
        <v>352.20000000000005</v>
      </c>
      <c r="AG34" s="11">
        <f t="shared" si="7"/>
        <v>51.236543497235964</v>
      </c>
      <c r="AH34" s="89">
        <f t="shared" si="16"/>
        <v>335.19999999999993</v>
      </c>
      <c r="AI34" s="90">
        <f t="shared" si="17"/>
        <v>-847.5000000000001</v>
      </c>
      <c r="AJ34" s="45"/>
      <c r="AK34" s="45"/>
      <c r="AL34" s="45"/>
      <c r="AM34" s="45"/>
      <c r="AN34" s="46"/>
      <c r="AO34" s="46"/>
      <c r="AP34" s="45"/>
      <c r="AQ34" s="46"/>
      <c r="AR34" s="46"/>
      <c r="AS34" s="46"/>
      <c r="AT34" s="46"/>
    </row>
    <row r="35" spans="1:46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28" ref="F35:F41">E35/D35*100</f>
        <v>1987.28813559322</v>
      </c>
      <c r="G35" s="44">
        <v>-18</v>
      </c>
      <c r="H35" s="44">
        <v>501.9</v>
      </c>
      <c r="I35" s="11">
        <f t="shared" si="19"/>
        <v>-2788.3333333333335</v>
      </c>
      <c r="J35" s="44">
        <v>22.2</v>
      </c>
      <c r="K35" s="44">
        <v>537.4</v>
      </c>
      <c r="L35" s="11">
        <f t="shared" si="20"/>
        <v>2420.7207207207207</v>
      </c>
      <c r="M35" s="89">
        <f t="shared" si="10"/>
        <v>27.8</v>
      </c>
      <c r="N35" s="89">
        <f t="shared" si="11"/>
        <v>1508.3</v>
      </c>
      <c r="O35" s="11">
        <f t="shared" si="8"/>
        <v>5425.5395683453235</v>
      </c>
      <c r="P35" s="44">
        <v>628.5</v>
      </c>
      <c r="Q35" s="44">
        <v>475.1</v>
      </c>
      <c r="R35" s="11">
        <f t="shared" si="21"/>
        <v>75.59268098647574</v>
      </c>
      <c r="S35" s="44">
        <v>1848.2</v>
      </c>
      <c r="T35" s="44">
        <v>-2609.6</v>
      </c>
      <c r="U35" s="11">
        <f t="shared" si="22"/>
        <v>-141.19684016881288</v>
      </c>
      <c r="V35" s="44">
        <v>1764.3</v>
      </c>
      <c r="W35" s="44">
        <v>969.4</v>
      </c>
      <c r="X35" s="11">
        <f t="shared" si="23"/>
        <v>54.94530408660658</v>
      </c>
      <c r="Y35" s="89">
        <f t="shared" si="24"/>
        <v>4241</v>
      </c>
      <c r="Z35" s="89">
        <f t="shared" si="25"/>
        <v>-1165.1</v>
      </c>
      <c r="AA35" s="11">
        <f t="shared" si="26"/>
        <v>-27.472294270219287</v>
      </c>
      <c r="AB35" s="44">
        <v>365.3</v>
      </c>
      <c r="AC35" s="44">
        <v>1320.2</v>
      </c>
      <c r="AD35" s="11">
        <f t="shared" si="27"/>
        <v>361.4015877361073</v>
      </c>
      <c r="AE35" s="72">
        <f t="shared" si="14"/>
        <v>4634.1</v>
      </c>
      <c r="AF35" s="72">
        <f t="shared" si="15"/>
        <v>1663.4</v>
      </c>
      <c r="AG35" s="11">
        <f t="shared" si="7"/>
        <v>35.89478000043158</v>
      </c>
      <c r="AH35" s="89">
        <f t="shared" si="16"/>
        <v>2970.7000000000003</v>
      </c>
      <c r="AI35" s="90">
        <f t="shared" si="17"/>
        <v>-592.2999999999997</v>
      </c>
      <c r="AJ35" s="45"/>
      <c r="AK35" s="45"/>
      <c r="AL35" s="45"/>
      <c r="AM35" s="45"/>
      <c r="AN35" s="46"/>
      <c r="AO35" s="46"/>
      <c r="AP35" s="45"/>
      <c r="AQ35" s="46"/>
      <c r="AR35" s="46"/>
      <c r="AS35" s="46"/>
      <c r="AT35" s="46"/>
    </row>
    <row r="36" spans="1:46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28"/>
        <v>-13561.111111111111</v>
      </c>
      <c r="G36" s="44">
        <f>-51.5+5.5</f>
        <v>-46</v>
      </c>
      <c r="H36" s="44">
        <f>477.2+15</f>
        <v>492.2</v>
      </c>
      <c r="I36" s="11">
        <f aca="true" t="shared" si="29" ref="I36:I41">H36/G36*100</f>
        <v>-1070</v>
      </c>
      <c r="J36" s="44">
        <f>-0.8+5.5</f>
        <v>4.7</v>
      </c>
      <c r="K36" s="44">
        <f>480.1+16</f>
        <v>496.1</v>
      </c>
      <c r="L36" s="11">
        <f t="shared" si="20"/>
        <v>10555.31914893617</v>
      </c>
      <c r="M36" s="89">
        <f t="shared" si="10"/>
        <v>-44.9</v>
      </c>
      <c r="N36" s="89">
        <f t="shared" si="11"/>
        <v>1476.5</v>
      </c>
      <c r="O36" s="11">
        <f t="shared" si="8"/>
        <v>-3288.4187082405347</v>
      </c>
      <c r="P36" s="44">
        <f>16.2+360.6</f>
        <v>376.8</v>
      </c>
      <c r="Q36" s="44">
        <f>15.4+44.1</f>
        <v>59.5</v>
      </c>
      <c r="R36" s="11">
        <f t="shared" si="21"/>
        <v>15.790870488322717</v>
      </c>
      <c r="S36" s="44">
        <f>107.3+4534.1</f>
        <v>4641.400000000001</v>
      </c>
      <c r="T36" s="44">
        <f>17.5+596.8</f>
        <v>614.3</v>
      </c>
      <c r="U36" s="11">
        <f t="shared" si="22"/>
        <v>13.235230749342868</v>
      </c>
      <c r="V36" s="44">
        <f>1947.9+37.1</f>
        <v>1985</v>
      </c>
      <c r="W36" s="44">
        <f>675.2+24.6</f>
        <v>699.8000000000001</v>
      </c>
      <c r="X36" s="11">
        <f t="shared" si="23"/>
        <v>35.2544080604534</v>
      </c>
      <c r="Y36" s="89">
        <f t="shared" si="24"/>
        <v>7003.200000000001</v>
      </c>
      <c r="Z36" s="89">
        <f t="shared" si="25"/>
        <v>1373.6</v>
      </c>
      <c r="AA36" s="11">
        <f t="shared" si="26"/>
        <v>19.61389079278044</v>
      </c>
      <c r="AB36" s="44">
        <f>20.2+508.3</f>
        <v>528.5</v>
      </c>
      <c r="AC36" s="44">
        <f>26.7+860</f>
        <v>886.7</v>
      </c>
      <c r="AD36" s="11">
        <f t="shared" si="27"/>
        <v>167.7767265846736</v>
      </c>
      <c r="AE36" s="72">
        <f t="shared" si="14"/>
        <v>7486.800000000001</v>
      </c>
      <c r="AF36" s="72">
        <f t="shared" si="15"/>
        <v>3736.8</v>
      </c>
      <c r="AG36" s="11">
        <f t="shared" si="7"/>
        <v>49.91184484693059</v>
      </c>
      <c r="AH36" s="89">
        <f t="shared" si="16"/>
        <v>3750.000000000001</v>
      </c>
      <c r="AI36" s="90">
        <f t="shared" si="17"/>
        <v>-2274.699999999999</v>
      </c>
      <c r="AJ36" s="45"/>
      <c r="AK36" s="45"/>
      <c r="AL36" s="45"/>
      <c r="AM36" s="45"/>
      <c r="AN36" s="46"/>
      <c r="AO36" s="46"/>
      <c r="AP36" s="45"/>
      <c r="AQ36" s="46"/>
      <c r="AR36" s="46"/>
      <c r="AS36" s="46"/>
      <c r="AT36" s="46"/>
    </row>
    <row r="37" spans="1:46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28"/>
        <v>-227.84352399737017</v>
      </c>
      <c r="G37" s="44">
        <v>-262.5</v>
      </c>
      <c r="H37" s="44">
        <v>680.5</v>
      </c>
      <c r="I37" s="11">
        <f t="shared" si="29"/>
        <v>-259.23809523809524</v>
      </c>
      <c r="J37" s="44">
        <v>-558.3</v>
      </c>
      <c r="K37" s="44">
        <v>703.2</v>
      </c>
      <c r="L37" s="11">
        <f t="shared" si="20"/>
        <v>-125.95378828586783</v>
      </c>
      <c r="M37" s="89">
        <f t="shared" si="10"/>
        <v>-1125</v>
      </c>
      <c r="N37" s="89">
        <f t="shared" si="11"/>
        <v>2076.8</v>
      </c>
      <c r="O37" s="11">
        <f t="shared" si="8"/>
        <v>-184.60444444444445</v>
      </c>
      <c r="P37" s="44">
        <v>850.9</v>
      </c>
      <c r="Q37" s="44">
        <v>595.8</v>
      </c>
      <c r="R37" s="11">
        <f t="shared" si="21"/>
        <v>70.01997884592784</v>
      </c>
      <c r="S37" s="44">
        <v>9225.9</v>
      </c>
      <c r="T37" s="44">
        <v>820.7</v>
      </c>
      <c r="U37" s="11">
        <f t="shared" si="22"/>
        <v>8.895609100467164</v>
      </c>
      <c r="V37" s="44">
        <v>1473.7</v>
      </c>
      <c r="W37" s="44">
        <v>1010.2</v>
      </c>
      <c r="X37" s="11">
        <f t="shared" si="23"/>
        <v>68.54855126552215</v>
      </c>
      <c r="Y37" s="89">
        <f t="shared" si="24"/>
        <v>11550.5</v>
      </c>
      <c r="Z37" s="89">
        <f t="shared" si="25"/>
        <v>2426.7</v>
      </c>
      <c r="AA37" s="11">
        <f t="shared" si="26"/>
        <v>21.009480109086184</v>
      </c>
      <c r="AB37" s="44">
        <v>336.7</v>
      </c>
      <c r="AC37" s="44">
        <v>1344.8</v>
      </c>
      <c r="AD37" s="11">
        <f t="shared" si="27"/>
        <v>399.4059994059994</v>
      </c>
      <c r="AE37" s="72">
        <f t="shared" si="14"/>
        <v>10762.2</v>
      </c>
      <c r="AF37" s="72">
        <f t="shared" si="15"/>
        <v>5848.3</v>
      </c>
      <c r="AG37" s="11">
        <f t="shared" si="7"/>
        <v>54.34111984538477</v>
      </c>
      <c r="AH37" s="89">
        <f t="shared" si="16"/>
        <v>4913.900000000001</v>
      </c>
      <c r="AI37" s="90">
        <f t="shared" si="17"/>
        <v>11835.8</v>
      </c>
      <c r="AJ37" s="45"/>
      <c r="AK37" s="45"/>
      <c r="AL37" s="45"/>
      <c r="AM37" s="45"/>
      <c r="AN37" s="46"/>
      <c r="AO37" s="46"/>
      <c r="AP37" s="45"/>
      <c r="AQ37" s="46"/>
      <c r="AR37" s="46"/>
      <c r="AS37" s="46"/>
      <c r="AT37" s="46"/>
    </row>
    <row r="38" spans="1:46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28"/>
        <v>173.85854968666067</v>
      </c>
      <c r="G38" s="44">
        <v>128.7</v>
      </c>
      <c r="H38" s="44">
        <v>220.2</v>
      </c>
      <c r="I38" s="11">
        <f t="shared" si="29"/>
        <v>171.0955710955711</v>
      </c>
      <c r="J38" s="44">
        <v>129.1</v>
      </c>
      <c r="K38" s="44">
        <v>236</v>
      </c>
      <c r="L38" s="11">
        <f t="shared" si="20"/>
        <v>182.8040278853602</v>
      </c>
      <c r="M38" s="89">
        <f t="shared" si="10"/>
        <v>369.5</v>
      </c>
      <c r="N38" s="89">
        <f t="shared" si="11"/>
        <v>650.4</v>
      </c>
      <c r="O38" s="11">
        <f t="shared" si="8"/>
        <v>176.02165087956698</v>
      </c>
      <c r="P38" s="44">
        <v>307.3</v>
      </c>
      <c r="Q38" s="44">
        <v>210</v>
      </c>
      <c r="R38" s="11">
        <f t="shared" si="21"/>
        <v>68.3371298405467</v>
      </c>
      <c r="S38" s="44">
        <v>470.1</v>
      </c>
      <c r="T38" s="44">
        <v>-254.3</v>
      </c>
      <c r="U38" s="11">
        <f t="shared" si="22"/>
        <v>-54.09487343118485</v>
      </c>
      <c r="V38" s="44">
        <v>453.9</v>
      </c>
      <c r="W38" s="44">
        <v>301.2</v>
      </c>
      <c r="X38" s="11">
        <f t="shared" si="23"/>
        <v>66.35822868473232</v>
      </c>
      <c r="Y38" s="89">
        <f t="shared" si="24"/>
        <v>1231.3000000000002</v>
      </c>
      <c r="Z38" s="89">
        <f t="shared" si="25"/>
        <v>256.9</v>
      </c>
      <c r="AA38" s="11">
        <f t="shared" si="26"/>
        <v>20.86412734508243</v>
      </c>
      <c r="AB38" s="44">
        <v>967.7</v>
      </c>
      <c r="AC38" s="44">
        <v>992.3</v>
      </c>
      <c r="AD38" s="11">
        <f t="shared" si="27"/>
        <v>102.54211015810684</v>
      </c>
      <c r="AE38" s="72">
        <f t="shared" si="14"/>
        <v>2568.5</v>
      </c>
      <c r="AF38" s="72">
        <f t="shared" si="15"/>
        <v>1899.6</v>
      </c>
      <c r="AG38" s="11">
        <f t="shared" si="7"/>
        <v>73.95756277983259</v>
      </c>
      <c r="AH38" s="89">
        <f t="shared" si="16"/>
        <v>668.9000000000001</v>
      </c>
      <c r="AI38" s="90">
        <f t="shared" si="17"/>
        <v>1344.3000000000002</v>
      </c>
      <c r="AJ38" s="45"/>
      <c r="AK38" s="45"/>
      <c r="AL38" s="45"/>
      <c r="AM38" s="45"/>
      <c r="AN38" s="46"/>
      <c r="AO38" s="46"/>
      <c r="AP38" s="45"/>
      <c r="AQ38" s="46"/>
      <c r="AR38" s="46"/>
      <c r="AS38" s="46"/>
      <c r="AT38" s="46"/>
    </row>
    <row r="39" spans="1:46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28"/>
        <v>-166.6176470588235</v>
      </c>
      <c r="G39" s="44">
        <v>-216.7</v>
      </c>
      <c r="H39" s="44">
        <v>365.9</v>
      </c>
      <c r="I39" s="11">
        <f t="shared" si="29"/>
        <v>-168.8509460083064</v>
      </c>
      <c r="J39" s="44">
        <v>-262.3</v>
      </c>
      <c r="K39" s="44">
        <v>371.7</v>
      </c>
      <c r="L39" s="11">
        <f t="shared" si="20"/>
        <v>-141.70796797560047</v>
      </c>
      <c r="M39" s="89">
        <f t="shared" si="10"/>
        <v>-683</v>
      </c>
      <c r="N39" s="89">
        <f t="shared" si="11"/>
        <v>1077.5</v>
      </c>
      <c r="O39" s="11">
        <f t="shared" si="8"/>
        <v>-157.75988286969255</v>
      </c>
      <c r="P39" s="44">
        <v>414.1</v>
      </c>
      <c r="Q39" s="44">
        <v>332.2</v>
      </c>
      <c r="R39" s="11">
        <f t="shared" si="21"/>
        <v>80.22216855831924</v>
      </c>
      <c r="S39" s="44">
        <v>4434</v>
      </c>
      <c r="T39" s="44">
        <v>429.8</v>
      </c>
      <c r="U39" s="11">
        <f t="shared" si="22"/>
        <v>9.693279206134415</v>
      </c>
      <c r="V39" s="44">
        <v>1015.7</v>
      </c>
      <c r="W39" s="44">
        <v>407.5</v>
      </c>
      <c r="X39" s="11">
        <f t="shared" si="23"/>
        <v>40.120114206950866</v>
      </c>
      <c r="Y39" s="89">
        <f t="shared" si="24"/>
        <v>5863.8</v>
      </c>
      <c r="Z39" s="89">
        <f t="shared" si="25"/>
        <v>1169.5</v>
      </c>
      <c r="AA39" s="11">
        <f t="shared" si="26"/>
        <v>19.94440465227327</v>
      </c>
      <c r="AB39" s="44">
        <v>478.6</v>
      </c>
      <c r="AC39" s="44">
        <v>528.8</v>
      </c>
      <c r="AD39" s="11">
        <f t="shared" si="27"/>
        <v>110.48892603426658</v>
      </c>
      <c r="AE39" s="72">
        <f t="shared" si="14"/>
        <v>5659.400000000001</v>
      </c>
      <c r="AF39" s="72">
        <f t="shared" si="15"/>
        <v>2775.8</v>
      </c>
      <c r="AG39" s="11">
        <f t="shared" si="7"/>
        <v>49.04760221931653</v>
      </c>
      <c r="AH39" s="89">
        <f t="shared" si="16"/>
        <v>2883.6000000000004</v>
      </c>
      <c r="AI39" s="90">
        <f t="shared" si="17"/>
        <v>-606.8999999999996</v>
      </c>
      <c r="AJ39" s="45"/>
      <c r="AK39" s="45"/>
      <c r="AL39" s="45"/>
      <c r="AM39" s="45"/>
      <c r="AN39" s="46"/>
      <c r="AO39" s="46"/>
      <c r="AP39" s="45"/>
      <c r="AQ39" s="46"/>
      <c r="AR39" s="46"/>
      <c r="AS39" s="46"/>
      <c r="AT39" s="46"/>
    </row>
    <row r="40" spans="1:46" ht="24.75" customHeight="1">
      <c r="A40" s="13" t="s">
        <v>45</v>
      </c>
      <c r="B40" s="15" t="s">
        <v>119</v>
      </c>
      <c r="C40" s="88">
        <v>-394.1</v>
      </c>
      <c r="D40" s="44">
        <v>371.7</v>
      </c>
      <c r="E40" s="44">
        <v>509.8</v>
      </c>
      <c r="F40" s="11">
        <f t="shared" si="28"/>
        <v>137.1536185095507</v>
      </c>
      <c r="G40" s="44">
        <v>355.9</v>
      </c>
      <c r="H40" s="44">
        <v>516.9</v>
      </c>
      <c r="I40" s="11">
        <f t="shared" si="29"/>
        <v>145.23742624332678</v>
      </c>
      <c r="J40" s="44">
        <v>361.4</v>
      </c>
      <c r="K40" s="44">
        <v>597.5</v>
      </c>
      <c r="L40" s="11">
        <f t="shared" si="20"/>
        <v>165.32927504150527</v>
      </c>
      <c r="M40" s="89">
        <f t="shared" si="10"/>
        <v>1089</v>
      </c>
      <c r="N40" s="89">
        <f t="shared" si="11"/>
        <v>1624.2</v>
      </c>
      <c r="O40" s="11">
        <f t="shared" si="8"/>
        <v>149.14600550964187</v>
      </c>
      <c r="P40" s="44">
        <v>697.5</v>
      </c>
      <c r="Q40" s="44">
        <v>482.8</v>
      </c>
      <c r="R40" s="11">
        <f t="shared" si="21"/>
        <v>69.21863799283155</v>
      </c>
      <c r="S40" s="44">
        <v>2309.6</v>
      </c>
      <c r="T40" s="44">
        <v>653.2</v>
      </c>
      <c r="U40" s="11">
        <f t="shared" si="22"/>
        <v>28.281953585036373</v>
      </c>
      <c r="V40" s="44">
        <v>702.5</v>
      </c>
      <c r="W40" s="44">
        <v>665.7</v>
      </c>
      <c r="X40" s="11">
        <f t="shared" si="23"/>
        <v>94.76156583629894</v>
      </c>
      <c r="Y40" s="89">
        <f t="shared" si="24"/>
        <v>3709.6</v>
      </c>
      <c r="Z40" s="89">
        <f t="shared" si="25"/>
        <v>1801.7</v>
      </c>
      <c r="AA40" s="11">
        <f t="shared" si="26"/>
        <v>48.56857882251456</v>
      </c>
      <c r="AB40" s="44">
        <v>645.8</v>
      </c>
      <c r="AC40" s="44">
        <v>857.5</v>
      </c>
      <c r="AD40" s="11">
        <f t="shared" si="27"/>
        <v>132.78104676370396</v>
      </c>
      <c r="AE40" s="72">
        <f t="shared" si="14"/>
        <v>5444.400000000001</v>
      </c>
      <c r="AF40" s="72">
        <f t="shared" si="15"/>
        <v>4283.4</v>
      </c>
      <c r="AG40" s="11">
        <f t="shared" si="7"/>
        <v>78.67533612519284</v>
      </c>
      <c r="AH40" s="89">
        <f t="shared" si="16"/>
        <v>1161.000000000001</v>
      </c>
      <c r="AI40" s="90">
        <f t="shared" si="17"/>
        <v>766.9000000000005</v>
      </c>
      <c r="AJ40" s="45"/>
      <c r="AK40" s="45"/>
      <c r="AL40" s="45"/>
      <c r="AM40" s="45"/>
      <c r="AN40" s="46"/>
      <c r="AO40" s="46"/>
      <c r="AP40" s="45"/>
      <c r="AQ40" s="46"/>
      <c r="AR40" s="46"/>
      <c r="AS40" s="46"/>
      <c r="AT40" s="46"/>
    </row>
    <row r="41" spans="1:46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28"/>
        <v>107.2599564685022</v>
      </c>
      <c r="G41" s="18">
        <f>SUM(G42:G42)</f>
        <v>50376.8</v>
      </c>
      <c r="H41" s="18">
        <f>SUM(H42:H42)</f>
        <v>49979.4</v>
      </c>
      <c r="I41" s="11">
        <f t="shared" si="29"/>
        <v>99.21114481269156</v>
      </c>
      <c r="J41" s="18">
        <f>SUM(J42:J42)</f>
        <v>50679.4</v>
      </c>
      <c r="K41" s="18">
        <f>SUM(K42:K42)</f>
        <v>51612.5</v>
      </c>
      <c r="L41" s="11">
        <f t="shared" si="20"/>
        <v>101.8411820187295</v>
      </c>
      <c r="M41" s="18">
        <f>SUM(M42:M42)</f>
        <v>150629.5</v>
      </c>
      <c r="N41" s="18">
        <f>SUM(N42:N42)</f>
        <v>154764.2</v>
      </c>
      <c r="O41" s="11">
        <f t="shared" si="8"/>
        <v>102.74494703892665</v>
      </c>
      <c r="P41" s="18">
        <f>SUM(P42:P42)</f>
        <v>56450.4</v>
      </c>
      <c r="Q41" s="18">
        <f>SUM(Q42:Q42)</f>
        <v>44934.9</v>
      </c>
      <c r="R41" s="11">
        <f t="shared" si="21"/>
        <v>79.60067599166703</v>
      </c>
      <c r="S41" s="18">
        <f>SUM(S42:S42)</f>
        <v>70111.59999999999</v>
      </c>
      <c r="T41" s="18">
        <f>SUM(T42:T42)</f>
        <v>56058.700000000004</v>
      </c>
      <c r="U41" s="11">
        <f t="shared" si="22"/>
        <v>79.95638382236322</v>
      </c>
      <c r="V41" s="18">
        <f>SUM(V42:V42)</f>
        <v>62515</v>
      </c>
      <c r="W41" s="18">
        <f>SUM(W42:W42)</f>
        <v>45407.1</v>
      </c>
      <c r="X41" s="11">
        <f t="shared" si="23"/>
        <v>72.63392785731423</v>
      </c>
      <c r="Y41" s="18">
        <f>SUM(Y42:Y42)</f>
        <v>189077</v>
      </c>
      <c r="Z41" s="18">
        <f>SUM(Z42:Z42)</f>
        <v>146400.7</v>
      </c>
      <c r="AA41" s="11">
        <f t="shared" si="26"/>
        <v>77.42914262443344</v>
      </c>
      <c r="AB41" s="18">
        <f>SUM(AB42:AB42)</f>
        <v>58220</v>
      </c>
      <c r="AC41" s="18">
        <f>SUM(AC42:AC42)</f>
        <v>60327.5</v>
      </c>
      <c r="AD41" s="11">
        <f t="shared" si="27"/>
        <v>103.61989007214017</v>
      </c>
      <c r="AE41" s="141">
        <f>AE42</f>
        <v>397926.5</v>
      </c>
      <c r="AF41" s="141">
        <f>AF42</f>
        <v>361492.4</v>
      </c>
      <c r="AG41" s="11">
        <f t="shared" si="7"/>
        <v>90.84401265057743</v>
      </c>
      <c r="AH41" s="10">
        <f>AH42</f>
        <v>36434.09999999998</v>
      </c>
      <c r="AI41" s="10">
        <f>AI42</f>
        <v>224003.59999999998</v>
      </c>
      <c r="AJ41" s="85"/>
      <c r="AK41" s="85"/>
      <c r="AL41" s="85"/>
      <c r="AM41" s="85"/>
      <c r="AN41" s="24"/>
      <c r="AO41" s="24"/>
      <c r="AP41" s="27"/>
      <c r="AQ41" s="24"/>
      <c r="AR41" s="24"/>
      <c r="AS41" s="24"/>
      <c r="AT41" s="24"/>
    </row>
    <row r="42" spans="1:46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20"/>
        <v>101.8411820187295</v>
      </c>
      <c r="M42" s="89">
        <f t="shared" si="10"/>
        <v>150629.5</v>
      </c>
      <c r="N42" s="89">
        <f t="shared" si="11"/>
        <v>154764.2</v>
      </c>
      <c r="O42" s="11">
        <f t="shared" si="8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44">
        <f>69911.9+199.7</f>
        <v>70111.59999999999</v>
      </c>
      <c r="T42" s="44">
        <f>55963.8+94.9</f>
        <v>56058.700000000004</v>
      </c>
      <c r="U42" s="11">
        <f>T42/S42*100</f>
        <v>79.95638382236322</v>
      </c>
      <c r="V42" s="44">
        <f>62309.7+205.3</f>
        <v>62515</v>
      </c>
      <c r="W42" s="44">
        <f>45344+63.1</f>
        <v>45407.1</v>
      </c>
      <c r="X42" s="11">
        <f>W42/V42*100</f>
        <v>72.63392785731423</v>
      </c>
      <c r="Y42" s="89">
        <f>P42+S42+V42</f>
        <v>189077</v>
      </c>
      <c r="Z42" s="89">
        <f>Q42+T42+W42</f>
        <v>146400.7</v>
      </c>
      <c r="AA42" s="11">
        <f t="shared" si="26"/>
        <v>77.42914262443344</v>
      </c>
      <c r="AB42" s="44">
        <f>58030.6+189.4</f>
        <v>58220</v>
      </c>
      <c r="AC42" s="44">
        <f>60155.2+172.3</f>
        <v>60327.5</v>
      </c>
      <c r="AD42" s="11">
        <f>AC42/AB42*100</f>
        <v>103.61989007214017</v>
      </c>
      <c r="AE42" s="72">
        <f>M42+Y42+AB42</f>
        <v>397926.5</v>
      </c>
      <c r="AF42" s="72">
        <f>N42+Z42+AC42</f>
        <v>361492.4</v>
      </c>
      <c r="AG42" s="11">
        <f t="shared" si="7"/>
        <v>90.84401265057743</v>
      </c>
      <c r="AH42" s="89">
        <f t="shared" si="16"/>
        <v>36434.09999999998</v>
      </c>
      <c r="AI42" s="90">
        <f t="shared" si="17"/>
        <v>224003.59999999998</v>
      </c>
      <c r="AJ42" s="45"/>
      <c r="AK42" s="45"/>
      <c r="AL42" s="45"/>
      <c r="AM42" s="45"/>
      <c r="AN42" s="24"/>
      <c r="AO42" s="24"/>
      <c r="AP42" s="45"/>
      <c r="AQ42" s="24"/>
      <c r="AR42" s="24"/>
      <c r="AS42" s="24"/>
      <c r="AT42" s="24"/>
    </row>
    <row r="43" spans="1:46" ht="27.75" customHeight="1">
      <c r="A43" s="13"/>
      <c r="B43" s="16" t="s">
        <v>122</v>
      </c>
      <c r="C43" s="17">
        <f>C41+C7</f>
        <v>170300.4</v>
      </c>
      <c r="D43" s="18">
        <f>D41+D7</f>
        <v>51561.4</v>
      </c>
      <c r="E43" s="18">
        <f>E41+E7</f>
        <v>60324.8</v>
      </c>
      <c r="F43" s="11">
        <f>E43/D43*100</f>
        <v>116.99604743083005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52443.8</v>
      </c>
      <c r="K43" s="18">
        <f>K41+K7</f>
        <v>59282.6</v>
      </c>
      <c r="L43" s="11">
        <f t="shared" si="20"/>
        <v>113.04024498606127</v>
      </c>
      <c r="M43" s="18">
        <f>M41+M7</f>
        <v>155998.1</v>
      </c>
      <c r="N43" s="18">
        <f>N41+N7</f>
        <v>176414.2</v>
      </c>
      <c r="O43" s="11">
        <f t="shared" si="8"/>
        <v>113.0874029876005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18">
        <f>S41+S7</f>
        <v>111503.9</v>
      </c>
      <c r="T43" s="18">
        <f>T41+T7</f>
        <v>60876.200000000004</v>
      </c>
      <c r="U43" s="11">
        <f>T43/S43*100</f>
        <v>54.59557916808292</v>
      </c>
      <c r="V43" s="18">
        <f>V41+V7</f>
        <v>80166.2</v>
      </c>
      <c r="W43" s="18">
        <f>W41+W7</f>
        <v>55071.1</v>
      </c>
      <c r="X43" s="11">
        <f>W43/V43*100</f>
        <v>68.69615873023793</v>
      </c>
      <c r="Y43" s="18">
        <f>Y41+Y7</f>
        <v>256503.1</v>
      </c>
      <c r="Z43" s="18">
        <f>Z41+Z7</f>
        <v>166806.80000000002</v>
      </c>
      <c r="AA43" s="11">
        <f t="shared" si="26"/>
        <v>65.03110488723138</v>
      </c>
      <c r="AB43" s="18">
        <f>AB41+AB7</f>
        <v>69529.13</v>
      </c>
      <c r="AC43" s="18">
        <f>AC41+AC7</f>
        <v>73235.66</v>
      </c>
      <c r="AD43" s="11">
        <f>AC43/AB43*100</f>
        <v>105.33090231389346</v>
      </c>
      <c r="AE43" s="141">
        <f>AE41+AE7</f>
        <v>482030.32999999996</v>
      </c>
      <c r="AF43" s="141">
        <f>AF41+AF7</f>
        <v>416456.66000000003</v>
      </c>
      <c r="AG43" s="11">
        <f>AF43/AE43*100</f>
        <v>86.39636016264787</v>
      </c>
      <c r="AH43" s="18">
        <f>AH41+AH7</f>
        <v>65573.66999999998</v>
      </c>
      <c r="AI43" s="18">
        <f>AI41+AI7</f>
        <v>235874.06999999998</v>
      </c>
      <c r="AJ43" s="85"/>
      <c r="AK43" s="85"/>
      <c r="AL43" s="85"/>
      <c r="AM43" s="85"/>
      <c r="AN43" s="85"/>
      <c r="AO43" s="85"/>
      <c r="AP43" s="85"/>
      <c r="AQ43" s="46"/>
      <c r="AR43" s="46"/>
      <c r="AS43" s="46"/>
      <c r="AT43" s="46"/>
    </row>
    <row r="44" spans="1:46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5"/>
      <c r="AF44" s="85"/>
      <c r="AG44" s="86"/>
      <c r="AH44" s="86"/>
      <c r="AI44" s="85"/>
      <c r="AJ44" s="85"/>
      <c r="AK44" s="85"/>
      <c r="AL44" s="85"/>
      <c r="AM44" s="85"/>
      <c r="AN44" s="85"/>
      <c r="AO44" s="85"/>
      <c r="AP44" s="85"/>
      <c r="AQ44" s="46"/>
      <c r="AR44" s="46"/>
      <c r="AS44" s="46"/>
      <c r="AT44" s="46"/>
    </row>
    <row r="45" spans="1:46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7"/>
      <c r="AO45" s="6"/>
      <c r="AP45" s="6"/>
      <c r="AQ45" s="29"/>
      <c r="AR45" s="6"/>
      <c r="AT45" s="6"/>
    </row>
    <row r="46" spans="1:46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7"/>
      <c r="AO46" s="6"/>
      <c r="AP46" s="6"/>
      <c r="AQ46" s="29"/>
      <c r="AR46" s="6"/>
      <c r="AT46" s="6"/>
    </row>
    <row r="47" spans="1:46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7"/>
      <c r="AO47" s="6"/>
      <c r="AP47" s="6"/>
      <c r="AQ47" s="29"/>
      <c r="AR47" s="6"/>
      <c r="AT47" s="6"/>
    </row>
    <row r="48" spans="1:46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21"/>
      <c r="AF48" s="21"/>
      <c r="AG48" s="60"/>
      <c r="AH48" s="21"/>
      <c r="AI48" s="21"/>
      <c r="AJ48" s="21"/>
      <c r="AK48" s="21"/>
      <c r="AL48" s="21"/>
      <c r="AM48" s="21"/>
      <c r="AN48" s="21"/>
      <c r="AO48" s="7"/>
      <c r="AP48" s="7"/>
      <c r="AQ48" s="32"/>
      <c r="AR48" s="7"/>
      <c r="AT48" s="7"/>
    </row>
    <row r="49" spans="1:35" s="38" customFormat="1" ht="96.75" customHeight="1">
      <c r="A49" s="33"/>
      <c r="B49" s="157" t="s">
        <v>138</v>
      </c>
      <c r="C49" s="157"/>
      <c r="D49" s="157"/>
      <c r="E49" s="157"/>
      <c r="F49" s="157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34"/>
      <c r="AF49" s="34"/>
      <c r="AG49" s="61"/>
      <c r="AH49" s="163" t="s">
        <v>137</v>
      </c>
      <c r="AI49" s="163"/>
    </row>
    <row r="50" spans="1:35" ht="73.5" customHeight="1" hidden="1">
      <c r="A50" s="153" t="s">
        <v>134</v>
      </c>
      <c r="B50" s="153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/>
      <c r="AF50" s="40"/>
      <c r="AG50" s="41"/>
      <c r="AI50" s="4" t="s">
        <v>135</v>
      </c>
    </row>
    <row r="51" spans="36:46" ht="24.75" customHeight="1"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</row>
    <row r="53" spans="36:46" ht="24.75" customHeight="1"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</row>
    <row r="54" spans="36:46" ht="24.75" customHeight="1"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</row>
    <row r="55" spans="36:46" ht="24.75" customHeight="1"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</row>
    <row r="56" spans="36:46" ht="24.75" customHeight="1"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</row>
    <row r="57" spans="36:46" ht="24.75" customHeight="1"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</row>
    <row r="58" spans="36:46" ht="18.75"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</row>
    <row r="59" spans="36:46" ht="18.75"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</row>
    <row r="60" spans="36:46" ht="18.75"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</row>
    <row r="61" spans="36:46" ht="18.75"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</row>
    <row r="62" spans="36:46" ht="18.75"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</row>
    <row r="63" spans="36:46" ht="18.75"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</row>
    <row r="64" spans="36:46" ht="18.75"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</row>
    <row r="65" spans="36:46" ht="18.75"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</row>
    <row r="66" spans="36:46" ht="18.75"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</row>
    <row r="67" spans="36:46" ht="18.75"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</row>
    <row r="68" spans="36:46" ht="18.75"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</row>
    <row r="69" spans="36:46" ht="18.75"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</row>
    <row r="70" spans="36:46" ht="18.75"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</row>
    <row r="71" spans="36:46" ht="18.75"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</row>
    <row r="72" spans="36:46" ht="18.75"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</row>
    <row r="73" spans="36:46" ht="18.75"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</row>
    <row r="74" spans="36:46" ht="18.75"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</row>
    <row r="75" spans="36:46" ht="18.75"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</row>
    <row r="76" spans="36:46" ht="18.75"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</row>
    <row r="77" spans="36:46" ht="18.75"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</row>
    <row r="78" spans="36:46" ht="18.75"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</row>
    <row r="79" spans="36:46" ht="18.75"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</row>
    <row r="80" spans="36:46" ht="18.75"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</row>
    <row r="81" spans="36:46" ht="18.75"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</row>
    <row r="82" spans="36:46" ht="18.75"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</row>
    <row r="83" spans="36:46" ht="18.75"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</row>
    <row r="84" spans="36:46" ht="18.75"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</row>
    <row r="85" spans="36:46" ht="18.75"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</row>
    <row r="86" spans="36:46" ht="18.75"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</row>
    <row r="87" spans="36:46" ht="18.75"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</row>
    <row r="88" spans="36:46" ht="18.75"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</row>
    <row r="89" spans="36:46" ht="18.75"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</row>
    <row r="90" spans="36:46" ht="18.75"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</row>
    <row r="91" spans="36:46" ht="18.75"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</row>
    <row r="92" spans="36:46" ht="18.75"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</row>
    <row r="93" spans="36:46" ht="18.75"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</row>
  </sheetData>
  <sheetProtection/>
  <mergeCells count="19">
    <mergeCell ref="B49:F49"/>
    <mergeCell ref="A50:B50"/>
    <mergeCell ref="AH49:AI49"/>
    <mergeCell ref="M5:O5"/>
    <mergeCell ref="I1:AI1"/>
    <mergeCell ref="B4:F4"/>
    <mergeCell ref="B2:AI2"/>
    <mergeCell ref="B3:AI3"/>
    <mergeCell ref="D5:F5"/>
    <mergeCell ref="J5:L5"/>
    <mergeCell ref="G5:I5"/>
    <mergeCell ref="AE5:AG5"/>
    <mergeCell ref="AH5:AH6"/>
    <mergeCell ref="AI5:AI6"/>
    <mergeCell ref="S5:U5"/>
    <mergeCell ref="P5:R5"/>
    <mergeCell ref="V5:X5"/>
    <mergeCell ref="Y5:AA5"/>
    <mergeCell ref="AB5:AD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BreakPreview" zoomScale="78" zoomScaleNormal="50" zoomScaleSheetLayoutView="78" zoomScalePageLayoutView="0" workbookViewId="0" topLeftCell="A1">
      <pane xSplit="6" ySplit="8" topLeftCell="N3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E29" sqref="AE29:AF29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customWidth="1"/>
    <col min="29" max="29" width="13.125" style="12" customWidth="1"/>
    <col min="30" max="30" width="11.125" style="12" customWidth="1"/>
    <col min="31" max="32" width="14.75390625" style="2" customWidth="1"/>
    <col min="33" max="33" width="11.125" style="12" customWidth="1"/>
    <col min="34" max="34" width="16.75390625" style="2" customWidth="1"/>
    <col min="35" max="35" width="18.25390625" style="2" customWidth="1"/>
    <col min="36" max="36" width="13.00390625" style="2" customWidth="1"/>
    <col min="37" max="37" width="18.875" style="2" customWidth="1"/>
    <col min="38" max="38" width="9.125" style="2" customWidth="1"/>
    <col min="39" max="16384" width="7.875" style="2" customWidth="1"/>
  </cols>
  <sheetData>
    <row r="1" spans="9:35" ht="18.75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s="63" customFormat="1" ht="42" customHeight="1">
      <c r="A2" s="68"/>
      <c r="B2" s="151" t="s">
        <v>54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63" customFormat="1" ht="42" customHeight="1">
      <c r="A3" s="62"/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8.75">
      <c r="B4" s="165"/>
      <c r="C4" s="165"/>
      <c r="D4" s="165"/>
      <c r="E4" s="165"/>
      <c r="F4" s="165"/>
      <c r="AI4" s="5" t="s">
        <v>7</v>
      </c>
    </row>
    <row r="5" spans="1:35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154</v>
      </c>
      <c r="Z5" s="147"/>
      <c r="AA5" s="148"/>
      <c r="AB5" s="146" t="s">
        <v>155</v>
      </c>
      <c r="AC5" s="147"/>
      <c r="AD5" s="148"/>
      <c r="AE5" s="158" t="s">
        <v>144</v>
      </c>
      <c r="AF5" s="159"/>
      <c r="AG5" s="160"/>
      <c r="AH5" s="161" t="s">
        <v>156</v>
      </c>
      <c r="AI5" s="161" t="s">
        <v>157</v>
      </c>
    </row>
    <row r="6" spans="1:3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162"/>
      <c r="AI6" s="162"/>
    </row>
    <row r="7" spans="1:38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707.1999999999999</v>
      </c>
      <c r="R7" s="11">
        <f aca="true" t="shared" si="3" ref="R7:R28">Q7/P7*100</f>
        <v>107.73918342474099</v>
      </c>
      <c r="S7" s="11">
        <f>SUM(S8:S40)</f>
        <v>671.4999999999999</v>
      </c>
      <c r="T7" s="11">
        <f>SUM(T8:T40)</f>
        <v>339.8</v>
      </c>
      <c r="U7" s="11">
        <f aca="true" t="shared" si="4" ref="U7:U28">T7/S7*100</f>
        <v>50.60312732688013</v>
      </c>
      <c r="V7" s="11">
        <f>SUM(V8:V40)</f>
        <v>701.9999999999999</v>
      </c>
      <c r="W7" s="11">
        <f>SUM(W8:W40)</f>
        <v>533.2</v>
      </c>
      <c r="X7" s="11">
        <f aca="true" t="shared" si="5" ref="X7:X28">W7/V7*100</f>
        <v>75.95441595441598</v>
      </c>
      <c r="Y7" s="11">
        <f>SUM(Y8:Y40)</f>
        <v>2029.9000000000003</v>
      </c>
      <c r="Z7" s="11">
        <f>SUM(Z8:Z40)</f>
        <v>1580.2</v>
      </c>
      <c r="AA7" s="11">
        <f>Z7/Y7*100</f>
        <v>77.84619932016355</v>
      </c>
      <c r="AB7" s="11">
        <f>SUM(AB8:AB40)</f>
        <v>720.6</v>
      </c>
      <c r="AC7" s="11">
        <f>SUM(AC8:AC40)</f>
        <v>13.5</v>
      </c>
      <c r="AD7" s="11">
        <f aca="true" t="shared" si="6" ref="AD7:AD28">AC7/AB7*100</f>
        <v>1.8734388009991672</v>
      </c>
      <c r="AE7" s="67">
        <f>SUM(AE8:AE40)</f>
        <v>4372.3</v>
      </c>
      <c r="AF7" s="67">
        <f>SUM(AF8:AF40)</f>
        <v>2974.2000000000003</v>
      </c>
      <c r="AG7" s="11">
        <f aca="true" t="shared" si="7" ref="AG7:AG42">AF7/AE7*100</f>
        <v>68.02369462296733</v>
      </c>
      <c r="AH7" s="11">
        <f>SUM(AH8:AH40)</f>
        <v>1398.1000000000001</v>
      </c>
      <c r="AI7" s="11">
        <f>SUM(AI8:AI40)</f>
        <v>2440.8</v>
      </c>
      <c r="AJ7" s="27">
        <f>SUM(AH8:AH40)</f>
        <v>1398.1000000000001</v>
      </c>
      <c r="AK7" s="27">
        <f>SUM(AI8:AI40)</f>
        <v>2440.8</v>
      </c>
      <c r="AL7" s="48"/>
    </row>
    <row r="8" spans="1:38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8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44">
        <v>50.6</v>
      </c>
      <c r="T8" s="44">
        <v>0</v>
      </c>
      <c r="U8" s="11">
        <f t="shared" si="4"/>
        <v>0</v>
      </c>
      <c r="V8" s="44">
        <v>55.3</v>
      </c>
      <c r="W8" s="44">
        <v>51.5</v>
      </c>
      <c r="X8" s="11">
        <f t="shared" si="5"/>
        <v>93.12839059674504</v>
      </c>
      <c r="Y8" s="89">
        <f>P8+S8+V8</f>
        <v>154.10000000000002</v>
      </c>
      <c r="Z8" s="89">
        <f>Q8+T8+W8</f>
        <v>190.6</v>
      </c>
      <c r="AA8" s="11">
        <f aca="true" t="shared" si="9" ref="AA8:AA28">Z8/Y8*100</f>
        <v>123.68591823491238</v>
      </c>
      <c r="AB8" s="44">
        <v>62.1</v>
      </c>
      <c r="AC8" s="44">
        <v>0</v>
      </c>
      <c r="AD8" s="11">
        <f t="shared" si="6"/>
        <v>0</v>
      </c>
      <c r="AE8" s="72">
        <f>M8+Y8+AB8</f>
        <v>358.90000000000003</v>
      </c>
      <c r="AF8" s="72">
        <f>N8+Z8+AC8</f>
        <v>310.4</v>
      </c>
      <c r="AG8" s="11">
        <f t="shared" si="7"/>
        <v>86.48648648648647</v>
      </c>
      <c r="AH8" s="72">
        <f>AE8-AF8</f>
        <v>48.50000000000006</v>
      </c>
      <c r="AI8" s="18">
        <f>C8+AE8-AF8</f>
        <v>117.30000000000007</v>
      </c>
      <c r="AJ8" s="109"/>
      <c r="AK8" s="19"/>
      <c r="AL8" s="19"/>
    </row>
    <row r="9" spans="1:38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10" ref="M9:M42">D9+G9+J9</f>
        <v>23.5</v>
      </c>
      <c r="N9" s="89">
        <f aca="true" t="shared" si="11" ref="N9:N42">E9+H9+K9</f>
        <v>14.9</v>
      </c>
      <c r="O9" s="11">
        <f t="shared" si="8"/>
        <v>63.40425531914894</v>
      </c>
      <c r="P9" s="44">
        <v>8.9</v>
      </c>
      <c r="Q9" s="44">
        <v>15.9</v>
      </c>
      <c r="R9" s="11">
        <f t="shared" si="3"/>
        <v>178.65168539325842</v>
      </c>
      <c r="S9" s="44">
        <v>8.7</v>
      </c>
      <c r="T9" s="44">
        <v>0</v>
      </c>
      <c r="U9" s="11">
        <f t="shared" si="4"/>
        <v>0</v>
      </c>
      <c r="V9" s="44">
        <v>7.1</v>
      </c>
      <c r="W9" s="44">
        <v>0</v>
      </c>
      <c r="X9" s="11">
        <f t="shared" si="5"/>
        <v>0</v>
      </c>
      <c r="Y9" s="89">
        <f aca="true" t="shared" si="12" ref="Y9:Y28">P9+S9+V9</f>
        <v>24.700000000000003</v>
      </c>
      <c r="Z9" s="89">
        <f aca="true" t="shared" si="13" ref="Z9:Z28">Q9+T9+W9</f>
        <v>15.9</v>
      </c>
      <c r="AA9" s="11">
        <f t="shared" si="9"/>
        <v>64.37246963562752</v>
      </c>
      <c r="AB9" s="44">
        <v>8.7</v>
      </c>
      <c r="AC9" s="44">
        <v>0</v>
      </c>
      <c r="AD9" s="11">
        <f t="shared" si="6"/>
        <v>0</v>
      </c>
      <c r="AE9" s="72">
        <f aca="true" t="shared" si="14" ref="AE9:AE40">M9+Y9+AB9</f>
        <v>56.900000000000006</v>
      </c>
      <c r="AF9" s="72">
        <f aca="true" t="shared" si="15" ref="AF9:AF40">N9+Z9+AC9</f>
        <v>30.8</v>
      </c>
      <c r="AG9" s="11">
        <f t="shared" si="7"/>
        <v>54.13005272407732</v>
      </c>
      <c r="AH9" s="72">
        <f aca="true" t="shared" si="16" ref="AH9:AH42">AE9-AF9</f>
        <v>26.100000000000005</v>
      </c>
      <c r="AI9" s="18">
        <f aca="true" t="shared" si="17" ref="AI9:AI42">C9+AE9-AF9</f>
        <v>40.900000000000006</v>
      </c>
      <c r="AJ9" s="110"/>
      <c r="AK9" s="19"/>
      <c r="AL9" s="19"/>
    </row>
    <row r="10" spans="1:38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10"/>
        <v>6.3999999999999995</v>
      </c>
      <c r="N10" s="89">
        <f t="shared" si="11"/>
        <v>2.2</v>
      </c>
      <c r="O10" s="11">
        <f t="shared" si="8"/>
        <v>34.37500000000001</v>
      </c>
      <c r="P10" s="44">
        <v>2.7</v>
      </c>
      <c r="Q10" s="44">
        <v>6.5</v>
      </c>
      <c r="R10" s="141">
        <f t="shared" si="3"/>
        <v>240.74074074074073</v>
      </c>
      <c r="S10" s="44">
        <v>2.8</v>
      </c>
      <c r="T10" s="44">
        <v>2.7</v>
      </c>
      <c r="U10" s="141">
        <f t="shared" si="4"/>
        <v>96.42857142857144</v>
      </c>
      <c r="V10" s="44">
        <v>4.3</v>
      </c>
      <c r="W10" s="44">
        <v>2.7</v>
      </c>
      <c r="X10" s="141">
        <f t="shared" si="5"/>
        <v>62.79069767441862</v>
      </c>
      <c r="Y10" s="89">
        <f t="shared" si="12"/>
        <v>9.8</v>
      </c>
      <c r="Z10" s="89">
        <f t="shared" si="13"/>
        <v>11.899999999999999</v>
      </c>
      <c r="AA10" s="11">
        <f t="shared" si="9"/>
        <v>121.4285714285714</v>
      </c>
      <c r="AB10" s="44">
        <v>3.7</v>
      </c>
      <c r="AC10" s="44">
        <v>0</v>
      </c>
      <c r="AD10" s="141">
        <f t="shared" si="6"/>
        <v>0</v>
      </c>
      <c r="AE10" s="72">
        <f t="shared" si="14"/>
        <v>19.9</v>
      </c>
      <c r="AF10" s="72">
        <f t="shared" si="15"/>
        <v>14.099999999999998</v>
      </c>
      <c r="AG10" s="11">
        <f t="shared" si="7"/>
        <v>70.85427135678391</v>
      </c>
      <c r="AH10" s="72">
        <f t="shared" si="16"/>
        <v>5.800000000000001</v>
      </c>
      <c r="AI10" s="18">
        <f t="shared" si="17"/>
        <v>8</v>
      </c>
      <c r="AJ10" s="109"/>
      <c r="AK10" s="19"/>
      <c r="AL10" s="19"/>
    </row>
    <row r="11" spans="1:38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10"/>
        <v>23.6</v>
      </c>
      <c r="N11" s="89">
        <f t="shared" si="11"/>
        <v>50.9</v>
      </c>
      <c r="O11" s="11">
        <f t="shared" si="8"/>
        <v>215.6779661016949</v>
      </c>
      <c r="P11" s="44">
        <v>12.9</v>
      </c>
      <c r="Q11" s="44">
        <v>7.4</v>
      </c>
      <c r="R11" s="141">
        <f t="shared" si="3"/>
        <v>57.36434108527132</v>
      </c>
      <c r="S11" s="44">
        <v>15.3</v>
      </c>
      <c r="T11" s="44">
        <v>0</v>
      </c>
      <c r="U11" s="141">
        <f t="shared" si="4"/>
        <v>0</v>
      </c>
      <c r="V11" s="44">
        <v>21.8</v>
      </c>
      <c r="W11" s="44">
        <v>0</v>
      </c>
      <c r="X11" s="141">
        <f t="shared" si="5"/>
        <v>0</v>
      </c>
      <c r="Y11" s="89">
        <f t="shared" si="12"/>
        <v>50</v>
      </c>
      <c r="Z11" s="89">
        <f t="shared" si="13"/>
        <v>7.4</v>
      </c>
      <c r="AA11" s="11">
        <f t="shared" si="9"/>
        <v>14.800000000000002</v>
      </c>
      <c r="AB11" s="44">
        <v>0</v>
      </c>
      <c r="AC11" s="44">
        <v>0</v>
      </c>
      <c r="AD11" s="171">
        <v>0</v>
      </c>
      <c r="AE11" s="72">
        <f t="shared" si="14"/>
        <v>73.6</v>
      </c>
      <c r="AF11" s="72">
        <f t="shared" si="15"/>
        <v>58.3</v>
      </c>
      <c r="AG11" s="11">
        <f t="shared" si="7"/>
        <v>79.21195652173914</v>
      </c>
      <c r="AH11" s="72">
        <f t="shared" si="16"/>
        <v>15.299999999999997</v>
      </c>
      <c r="AI11" s="18">
        <f t="shared" si="17"/>
        <v>84.50000000000001</v>
      </c>
      <c r="AJ11" s="109"/>
      <c r="AK11" s="19"/>
      <c r="AL11" s="19"/>
    </row>
    <row r="12" spans="1:38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10"/>
        <v>14</v>
      </c>
      <c r="N12" s="89">
        <f t="shared" si="11"/>
        <v>12.899999999999999</v>
      </c>
      <c r="O12" s="11">
        <f t="shared" si="8"/>
        <v>92.14285714285714</v>
      </c>
      <c r="P12" s="44">
        <v>4.6</v>
      </c>
      <c r="Q12" s="44">
        <v>9</v>
      </c>
      <c r="R12" s="11">
        <f t="shared" si="3"/>
        <v>195.6521739130435</v>
      </c>
      <c r="S12" s="44">
        <v>6</v>
      </c>
      <c r="T12" s="44">
        <v>0</v>
      </c>
      <c r="U12" s="11">
        <f t="shared" si="4"/>
        <v>0</v>
      </c>
      <c r="V12" s="44">
        <v>7.9</v>
      </c>
      <c r="W12" s="44">
        <v>0</v>
      </c>
      <c r="X12" s="11">
        <f t="shared" si="5"/>
        <v>0</v>
      </c>
      <c r="Y12" s="89">
        <f t="shared" si="12"/>
        <v>18.5</v>
      </c>
      <c r="Z12" s="89">
        <f t="shared" si="13"/>
        <v>9</v>
      </c>
      <c r="AA12" s="11">
        <f t="shared" si="9"/>
        <v>48.64864864864865</v>
      </c>
      <c r="AB12" s="44">
        <v>8.4</v>
      </c>
      <c r="AC12" s="44">
        <v>0</v>
      </c>
      <c r="AD12" s="11">
        <f t="shared" si="6"/>
        <v>0</v>
      </c>
      <c r="AE12" s="72">
        <f t="shared" si="14"/>
        <v>40.9</v>
      </c>
      <c r="AF12" s="72">
        <f t="shared" si="15"/>
        <v>21.9</v>
      </c>
      <c r="AG12" s="11">
        <f t="shared" si="7"/>
        <v>53.54523227383863</v>
      </c>
      <c r="AH12" s="72">
        <f t="shared" si="16"/>
        <v>19</v>
      </c>
      <c r="AI12" s="18">
        <f t="shared" si="17"/>
        <v>27.5</v>
      </c>
      <c r="AJ12" s="109"/>
      <c r="AK12" s="19"/>
      <c r="AL12" s="19"/>
    </row>
    <row r="13" spans="1:38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18" ref="L13:L28">K13/J13*100</f>
        <v>52.94117647058824</v>
      </c>
      <c r="M13" s="89">
        <f t="shared" si="10"/>
        <v>41.5</v>
      </c>
      <c r="N13" s="89">
        <f t="shared" si="11"/>
        <v>7.2</v>
      </c>
      <c r="O13" s="11">
        <f t="shared" si="8"/>
        <v>17.349397590361445</v>
      </c>
      <c r="P13" s="44">
        <v>13.4</v>
      </c>
      <c r="Q13" s="44">
        <v>0</v>
      </c>
      <c r="R13" s="141">
        <f t="shared" si="3"/>
        <v>0</v>
      </c>
      <c r="S13" s="44">
        <v>13.5</v>
      </c>
      <c r="T13" s="44">
        <v>0</v>
      </c>
      <c r="U13" s="141">
        <f t="shared" si="4"/>
        <v>0</v>
      </c>
      <c r="V13" s="44">
        <v>13.4</v>
      </c>
      <c r="W13" s="44">
        <v>0</v>
      </c>
      <c r="X13" s="141">
        <f t="shared" si="5"/>
        <v>0</v>
      </c>
      <c r="Y13" s="89">
        <f t="shared" si="12"/>
        <v>40.3</v>
      </c>
      <c r="Z13" s="89">
        <f t="shared" si="13"/>
        <v>0</v>
      </c>
      <c r="AA13" s="11">
        <f t="shared" si="9"/>
        <v>0</v>
      </c>
      <c r="AB13" s="44">
        <v>14.1</v>
      </c>
      <c r="AC13" s="44">
        <v>0</v>
      </c>
      <c r="AD13" s="141">
        <f t="shared" si="6"/>
        <v>0</v>
      </c>
      <c r="AE13" s="72">
        <f t="shared" si="14"/>
        <v>95.89999999999999</v>
      </c>
      <c r="AF13" s="72">
        <f t="shared" si="15"/>
        <v>7.2</v>
      </c>
      <c r="AG13" s="11">
        <f t="shared" si="7"/>
        <v>7.5078206465067785</v>
      </c>
      <c r="AH13" s="72">
        <f t="shared" si="16"/>
        <v>88.69999999999999</v>
      </c>
      <c r="AI13" s="18">
        <f t="shared" si="17"/>
        <v>117.39999999999999</v>
      </c>
      <c r="AJ13" s="109"/>
      <c r="AK13" s="19"/>
      <c r="AL13" s="19"/>
    </row>
    <row r="14" spans="1:38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18"/>
        <v>115.90909090909089</v>
      </c>
      <c r="M14" s="89">
        <f t="shared" si="10"/>
        <v>10.1</v>
      </c>
      <c r="N14" s="89">
        <f t="shared" si="11"/>
        <v>5.1</v>
      </c>
      <c r="O14" s="11">
        <f t="shared" si="8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44">
        <v>4.3</v>
      </c>
      <c r="T14" s="44">
        <v>4.2</v>
      </c>
      <c r="U14" s="11">
        <f t="shared" si="4"/>
        <v>97.67441860465117</v>
      </c>
      <c r="V14" s="44">
        <v>4.3</v>
      </c>
      <c r="W14" s="44">
        <v>4.2</v>
      </c>
      <c r="X14" s="11">
        <f t="shared" si="5"/>
        <v>97.67441860465117</v>
      </c>
      <c r="Y14" s="89">
        <f t="shared" si="12"/>
        <v>12.1</v>
      </c>
      <c r="Z14" s="89">
        <f t="shared" si="13"/>
        <v>19.099999999999998</v>
      </c>
      <c r="AA14" s="11">
        <f t="shared" si="9"/>
        <v>157.85123966942146</v>
      </c>
      <c r="AB14" s="44">
        <v>4.5</v>
      </c>
      <c r="AC14" s="44">
        <v>0</v>
      </c>
      <c r="AD14" s="11">
        <f t="shared" si="6"/>
        <v>0</v>
      </c>
      <c r="AE14" s="72">
        <f t="shared" si="14"/>
        <v>26.7</v>
      </c>
      <c r="AF14" s="72">
        <f t="shared" si="15"/>
        <v>24.199999999999996</v>
      </c>
      <c r="AG14" s="11">
        <f t="shared" si="7"/>
        <v>90.63670411985018</v>
      </c>
      <c r="AH14" s="72">
        <f t="shared" si="16"/>
        <v>2.5000000000000036</v>
      </c>
      <c r="AI14" s="18">
        <f t="shared" si="17"/>
        <v>4.600000000000005</v>
      </c>
      <c r="AJ14" s="109"/>
      <c r="AK14" s="19"/>
      <c r="AL14" s="19"/>
    </row>
    <row r="15" spans="1:38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18"/>
        <v>96.83257918552034</v>
      </c>
      <c r="M15" s="89">
        <f t="shared" si="10"/>
        <v>99.2</v>
      </c>
      <c r="N15" s="89">
        <f t="shared" si="11"/>
        <v>63.199999999999996</v>
      </c>
      <c r="O15" s="11">
        <f t="shared" si="8"/>
        <v>63.70967741935484</v>
      </c>
      <c r="P15" s="44">
        <v>58.9</v>
      </c>
      <c r="Q15" s="44">
        <v>69.9</v>
      </c>
      <c r="R15" s="141">
        <f t="shared" si="3"/>
        <v>118.67572156196945</v>
      </c>
      <c r="S15" s="44">
        <v>77.2</v>
      </c>
      <c r="T15" s="44">
        <v>9</v>
      </c>
      <c r="U15" s="141">
        <f t="shared" si="4"/>
        <v>11.658031088082902</v>
      </c>
      <c r="V15" s="44">
        <v>87.1</v>
      </c>
      <c r="W15" s="44">
        <v>84.2</v>
      </c>
      <c r="X15" s="141">
        <f t="shared" si="5"/>
        <v>96.67049368541907</v>
      </c>
      <c r="Y15" s="89">
        <f t="shared" si="12"/>
        <v>223.2</v>
      </c>
      <c r="Z15" s="89">
        <f t="shared" si="13"/>
        <v>163.10000000000002</v>
      </c>
      <c r="AA15" s="11">
        <f t="shared" si="9"/>
        <v>73.07347670250898</v>
      </c>
      <c r="AB15" s="44">
        <v>81.5</v>
      </c>
      <c r="AC15" s="44">
        <v>7.3</v>
      </c>
      <c r="AD15" s="141">
        <f t="shared" si="6"/>
        <v>8.957055214723926</v>
      </c>
      <c r="AE15" s="72">
        <f t="shared" si="14"/>
        <v>403.9</v>
      </c>
      <c r="AF15" s="72">
        <f t="shared" si="15"/>
        <v>233.60000000000002</v>
      </c>
      <c r="AG15" s="11">
        <f t="shared" si="7"/>
        <v>57.836098044070326</v>
      </c>
      <c r="AH15" s="72">
        <f t="shared" si="16"/>
        <v>170.29999999999995</v>
      </c>
      <c r="AI15" s="18">
        <f t="shared" si="17"/>
        <v>226.39999999999998</v>
      </c>
      <c r="AJ15" s="109"/>
      <c r="AK15" s="19"/>
      <c r="AL15" s="19"/>
    </row>
    <row r="16" spans="1:38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18"/>
        <v>-16.666666666666668</v>
      </c>
      <c r="M16" s="89">
        <f t="shared" si="10"/>
        <v>1.4</v>
      </c>
      <c r="N16" s="89">
        <f t="shared" si="11"/>
        <v>1</v>
      </c>
      <c r="O16" s="11">
        <f t="shared" si="8"/>
        <v>71.42857142857143</v>
      </c>
      <c r="P16" s="44">
        <v>0.8</v>
      </c>
      <c r="Q16" s="44">
        <v>0</v>
      </c>
      <c r="R16" s="11">
        <f t="shared" si="3"/>
        <v>0</v>
      </c>
      <c r="S16" s="44">
        <v>1.3</v>
      </c>
      <c r="T16" s="44">
        <v>0</v>
      </c>
      <c r="U16" s="11">
        <f t="shared" si="4"/>
        <v>0</v>
      </c>
      <c r="V16" s="44">
        <v>1.2</v>
      </c>
      <c r="W16" s="44">
        <v>0</v>
      </c>
      <c r="X16" s="11">
        <f t="shared" si="5"/>
        <v>0</v>
      </c>
      <c r="Y16" s="89">
        <f t="shared" si="12"/>
        <v>3.3</v>
      </c>
      <c r="Z16" s="89">
        <f t="shared" si="13"/>
        <v>0</v>
      </c>
      <c r="AA16" s="11">
        <f t="shared" si="9"/>
        <v>0</v>
      </c>
      <c r="AB16" s="44">
        <v>1.1</v>
      </c>
      <c r="AC16" s="44">
        <v>0</v>
      </c>
      <c r="AD16" s="11">
        <f t="shared" si="6"/>
        <v>0</v>
      </c>
      <c r="AE16" s="72">
        <f t="shared" si="14"/>
        <v>5.799999999999999</v>
      </c>
      <c r="AF16" s="72">
        <f t="shared" si="15"/>
        <v>1</v>
      </c>
      <c r="AG16" s="11">
        <f t="shared" si="7"/>
        <v>17.241379310344833</v>
      </c>
      <c r="AH16" s="72">
        <f t="shared" si="16"/>
        <v>4.799999999999999</v>
      </c>
      <c r="AI16" s="18">
        <f t="shared" si="17"/>
        <v>5.799999999999999</v>
      </c>
      <c r="AJ16" s="109"/>
      <c r="AK16" s="19"/>
      <c r="AL16" s="19"/>
    </row>
    <row r="17" spans="1:38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18"/>
        <v>75.00000000000001</v>
      </c>
      <c r="M17" s="89">
        <f t="shared" si="10"/>
        <v>88.5</v>
      </c>
      <c r="N17" s="89">
        <f t="shared" si="11"/>
        <v>92.5</v>
      </c>
      <c r="O17" s="11">
        <f t="shared" si="8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44">
        <f>5.8+41.8</f>
        <v>47.599999999999994</v>
      </c>
      <c r="T17" s="44">
        <f>35.7</f>
        <v>35.7</v>
      </c>
      <c r="U17" s="11">
        <f t="shared" si="4"/>
        <v>75.00000000000001</v>
      </c>
      <c r="V17" s="44">
        <f>6.3+17.9</f>
        <v>24.2</v>
      </c>
      <c r="W17" s="44">
        <f>29.6+33.5</f>
        <v>63.1</v>
      </c>
      <c r="X17" s="11">
        <f t="shared" si="5"/>
        <v>260.7438016528926</v>
      </c>
      <c r="Y17" s="89">
        <f t="shared" si="12"/>
        <v>132.6</v>
      </c>
      <c r="Z17" s="89">
        <f t="shared" si="13"/>
        <v>158.2</v>
      </c>
      <c r="AA17" s="11">
        <f t="shared" si="9"/>
        <v>119.30618401206637</v>
      </c>
      <c r="AB17" s="44">
        <f>1.6+21.9</f>
        <v>23.5</v>
      </c>
      <c r="AC17" s="44">
        <v>0</v>
      </c>
      <c r="AD17" s="11">
        <f t="shared" si="6"/>
        <v>0</v>
      </c>
      <c r="AE17" s="72">
        <f t="shared" si="14"/>
        <v>244.6</v>
      </c>
      <c r="AF17" s="72">
        <f t="shared" si="15"/>
        <v>250.7</v>
      </c>
      <c r="AG17" s="11">
        <f t="shared" si="7"/>
        <v>102.49386753883891</v>
      </c>
      <c r="AH17" s="72">
        <f t="shared" si="16"/>
        <v>-6.099999999999994</v>
      </c>
      <c r="AI17" s="18">
        <f t="shared" si="17"/>
        <v>56</v>
      </c>
      <c r="AJ17" s="109"/>
      <c r="AK17" s="19"/>
      <c r="AL17" s="19"/>
    </row>
    <row r="18" spans="1:38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18"/>
        <v>101.61290322580645</v>
      </c>
      <c r="M18" s="89">
        <f t="shared" si="10"/>
        <v>18.5</v>
      </c>
      <c r="N18" s="89">
        <f t="shared" si="11"/>
        <v>12.8</v>
      </c>
      <c r="O18" s="11">
        <f t="shared" si="8"/>
        <v>69.1891891891892</v>
      </c>
      <c r="P18" s="44">
        <v>5.8</v>
      </c>
      <c r="Q18" s="44">
        <v>18</v>
      </c>
      <c r="R18" s="11">
        <f t="shared" si="3"/>
        <v>310.3448275862069</v>
      </c>
      <c r="S18" s="44">
        <v>6.5</v>
      </c>
      <c r="T18" s="44">
        <v>6.5</v>
      </c>
      <c r="U18" s="11">
        <f t="shared" si="4"/>
        <v>100</v>
      </c>
      <c r="V18" s="44">
        <v>6.3</v>
      </c>
      <c r="W18" s="44">
        <v>6.3</v>
      </c>
      <c r="X18" s="11">
        <f t="shared" si="5"/>
        <v>100</v>
      </c>
      <c r="Y18" s="89">
        <f t="shared" si="12"/>
        <v>18.6</v>
      </c>
      <c r="Z18" s="89">
        <f t="shared" si="13"/>
        <v>30.8</v>
      </c>
      <c r="AA18" s="11">
        <f t="shared" si="9"/>
        <v>165.59139784946234</v>
      </c>
      <c r="AB18" s="44">
        <v>6.4</v>
      </c>
      <c r="AC18" s="44">
        <v>0</v>
      </c>
      <c r="AD18" s="11">
        <f t="shared" si="6"/>
        <v>0</v>
      </c>
      <c r="AE18" s="72">
        <f t="shared" si="14"/>
        <v>43.5</v>
      </c>
      <c r="AF18" s="72">
        <f t="shared" si="15"/>
        <v>43.6</v>
      </c>
      <c r="AG18" s="11">
        <f t="shared" si="7"/>
        <v>100.22988505747125</v>
      </c>
      <c r="AH18" s="72">
        <f t="shared" si="16"/>
        <v>-0.10000000000000142</v>
      </c>
      <c r="AI18" s="18">
        <f t="shared" si="17"/>
        <v>6.399999999999999</v>
      </c>
      <c r="AJ18" s="109"/>
      <c r="AK18" s="19"/>
      <c r="AL18" s="19"/>
    </row>
    <row r="19" spans="1:38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19" ref="I19:I24">H19/G19*100</f>
        <v>0</v>
      </c>
      <c r="J19" s="44">
        <v>15</v>
      </c>
      <c r="K19" s="44">
        <v>0</v>
      </c>
      <c r="L19" s="75">
        <f t="shared" si="18"/>
        <v>0</v>
      </c>
      <c r="M19" s="89">
        <f t="shared" si="10"/>
        <v>43.8</v>
      </c>
      <c r="N19" s="89">
        <f t="shared" si="11"/>
        <v>49.5</v>
      </c>
      <c r="O19" s="11">
        <f t="shared" si="8"/>
        <v>113.013698630137</v>
      </c>
      <c r="P19" s="44">
        <v>16.8</v>
      </c>
      <c r="Q19" s="44">
        <v>13.7</v>
      </c>
      <c r="R19" s="141">
        <f t="shared" si="3"/>
        <v>81.54761904761904</v>
      </c>
      <c r="S19" s="44">
        <v>22.4</v>
      </c>
      <c r="T19" s="44">
        <v>0</v>
      </c>
      <c r="U19" s="141">
        <f t="shared" si="4"/>
        <v>0</v>
      </c>
      <c r="V19" s="44">
        <v>25.6</v>
      </c>
      <c r="W19" s="44">
        <v>69.3</v>
      </c>
      <c r="X19" s="141">
        <f t="shared" si="5"/>
        <v>270.70312499999994</v>
      </c>
      <c r="Y19" s="89">
        <f t="shared" si="12"/>
        <v>64.80000000000001</v>
      </c>
      <c r="Z19" s="89">
        <f t="shared" si="13"/>
        <v>83</v>
      </c>
      <c r="AA19" s="11">
        <f t="shared" si="9"/>
        <v>128.08641975308637</v>
      </c>
      <c r="AB19" s="44">
        <v>26.7</v>
      </c>
      <c r="AC19" s="44">
        <v>0</v>
      </c>
      <c r="AD19" s="141">
        <f t="shared" si="6"/>
        <v>0</v>
      </c>
      <c r="AE19" s="72">
        <f t="shared" si="14"/>
        <v>135.3</v>
      </c>
      <c r="AF19" s="72">
        <f t="shared" si="15"/>
        <v>132.5</v>
      </c>
      <c r="AG19" s="11">
        <f t="shared" si="7"/>
        <v>97.93052475979304</v>
      </c>
      <c r="AH19" s="72">
        <f t="shared" si="16"/>
        <v>2.8000000000000114</v>
      </c>
      <c r="AI19" s="18">
        <f t="shared" si="17"/>
        <v>52.30000000000001</v>
      </c>
      <c r="AJ19" s="109"/>
      <c r="AK19" s="19"/>
      <c r="AL19" s="19"/>
    </row>
    <row r="20" spans="1:38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19"/>
        <v>33.87096774193549</v>
      </c>
      <c r="J20" s="44">
        <v>5.9</v>
      </c>
      <c r="K20" s="44">
        <v>5</v>
      </c>
      <c r="L20" s="75">
        <f t="shared" si="18"/>
        <v>84.7457627118644</v>
      </c>
      <c r="M20" s="89">
        <f t="shared" si="10"/>
        <v>12.100000000000001</v>
      </c>
      <c r="N20" s="89">
        <f t="shared" si="11"/>
        <v>26.8</v>
      </c>
      <c r="O20" s="11">
        <f t="shared" si="8"/>
        <v>221.4876033057851</v>
      </c>
      <c r="P20" s="44">
        <v>17.3</v>
      </c>
      <c r="Q20" s="44">
        <v>7.3</v>
      </c>
      <c r="R20" s="141">
        <f t="shared" si="3"/>
        <v>42.19653179190751</v>
      </c>
      <c r="S20" s="44">
        <v>7.3</v>
      </c>
      <c r="T20" s="44">
        <v>2.1</v>
      </c>
      <c r="U20" s="141">
        <f t="shared" si="4"/>
        <v>28.767123287671236</v>
      </c>
      <c r="V20" s="44">
        <v>9.4</v>
      </c>
      <c r="W20" s="44">
        <v>0</v>
      </c>
      <c r="X20" s="141">
        <f t="shared" si="5"/>
        <v>0</v>
      </c>
      <c r="Y20" s="89">
        <f t="shared" si="12"/>
        <v>34</v>
      </c>
      <c r="Z20" s="89">
        <f t="shared" si="13"/>
        <v>9.4</v>
      </c>
      <c r="AA20" s="11">
        <f t="shared" si="9"/>
        <v>27.647058823529413</v>
      </c>
      <c r="AB20" s="44">
        <v>8.4</v>
      </c>
      <c r="AC20" s="44">
        <v>-9.2</v>
      </c>
      <c r="AD20" s="141">
        <f t="shared" si="6"/>
        <v>-109.52380952380952</v>
      </c>
      <c r="AE20" s="72">
        <f t="shared" si="14"/>
        <v>54.5</v>
      </c>
      <c r="AF20" s="72">
        <f t="shared" si="15"/>
        <v>27.000000000000004</v>
      </c>
      <c r="AG20" s="11">
        <f t="shared" si="7"/>
        <v>49.541284403669735</v>
      </c>
      <c r="AH20" s="72">
        <f t="shared" si="16"/>
        <v>27.499999999999996</v>
      </c>
      <c r="AI20" s="18">
        <f t="shared" si="17"/>
        <v>47.2</v>
      </c>
      <c r="AJ20" s="109"/>
      <c r="AK20" s="19"/>
      <c r="AL20" s="19"/>
    </row>
    <row r="21" spans="1:38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19"/>
        <v>0</v>
      </c>
      <c r="J21" s="44">
        <v>0.7</v>
      </c>
      <c r="K21" s="44">
        <v>0.7</v>
      </c>
      <c r="L21" s="75">
        <f t="shared" si="18"/>
        <v>100</v>
      </c>
      <c r="M21" s="89">
        <f t="shared" si="10"/>
        <v>2.5999999999999996</v>
      </c>
      <c r="N21" s="89">
        <f t="shared" si="11"/>
        <v>2.3</v>
      </c>
      <c r="O21" s="11">
        <f t="shared" si="8"/>
        <v>88.46153846153847</v>
      </c>
      <c r="P21" s="44">
        <v>1.5</v>
      </c>
      <c r="Q21" s="44">
        <v>0.9</v>
      </c>
      <c r="R21" s="141">
        <f t="shared" si="3"/>
        <v>60</v>
      </c>
      <c r="S21" s="44">
        <v>1.2</v>
      </c>
      <c r="T21" s="44">
        <v>0</v>
      </c>
      <c r="U21" s="141">
        <f t="shared" si="4"/>
        <v>0</v>
      </c>
      <c r="V21" s="44">
        <v>1.5</v>
      </c>
      <c r="W21" s="44">
        <v>3.8</v>
      </c>
      <c r="X21" s="141">
        <f t="shared" si="5"/>
        <v>253.33333333333331</v>
      </c>
      <c r="Y21" s="89">
        <f t="shared" si="12"/>
        <v>4.2</v>
      </c>
      <c r="Z21" s="89">
        <f t="shared" si="13"/>
        <v>4.7</v>
      </c>
      <c r="AA21" s="11">
        <f t="shared" si="9"/>
        <v>111.90476190476191</v>
      </c>
      <c r="AB21" s="44">
        <v>1.5</v>
      </c>
      <c r="AC21" s="44">
        <v>0</v>
      </c>
      <c r="AD21" s="141">
        <f t="shared" si="6"/>
        <v>0</v>
      </c>
      <c r="AE21" s="72">
        <f t="shared" si="14"/>
        <v>8.3</v>
      </c>
      <c r="AF21" s="72">
        <f t="shared" si="15"/>
        <v>7</v>
      </c>
      <c r="AG21" s="11">
        <f t="shared" si="7"/>
        <v>84.33734939759036</v>
      </c>
      <c r="AH21" s="72">
        <f t="shared" si="16"/>
        <v>1.3000000000000007</v>
      </c>
      <c r="AI21" s="18">
        <f t="shared" si="17"/>
        <v>3.200000000000001</v>
      </c>
      <c r="AJ21" s="109"/>
      <c r="AK21" s="19"/>
      <c r="AL21" s="19"/>
    </row>
    <row r="22" spans="1:38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19"/>
        <v>3.571428571428572</v>
      </c>
      <c r="J22" s="44">
        <v>18.3</v>
      </c>
      <c r="K22" s="44">
        <v>1.3</v>
      </c>
      <c r="L22" s="75">
        <f t="shared" si="18"/>
        <v>7.103825136612022</v>
      </c>
      <c r="M22" s="89">
        <f t="shared" si="10"/>
        <v>31.3</v>
      </c>
      <c r="N22" s="89">
        <f t="shared" si="11"/>
        <v>11.700000000000001</v>
      </c>
      <c r="O22" s="11">
        <f t="shared" si="8"/>
        <v>37.38019169329074</v>
      </c>
      <c r="P22" s="44">
        <v>7.1</v>
      </c>
      <c r="Q22" s="44">
        <v>20.9</v>
      </c>
      <c r="R22" s="141">
        <f t="shared" si="3"/>
        <v>294.3661971830986</v>
      </c>
      <c r="S22" s="44">
        <v>1.8</v>
      </c>
      <c r="T22" s="44">
        <v>0.2</v>
      </c>
      <c r="U22" s="141">
        <f t="shared" si="4"/>
        <v>11.111111111111112</v>
      </c>
      <c r="V22" s="44">
        <v>8.4</v>
      </c>
      <c r="W22" s="44">
        <v>5.1</v>
      </c>
      <c r="X22" s="141">
        <f t="shared" si="5"/>
        <v>60.71428571428571</v>
      </c>
      <c r="Y22" s="89">
        <f t="shared" si="12"/>
        <v>17.3</v>
      </c>
      <c r="Z22" s="89">
        <f t="shared" si="13"/>
        <v>26.199999999999996</v>
      </c>
      <c r="AA22" s="11">
        <f t="shared" si="9"/>
        <v>151.4450867052023</v>
      </c>
      <c r="AB22" s="44">
        <v>1.9</v>
      </c>
      <c r="AC22" s="44">
        <v>0.2</v>
      </c>
      <c r="AD22" s="141">
        <f t="shared" si="6"/>
        <v>10.526315789473685</v>
      </c>
      <c r="AE22" s="72">
        <f t="shared" si="14"/>
        <v>50.5</v>
      </c>
      <c r="AF22" s="72">
        <f t="shared" si="15"/>
        <v>38.1</v>
      </c>
      <c r="AG22" s="11">
        <f t="shared" si="7"/>
        <v>75.44554455445545</v>
      </c>
      <c r="AH22" s="72">
        <f t="shared" si="16"/>
        <v>12.399999999999999</v>
      </c>
      <c r="AI22" s="18">
        <f t="shared" si="17"/>
        <v>24.1</v>
      </c>
      <c r="AJ22" s="109"/>
      <c r="AK22" s="19"/>
      <c r="AL22" s="19"/>
    </row>
    <row r="23" spans="1:38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19"/>
        <v>0</v>
      </c>
      <c r="J23" s="44">
        <v>1</v>
      </c>
      <c r="K23" s="44">
        <v>2.1</v>
      </c>
      <c r="L23" s="11">
        <f t="shared" si="18"/>
        <v>210</v>
      </c>
      <c r="M23" s="89">
        <f t="shared" si="10"/>
        <v>3.1</v>
      </c>
      <c r="N23" s="89">
        <f t="shared" si="11"/>
        <v>4.2</v>
      </c>
      <c r="O23" s="11">
        <f t="shared" si="8"/>
        <v>135.48387096774195</v>
      </c>
      <c r="P23" s="44">
        <v>1.3</v>
      </c>
      <c r="Q23" s="44">
        <v>2</v>
      </c>
      <c r="R23" s="11">
        <f t="shared" si="3"/>
        <v>153.84615384615384</v>
      </c>
      <c r="S23" s="44">
        <v>1.3</v>
      </c>
      <c r="T23" s="44">
        <v>1.6</v>
      </c>
      <c r="U23" s="11">
        <f t="shared" si="4"/>
        <v>123.07692307692308</v>
      </c>
      <c r="V23" s="44">
        <v>1.9</v>
      </c>
      <c r="W23" s="44">
        <v>0</v>
      </c>
      <c r="X23" s="11">
        <f t="shared" si="5"/>
        <v>0</v>
      </c>
      <c r="Y23" s="89">
        <f t="shared" si="12"/>
        <v>4.5</v>
      </c>
      <c r="Z23" s="89">
        <f t="shared" si="13"/>
        <v>3.6</v>
      </c>
      <c r="AA23" s="11">
        <f t="shared" si="9"/>
        <v>80</v>
      </c>
      <c r="AB23" s="44">
        <v>2.5</v>
      </c>
      <c r="AC23" s="44">
        <v>0</v>
      </c>
      <c r="AD23" s="11">
        <f t="shared" si="6"/>
        <v>0</v>
      </c>
      <c r="AE23" s="72">
        <f t="shared" si="14"/>
        <v>10.1</v>
      </c>
      <c r="AF23" s="72">
        <f t="shared" si="15"/>
        <v>7.800000000000001</v>
      </c>
      <c r="AG23" s="11">
        <f t="shared" si="7"/>
        <v>77.22772277227725</v>
      </c>
      <c r="AH23" s="72">
        <f t="shared" si="16"/>
        <v>2.299999999999999</v>
      </c>
      <c r="AI23" s="18">
        <f t="shared" si="17"/>
        <v>4.399999999999999</v>
      </c>
      <c r="AJ23" s="109"/>
      <c r="AK23" s="19"/>
      <c r="AL23" s="19"/>
    </row>
    <row r="24" spans="1:38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19"/>
        <v>0</v>
      </c>
      <c r="J24" s="44">
        <v>32.8</v>
      </c>
      <c r="K24" s="44">
        <v>0</v>
      </c>
      <c r="L24" s="11">
        <f t="shared" si="18"/>
        <v>0</v>
      </c>
      <c r="M24" s="89">
        <f t="shared" si="10"/>
        <v>98.99999999999999</v>
      </c>
      <c r="N24" s="89">
        <f t="shared" si="11"/>
        <v>93.8</v>
      </c>
      <c r="O24" s="11">
        <f t="shared" si="8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44">
        <v>35.9</v>
      </c>
      <c r="T24" s="44">
        <v>0</v>
      </c>
      <c r="U24" s="11">
        <f t="shared" si="4"/>
        <v>0</v>
      </c>
      <c r="V24" s="44">
        <v>39</v>
      </c>
      <c r="W24" s="44">
        <v>30.2</v>
      </c>
      <c r="X24" s="11">
        <f t="shared" si="5"/>
        <v>77.43589743589745</v>
      </c>
      <c r="Y24" s="89">
        <f t="shared" si="12"/>
        <v>110.5</v>
      </c>
      <c r="Z24" s="89">
        <f t="shared" si="13"/>
        <v>51.9</v>
      </c>
      <c r="AA24" s="11">
        <f t="shared" si="9"/>
        <v>46.9683257918552</v>
      </c>
      <c r="AB24" s="44">
        <v>43.8</v>
      </c>
      <c r="AC24" s="44">
        <v>0</v>
      </c>
      <c r="AD24" s="11">
        <f t="shared" si="6"/>
        <v>0</v>
      </c>
      <c r="AE24" s="72">
        <f t="shared" si="14"/>
        <v>253.3</v>
      </c>
      <c r="AF24" s="72">
        <f t="shared" si="15"/>
        <v>145.7</v>
      </c>
      <c r="AG24" s="11">
        <f t="shared" si="7"/>
        <v>57.52072641136991</v>
      </c>
      <c r="AH24" s="72">
        <f t="shared" si="16"/>
        <v>107.60000000000002</v>
      </c>
      <c r="AI24" s="18">
        <f t="shared" si="17"/>
        <v>201.40000000000003</v>
      </c>
      <c r="AJ24" s="109"/>
      <c r="AK24" s="19"/>
      <c r="AL24" s="19"/>
    </row>
    <row r="25" spans="1:38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20" ref="I25:I34">H25/G25*100</f>
        <v>0</v>
      </c>
      <c r="J25" s="44">
        <v>9.5</v>
      </c>
      <c r="K25" s="44">
        <v>14.6</v>
      </c>
      <c r="L25" s="11">
        <f t="shared" si="18"/>
        <v>153.68421052631578</v>
      </c>
      <c r="M25" s="89">
        <f t="shared" si="10"/>
        <v>25.9</v>
      </c>
      <c r="N25" s="89">
        <f t="shared" si="11"/>
        <v>30.4</v>
      </c>
      <c r="O25" s="11">
        <f t="shared" si="8"/>
        <v>117.37451737451738</v>
      </c>
      <c r="P25" s="44">
        <v>9.5</v>
      </c>
      <c r="Q25" s="44">
        <v>8.9</v>
      </c>
      <c r="R25" s="11">
        <f t="shared" si="3"/>
        <v>93.6842105263158</v>
      </c>
      <c r="S25" s="44">
        <v>9.2</v>
      </c>
      <c r="T25" s="44">
        <v>0</v>
      </c>
      <c r="U25" s="11">
        <f t="shared" si="4"/>
        <v>0</v>
      </c>
      <c r="V25" s="44">
        <v>8.6</v>
      </c>
      <c r="W25" s="44">
        <v>19</v>
      </c>
      <c r="X25" s="11">
        <f t="shared" si="5"/>
        <v>220.93023255813952</v>
      </c>
      <c r="Y25" s="89">
        <f t="shared" si="12"/>
        <v>27.299999999999997</v>
      </c>
      <c r="Z25" s="89">
        <f t="shared" si="13"/>
        <v>27.9</v>
      </c>
      <c r="AA25" s="11">
        <f t="shared" si="9"/>
        <v>102.19780219780222</v>
      </c>
      <c r="AB25" s="44">
        <v>11.3</v>
      </c>
      <c r="AC25" s="44">
        <v>0</v>
      </c>
      <c r="AD25" s="11">
        <f t="shared" si="6"/>
        <v>0</v>
      </c>
      <c r="AE25" s="72">
        <f t="shared" si="14"/>
        <v>64.5</v>
      </c>
      <c r="AF25" s="72">
        <f t="shared" si="15"/>
        <v>58.3</v>
      </c>
      <c r="AG25" s="11">
        <f t="shared" si="7"/>
        <v>90.3875968992248</v>
      </c>
      <c r="AH25" s="72">
        <f t="shared" si="16"/>
        <v>6.200000000000003</v>
      </c>
      <c r="AI25" s="18">
        <f t="shared" si="17"/>
        <v>29.10000000000001</v>
      </c>
      <c r="AJ25" s="109"/>
      <c r="AK25" s="19"/>
      <c r="AL25" s="19"/>
    </row>
    <row r="26" spans="1:38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20"/>
        <v>0</v>
      </c>
      <c r="J26" s="44">
        <v>1.8</v>
      </c>
      <c r="K26" s="44">
        <v>5</v>
      </c>
      <c r="L26" s="11">
        <f t="shared" si="18"/>
        <v>277.77777777777777</v>
      </c>
      <c r="M26" s="89">
        <f t="shared" si="10"/>
        <v>5.3</v>
      </c>
      <c r="N26" s="89">
        <f t="shared" si="11"/>
        <v>5</v>
      </c>
      <c r="O26" s="11">
        <f t="shared" si="8"/>
        <v>94.33962264150944</v>
      </c>
      <c r="P26" s="44">
        <v>1.7</v>
      </c>
      <c r="Q26" s="44">
        <v>3.6</v>
      </c>
      <c r="R26" s="11">
        <f t="shared" si="3"/>
        <v>211.76470588235296</v>
      </c>
      <c r="S26" s="44">
        <v>2.5</v>
      </c>
      <c r="T26" s="44">
        <v>1.7</v>
      </c>
      <c r="U26" s="11">
        <f t="shared" si="4"/>
        <v>68</v>
      </c>
      <c r="V26" s="44">
        <v>2.4</v>
      </c>
      <c r="W26" s="44">
        <v>2.5</v>
      </c>
      <c r="X26" s="11">
        <f t="shared" si="5"/>
        <v>104.16666666666667</v>
      </c>
      <c r="Y26" s="89">
        <f t="shared" si="12"/>
        <v>6.6</v>
      </c>
      <c r="Z26" s="89">
        <f t="shared" si="13"/>
        <v>7.8</v>
      </c>
      <c r="AA26" s="11">
        <f t="shared" si="9"/>
        <v>118.18181818181819</v>
      </c>
      <c r="AB26" s="44">
        <v>2.8</v>
      </c>
      <c r="AC26" s="44">
        <v>0</v>
      </c>
      <c r="AD26" s="11">
        <f t="shared" si="6"/>
        <v>0</v>
      </c>
      <c r="AE26" s="72">
        <f t="shared" si="14"/>
        <v>14.7</v>
      </c>
      <c r="AF26" s="72">
        <f t="shared" si="15"/>
        <v>12.8</v>
      </c>
      <c r="AG26" s="11">
        <f t="shared" si="7"/>
        <v>87.0748299319728</v>
      </c>
      <c r="AH26" s="72">
        <f t="shared" si="16"/>
        <v>1.8999999999999986</v>
      </c>
      <c r="AI26" s="18">
        <f t="shared" si="17"/>
        <v>5.099999999999998</v>
      </c>
      <c r="AJ26" s="109"/>
      <c r="AK26" s="19"/>
      <c r="AL26" s="19"/>
    </row>
    <row r="27" spans="1:38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20"/>
        <v>0</v>
      </c>
      <c r="J27" s="44">
        <v>14.2</v>
      </c>
      <c r="K27" s="44">
        <v>25.5</v>
      </c>
      <c r="L27" s="11">
        <f t="shared" si="18"/>
        <v>179.5774647887324</v>
      </c>
      <c r="M27" s="89">
        <f t="shared" si="10"/>
        <v>39.7</v>
      </c>
      <c r="N27" s="89">
        <f t="shared" si="11"/>
        <v>48.7</v>
      </c>
      <c r="O27" s="11">
        <f t="shared" si="8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44">
        <v>14.5</v>
      </c>
      <c r="T27" s="44">
        <v>0</v>
      </c>
      <c r="U27" s="11">
        <f t="shared" si="4"/>
        <v>0</v>
      </c>
      <c r="V27" s="44">
        <v>15.4</v>
      </c>
      <c r="W27" s="44">
        <v>1</v>
      </c>
      <c r="X27" s="11">
        <f t="shared" si="5"/>
        <v>6.493506493506493</v>
      </c>
      <c r="Y27" s="89">
        <f t="shared" si="12"/>
        <v>45.8</v>
      </c>
      <c r="Z27" s="89">
        <f t="shared" si="13"/>
        <v>18.3</v>
      </c>
      <c r="AA27" s="11">
        <f t="shared" si="9"/>
        <v>39.95633187772926</v>
      </c>
      <c r="AB27" s="44">
        <v>17.4</v>
      </c>
      <c r="AC27" s="44">
        <v>0</v>
      </c>
      <c r="AD27" s="11">
        <f t="shared" si="6"/>
        <v>0</v>
      </c>
      <c r="AE27" s="72">
        <f t="shared" si="14"/>
        <v>102.9</v>
      </c>
      <c r="AF27" s="72">
        <f t="shared" si="15"/>
        <v>67</v>
      </c>
      <c r="AG27" s="11">
        <f t="shared" si="7"/>
        <v>65.11175898931</v>
      </c>
      <c r="AH27" s="72">
        <f t="shared" si="16"/>
        <v>35.900000000000006</v>
      </c>
      <c r="AI27" s="18">
        <f t="shared" si="17"/>
        <v>60.10000000000001</v>
      </c>
      <c r="AJ27" s="109"/>
      <c r="AK27" s="19"/>
      <c r="AL27" s="19"/>
    </row>
    <row r="28" spans="1:38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20"/>
        <v>0</v>
      </c>
      <c r="J28" s="44">
        <v>2</v>
      </c>
      <c r="K28" s="44">
        <v>0</v>
      </c>
      <c r="L28" s="11">
        <f t="shared" si="18"/>
        <v>0</v>
      </c>
      <c r="M28" s="89">
        <f t="shared" si="10"/>
        <v>11.100000000000001</v>
      </c>
      <c r="N28" s="89">
        <f t="shared" si="11"/>
        <v>10.1</v>
      </c>
      <c r="O28" s="11">
        <f t="shared" si="8"/>
        <v>90.99099099099097</v>
      </c>
      <c r="P28" s="44">
        <v>6.5</v>
      </c>
      <c r="Q28" s="44">
        <v>4.4</v>
      </c>
      <c r="R28" s="11">
        <f t="shared" si="3"/>
        <v>67.6923076923077</v>
      </c>
      <c r="S28" s="44">
        <v>6.7</v>
      </c>
      <c r="T28" s="44">
        <v>0</v>
      </c>
      <c r="U28" s="11">
        <f t="shared" si="4"/>
        <v>0</v>
      </c>
      <c r="V28" s="44">
        <v>6.9</v>
      </c>
      <c r="W28" s="44">
        <v>0</v>
      </c>
      <c r="X28" s="11">
        <f t="shared" si="5"/>
        <v>0</v>
      </c>
      <c r="Y28" s="89">
        <f t="shared" si="12"/>
        <v>20.1</v>
      </c>
      <c r="Z28" s="89">
        <f t="shared" si="13"/>
        <v>4.4</v>
      </c>
      <c r="AA28" s="11">
        <f t="shared" si="9"/>
        <v>21.890547263681594</v>
      </c>
      <c r="AB28" s="44">
        <v>6.9</v>
      </c>
      <c r="AC28" s="44">
        <v>0</v>
      </c>
      <c r="AD28" s="11">
        <f t="shared" si="6"/>
        <v>0</v>
      </c>
      <c r="AE28" s="72">
        <f t="shared" si="14"/>
        <v>38.1</v>
      </c>
      <c r="AF28" s="72">
        <f t="shared" si="15"/>
        <v>14.5</v>
      </c>
      <c r="AG28" s="11">
        <f t="shared" si="7"/>
        <v>38.05774278215223</v>
      </c>
      <c r="AH28" s="72">
        <f t="shared" si="16"/>
        <v>23.6</v>
      </c>
      <c r="AI28" s="18">
        <f t="shared" si="17"/>
        <v>33.7</v>
      </c>
      <c r="AJ28" s="109"/>
      <c r="AK28" s="19"/>
      <c r="AL28" s="19"/>
    </row>
    <row r="29" spans="1:38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72"/>
      <c r="AF29" s="72"/>
      <c r="AG29" s="66"/>
      <c r="AH29" s="72"/>
      <c r="AI29" s="112"/>
      <c r="AJ29" s="109"/>
      <c r="AK29" s="19"/>
      <c r="AL29" s="19"/>
    </row>
    <row r="30" spans="1:38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20"/>
        <v>0</v>
      </c>
      <c r="J30" s="44">
        <v>4.5</v>
      </c>
      <c r="K30" s="44">
        <v>4.1</v>
      </c>
      <c r="L30" s="75">
        <f aca="true" t="shared" si="21" ref="L30:L43">K30/J30*100</f>
        <v>91.1111111111111</v>
      </c>
      <c r="M30" s="89">
        <f t="shared" si="10"/>
        <v>12.3</v>
      </c>
      <c r="N30" s="89">
        <f t="shared" si="11"/>
        <v>11.6</v>
      </c>
      <c r="O30" s="11">
        <f t="shared" si="8"/>
        <v>94.30894308943088</v>
      </c>
      <c r="P30" s="44">
        <v>4.2</v>
      </c>
      <c r="Q30" s="44">
        <v>3.7</v>
      </c>
      <c r="R30" s="141">
        <f aca="true" t="shared" si="22" ref="R30:R43">Q30/P30*100</f>
        <v>88.09523809523809</v>
      </c>
      <c r="S30" s="44">
        <v>4.7</v>
      </c>
      <c r="T30" s="44">
        <v>0</v>
      </c>
      <c r="U30" s="141">
        <f aca="true" t="shared" si="23" ref="U30:U43">T30/S30*100</f>
        <v>0</v>
      </c>
      <c r="V30" s="44">
        <v>4.3</v>
      </c>
      <c r="W30" s="44">
        <v>16.8</v>
      </c>
      <c r="X30" s="141">
        <f aca="true" t="shared" si="24" ref="X30:X43">W30/V30*100</f>
        <v>390.69767441860466</v>
      </c>
      <c r="Y30" s="89">
        <f aca="true" t="shared" si="25" ref="Y30:Y40">P30+S30+V30</f>
        <v>13.2</v>
      </c>
      <c r="Z30" s="89">
        <f aca="true" t="shared" si="26" ref="Z30:Z40">Q30+T30+W30</f>
        <v>20.5</v>
      </c>
      <c r="AA30" s="11">
        <f aca="true" t="shared" si="27" ref="AA30:AA43">Z30/Y30*100</f>
        <v>155.3030303030303</v>
      </c>
      <c r="AB30" s="44">
        <v>2.8</v>
      </c>
      <c r="AC30" s="44">
        <v>0</v>
      </c>
      <c r="AD30" s="141">
        <f aca="true" t="shared" si="28" ref="AD30:AD43">AC30/AB30*100</f>
        <v>0</v>
      </c>
      <c r="AE30" s="72">
        <f t="shared" si="14"/>
        <v>28.3</v>
      </c>
      <c r="AF30" s="72">
        <f t="shared" si="15"/>
        <v>32.1</v>
      </c>
      <c r="AG30" s="11">
        <f t="shared" si="7"/>
        <v>113.42756183745584</v>
      </c>
      <c r="AH30" s="72">
        <f t="shared" si="16"/>
        <v>-3.8000000000000007</v>
      </c>
      <c r="AI30" s="18">
        <f t="shared" si="17"/>
        <v>3.6999999999999957</v>
      </c>
      <c r="AJ30" s="109"/>
      <c r="AK30" s="19"/>
      <c r="AL30" s="19"/>
    </row>
    <row r="31" spans="1:38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20"/>
        <v>0</v>
      </c>
      <c r="J31" s="44">
        <v>4.5</v>
      </c>
      <c r="K31" s="44">
        <v>8.8</v>
      </c>
      <c r="L31" s="11">
        <f t="shared" si="21"/>
        <v>195.55555555555557</v>
      </c>
      <c r="M31" s="89">
        <f t="shared" si="10"/>
        <v>13.3</v>
      </c>
      <c r="N31" s="89">
        <f t="shared" si="11"/>
        <v>18.700000000000003</v>
      </c>
      <c r="O31" s="11">
        <f t="shared" si="8"/>
        <v>140.6015037593985</v>
      </c>
      <c r="P31" s="44">
        <v>4.2</v>
      </c>
      <c r="Q31" s="44">
        <v>0</v>
      </c>
      <c r="R31" s="11">
        <f t="shared" si="22"/>
        <v>0</v>
      </c>
      <c r="S31" s="44">
        <v>4.9</v>
      </c>
      <c r="T31" s="44">
        <v>3.9</v>
      </c>
      <c r="U31" s="11">
        <f t="shared" si="23"/>
        <v>79.59183673469387</v>
      </c>
      <c r="V31" s="44">
        <v>4.8</v>
      </c>
      <c r="W31" s="44">
        <v>9.7</v>
      </c>
      <c r="X31" s="11">
        <f t="shared" si="24"/>
        <v>202.08333333333334</v>
      </c>
      <c r="Y31" s="89">
        <f t="shared" si="25"/>
        <v>13.900000000000002</v>
      </c>
      <c r="Z31" s="89">
        <f t="shared" si="26"/>
        <v>13.6</v>
      </c>
      <c r="AA31" s="11">
        <f t="shared" si="27"/>
        <v>97.84172661870501</v>
      </c>
      <c r="AB31" s="44">
        <v>5.4</v>
      </c>
      <c r="AC31" s="44">
        <v>0</v>
      </c>
      <c r="AD31" s="11">
        <f t="shared" si="28"/>
        <v>0</v>
      </c>
      <c r="AE31" s="72">
        <f t="shared" si="14"/>
        <v>32.6</v>
      </c>
      <c r="AF31" s="72">
        <f t="shared" si="15"/>
        <v>32.300000000000004</v>
      </c>
      <c r="AG31" s="11">
        <f t="shared" si="7"/>
        <v>99.079754601227</v>
      </c>
      <c r="AH31" s="72">
        <f t="shared" si="16"/>
        <v>0.29999999999999716</v>
      </c>
      <c r="AI31" s="18">
        <f t="shared" si="17"/>
        <v>10.199999999999996</v>
      </c>
      <c r="AJ31" s="109"/>
      <c r="AK31" s="19"/>
      <c r="AL31" s="19"/>
    </row>
    <row r="32" spans="1:38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20"/>
        <v>0</v>
      </c>
      <c r="J32" s="44">
        <v>33.8</v>
      </c>
      <c r="K32" s="44">
        <v>78.6</v>
      </c>
      <c r="L32" s="11">
        <f t="shared" si="21"/>
        <v>232.54437869822488</v>
      </c>
      <c r="M32" s="89">
        <f t="shared" si="10"/>
        <v>107.99999999999999</v>
      </c>
      <c r="N32" s="89">
        <f t="shared" si="11"/>
        <v>112.89999999999999</v>
      </c>
      <c r="O32" s="11">
        <f t="shared" si="8"/>
        <v>104.53703703703705</v>
      </c>
      <c r="P32" s="44">
        <v>39.1</v>
      </c>
      <c r="Q32" s="44">
        <v>0.1</v>
      </c>
      <c r="R32" s="11">
        <f t="shared" si="22"/>
        <v>0.2557544757033248</v>
      </c>
      <c r="S32" s="44">
        <v>38.5</v>
      </c>
      <c r="T32" s="44">
        <v>33.3</v>
      </c>
      <c r="U32" s="11">
        <f t="shared" si="23"/>
        <v>86.49350649350649</v>
      </c>
      <c r="V32" s="44">
        <v>40.8</v>
      </c>
      <c r="W32" s="44">
        <v>46.4</v>
      </c>
      <c r="X32" s="11">
        <f t="shared" si="24"/>
        <v>113.72549019607843</v>
      </c>
      <c r="Y32" s="89">
        <f t="shared" si="25"/>
        <v>118.39999999999999</v>
      </c>
      <c r="Z32" s="89">
        <f t="shared" si="26"/>
        <v>79.8</v>
      </c>
      <c r="AA32" s="11">
        <f t="shared" si="27"/>
        <v>67.39864864864865</v>
      </c>
      <c r="AB32" s="44">
        <v>43.3</v>
      </c>
      <c r="AC32" s="44">
        <v>0</v>
      </c>
      <c r="AD32" s="11">
        <f t="shared" si="28"/>
        <v>0</v>
      </c>
      <c r="AE32" s="72">
        <f t="shared" si="14"/>
        <v>269.7</v>
      </c>
      <c r="AF32" s="72">
        <f t="shared" si="15"/>
        <v>192.7</v>
      </c>
      <c r="AG32" s="11">
        <f t="shared" si="7"/>
        <v>71.449758991472</v>
      </c>
      <c r="AH32" s="72">
        <f t="shared" si="16"/>
        <v>77</v>
      </c>
      <c r="AI32" s="18">
        <f t="shared" si="17"/>
        <v>149.09999999999997</v>
      </c>
      <c r="AJ32" s="109"/>
      <c r="AK32" s="19"/>
      <c r="AL32" s="19"/>
    </row>
    <row r="33" spans="1:38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20"/>
        <v>39</v>
      </c>
      <c r="J33" s="44">
        <v>18.1</v>
      </c>
      <c r="K33" s="44">
        <v>14.8</v>
      </c>
      <c r="L33" s="11">
        <f t="shared" si="21"/>
        <v>81.76795580110497</v>
      </c>
      <c r="M33" s="89">
        <f t="shared" si="10"/>
        <v>55.800000000000004</v>
      </c>
      <c r="N33" s="89">
        <f t="shared" si="11"/>
        <v>53.3</v>
      </c>
      <c r="O33" s="11">
        <f t="shared" si="8"/>
        <v>95.51971326164873</v>
      </c>
      <c r="P33" s="44">
        <v>20.9</v>
      </c>
      <c r="Q33" s="44">
        <v>22.7</v>
      </c>
      <c r="R33" s="11">
        <f t="shared" si="22"/>
        <v>108.61244019138756</v>
      </c>
      <c r="S33" s="44">
        <v>20.7</v>
      </c>
      <c r="T33" s="44">
        <v>0</v>
      </c>
      <c r="U33" s="11">
        <f t="shared" si="23"/>
        <v>0</v>
      </c>
      <c r="V33" s="44">
        <v>21.3</v>
      </c>
      <c r="W33" s="44">
        <v>0</v>
      </c>
      <c r="X33" s="11">
        <f t="shared" si="24"/>
        <v>0</v>
      </c>
      <c r="Y33" s="89">
        <f t="shared" si="25"/>
        <v>62.89999999999999</v>
      </c>
      <c r="Z33" s="89">
        <f t="shared" si="26"/>
        <v>22.7</v>
      </c>
      <c r="AA33" s="11">
        <f t="shared" si="27"/>
        <v>36.08903020667727</v>
      </c>
      <c r="AB33" s="44">
        <v>24.3</v>
      </c>
      <c r="AC33" s="44">
        <v>0</v>
      </c>
      <c r="AD33" s="11">
        <f t="shared" si="28"/>
        <v>0</v>
      </c>
      <c r="AE33" s="72">
        <f t="shared" si="14"/>
        <v>143</v>
      </c>
      <c r="AF33" s="72">
        <f t="shared" si="15"/>
        <v>76</v>
      </c>
      <c r="AG33" s="11">
        <f t="shared" si="7"/>
        <v>53.14685314685315</v>
      </c>
      <c r="AH33" s="72">
        <f t="shared" si="16"/>
        <v>67</v>
      </c>
      <c r="AI33" s="18">
        <f t="shared" si="17"/>
        <v>97.9</v>
      </c>
      <c r="AJ33" s="109"/>
      <c r="AK33" s="19"/>
      <c r="AL33" s="19"/>
    </row>
    <row r="34" spans="1:38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20"/>
        <v>0</v>
      </c>
      <c r="J34" s="44">
        <v>4.6</v>
      </c>
      <c r="K34" s="44">
        <v>3.7</v>
      </c>
      <c r="L34" s="75">
        <f t="shared" si="21"/>
        <v>80.43478260869567</v>
      </c>
      <c r="M34" s="89">
        <f t="shared" si="10"/>
        <v>13.499999999999998</v>
      </c>
      <c r="N34" s="89">
        <f t="shared" si="11"/>
        <v>6.1</v>
      </c>
      <c r="O34" s="11">
        <f t="shared" si="8"/>
        <v>45.18518518518519</v>
      </c>
      <c r="P34" s="44">
        <v>5.1</v>
      </c>
      <c r="Q34" s="44">
        <v>8.9</v>
      </c>
      <c r="R34" s="141">
        <f t="shared" si="22"/>
        <v>174.50980392156865</v>
      </c>
      <c r="S34" s="44">
        <v>4.9</v>
      </c>
      <c r="T34" s="44">
        <v>0.1</v>
      </c>
      <c r="U34" s="141">
        <f t="shared" si="23"/>
        <v>2.0408163265306123</v>
      </c>
      <c r="V34" s="44">
        <v>5.7</v>
      </c>
      <c r="W34" s="44">
        <v>9.8</v>
      </c>
      <c r="X34" s="141">
        <f t="shared" si="24"/>
        <v>171.9298245614035</v>
      </c>
      <c r="Y34" s="89">
        <f t="shared" si="25"/>
        <v>15.7</v>
      </c>
      <c r="Z34" s="89">
        <f t="shared" si="26"/>
        <v>18.8</v>
      </c>
      <c r="AA34" s="11">
        <f t="shared" si="27"/>
        <v>119.74522292993632</v>
      </c>
      <c r="AB34" s="44">
        <v>5.1</v>
      </c>
      <c r="AC34" s="44">
        <v>0</v>
      </c>
      <c r="AD34" s="141">
        <f t="shared" si="28"/>
        <v>0</v>
      </c>
      <c r="AE34" s="72">
        <f t="shared" si="14"/>
        <v>34.3</v>
      </c>
      <c r="AF34" s="72">
        <f t="shared" si="15"/>
        <v>24.9</v>
      </c>
      <c r="AG34" s="11">
        <f t="shared" si="7"/>
        <v>72.59475218658892</v>
      </c>
      <c r="AH34" s="72">
        <f t="shared" si="16"/>
        <v>9.399999999999999</v>
      </c>
      <c r="AI34" s="18">
        <f t="shared" si="17"/>
        <v>15.5</v>
      </c>
      <c r="AJ34" s="109"/>
      <c r="AK34" s="19"/>
      <c r="AL34" s="19"/>
    </row>
    <row r="35" spans="1:38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29" ref="I35:I43">H35/G35*100</f>
        <v>0</v>
      </c>
      <c r="J35" s="44">
        <v>39.3</v>
      </c>
      <c r="K35" s="44">
        <v>41.3</v>
      </c>
      <c r="L35" s="11">
        <f t="shared" si="21"/>
        <v>105.08905852417303</v>
      </c>
      <c r="M35" s="89">
        <f t="shared" si="10"/>
        <v>118.3</v>
      </c>
      <c r="N35" s="89">
        <f t="shared" si="11"/>
        <v>83.3</v>
      </c>
      <c r="O35" s="11">
        <f t="shared" si="8"/>
        <v>70.41420118343196</v>
      </c>
      <c r="P35" s="44">
        <v>47.5</v>
      </c>
      <c r="Q35" s="44">
        <v>37.8</v>
      </c>
      <c r="R35" s="11">
        <f t="shared" si="22"/>
        <v>79.57894736842105</v>
      </c>
      <c r="S35" s="44">
        <v>50.6</v>
      </c>
      <c r="T35" s="44">
        <v>84.1</v>
      </c>
      <c r="U35" s="11">
        <f t="shared" si="23"/>
        <v>166.2055335968379</v>
      </c>
      <c r="V35" s="44">
        <v>57.1</v>
      </c>
      <c r="W35" s="44">
        <v>53.2</v>
      </c>
      <c r="X35" s="11">
        <f t="shared" si="24"/>
        <v>93.16987740805604</v>
      </c>
      <c r="Y35" s="89">
        <f t="shared" si="25"/>
        <v>155.2</v>
      </c>
      <c r="Z35" s="89">
        <f t="shared" si="26"/>
        <v>175.1</v>
      </c>
      <c r="AA35" s="11">
        <f t="shared" si="27"/>
        <v>112.8221649484536</v>
      </c>
      <c r="AB35" s="44">
        <v>61.9</v>
      </c>
      <c r="AC35" s="44">
        <v>0</v>
      </c>
      <c r="AD35" s="11">
        <f t="shared" si="28"/>
        <v>0</v>
      </c>
      <c r="AE35" s="72">
        <f t="shared" si="14"/>
        <v>335.4</v>
      </c>
      <c r="AF35" s="72">
        <f t="shared" si="15"/>
        <v>258.4</v>
      </c>
      <c r="AG35" s="11">
        <f t="shared" si="7"/>
        <v>77.04233750745378</v>
      </c>
      <c r="AH35" s="72">
        <f t="shared" si="16"/>
        <v>77</v>
      </c>
      <c r="AI35" s="18">
        <f t="shared" si="17"/>
        <v>119</v>
      </c>
      <c r="AJ35" s="109"/>
      <c r="AK35" s="19"/>
      <c r="AL35" s="19"/>
    </row>
    <row r="36" spans="1:38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29"/>
        <v>0</v>
      </c>
      <c r="J36" s="44">
        <f>34.8+1.3</f>
        <v>36.099999999999994</v>
      </c>
      <c r="K36" s="44">
        <f>34.9+1.4</f>
        <v>36.3</v>
      </c>
      <c r="L36" s="11">
        <f t="shared" si="21"/>
        <v>100.55401662049863</v>
      </c>
      <c r="M36" s="89">
        <f t="shared" si="10"/>
        <v>108.89999999999999</v>
      </c>
      <c r="N36" s="89">
        <f t="shared" si="11"/>
        <v>73.89999999999999</v>
      </c>
      <c r="O36" s="11">
        <f t="shared" si="8"/>
        <v>67.86042240587695</v>
      </c>
      <c r="P36" s="44">
        <f>1.3+37.9</f>
        <v>39.199999999999996</v>
      </c>
      <c r="Q36" s="44">
        <f>2.4+35.4</f>
        <v>37.8</v>
      </c>
      <c r="R36" s="11">
        <f t="shared" si="22"/>
        <v>96.42857142857143</v>
      </c>
      <c r="S36" s="44">
        <f>1.4+37.1</f>
        <v>38.5</v>
      </c>
      <c r="T36" s="44">
        <f>1.3+71.7</f>
        <v>73</v>
      </c>
      <c r="U36" s="11">
        <f t="shared" si="23"/>
        <v>189.6103896103896</v>
      </c>
      <c r="V36" s="44">
        <f>39.7+1.4</f>
        <v>41.1</v>
      </c>
      <c r="W36" s="44">
        <f>36.3+1.4</f>
        <v>37.699999999999996</v>
      </c>
      <c r="X36" s="11">
        <f t="shared" si="24"/>
        <v>91.72749391727493</v>
      </c>
      <c r="Y36" s="89">
        <f t="shared" si="25"/>
        <v>118.79999999999998</v>
      </c>
      <c r="Z36" s="89">
        <f t="shared" si="26"/>
        <v>148.5</v>
      </c>
      <c r="AA36" s="11">
        <f t="shared" si="27"/>
        <v>125.00000000000003</v>
      </c>
      <c r="AB36" s="44">
        <f>1.7+41.6</f>
        <v>43.300000000000004</v>
      </c>
      <c r="AC36" s="44">
        <v>0</v>
      </c>
      <c r="AD36" s="11">
        <f t="shared" si="28"/>
        <v>0</v>
      </c>
      <c r="AE36" s="72">
        <f t="shared" si="14"/>
        <v>271</v>
      </c>
      <c r="AF36" s="72">
        <f t="shared" si="15"/>
        <v>222.39999999999998</v>
      </c>
      <c r="AG36" s="11">
        <f t="shared" si="7"/>
        <v>82.06642066420663</v>
      </c>
      <c r="AH36" s="72">
        <f t="shared" si="16"/>
        <v>48.60000000000002</v>
      </c>
      <c r="AI36" s="18">
        <f t="shared" si="17"/>
        <v>64</v>
      </c>
      <c r="AJ36" s="109"/>
      <c r="AK36" s="19"/>
      <c r="AL36" s="19"/>
    </row>
    <row r="37" spans="1:38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29"/>
        <v>0</v>
      </c>
      <c r="J37" s="44">
        <v>40.1</v>
      </c>
      <c r="K37" s="44">
        <v>88.4</v>
      </c>
      <c r="L37" s="11">
        <f t="shared" si="21"/>
        <v>220.4488778054863</v>
      </c>
      <c r="M37" s="89">
        <f t="shared" si="10"/>
        <v>128.5</v>
      </c>
      <c r="N37" s="89">
        <f t="shared" si="11"/>
        <v>132</v>
      </c>
      <c r="O37" s="11">
        <f t="shared" si="8"/>
        <v>102.7237354085603</v>
      </c>
      <c r="P37" s="44">
        <v>49.2</v>
      </c>
      <c r="Q37" s="44">
        <v>0</v>
      </c>
      <c r="R37" s="11">
        <f t="shared" si="22"/>
        <v>0</v>
      </c>
      <c r="S37" s="44">
        <v>51</v>
      </c>
      <c r="T37" s="44">
        <v>0</v>
      </c>
      <c r="U37" s="11">
        <f t="shared" si="23"/>
        <v>0</v>
      </c>
      <c r="V37" s="44">
        <v>48.8</v>
      </c>
      <c r="W37" s="44">
        <v>0</v>
      </c>
      <c r="X37" s="11">
        <f t="shared" si="24"/>
        <v>0</v>
      </c>
      <c r="Y37" s="89">
        <f t="shared" si="25"/>
        <v>149</v>
      </c>
      <c r="Z37" s="89">
        <f t="shared" si="26"/>
        <v>0</v>
      </c>
      <c r="AA37" s="11">
        <f t="shared" si="27"/>
        <v>0</v>
      </c>
      <c r="AB37" s="44">
        <v>71.1</v>
      </c>
      <c r="AC37" s="44">
        <v>0</v>
      </c>
      <c r="AD37" s="11">
        <f t="shared" si="28"/>
        <v>0</v>
      </c>
      <c r="AE37" s="72">
        <f t="shared" si="14"/>
        <v>348.6</v>
      </c>
      <c r="AF37" s="72">
        <f t="shared" si="15"/>
        <v>132</v>
      </c>
      <c r="AG37" s="11">
        <f t="shared" si="7"/>
        <v>37.8657487091222</v>
      </c>
      <c r="AH37" s="72">
        <f t="shared" si="16"/>
        <v>216.60000000000002</v>
      </c>
      <c r="AI37" s="18">
        <f t="shared" si="17"/>
        <v>260.20000000000005</v>
      </c>
      <c r="AJ37" s="109"/>
      <c r="AK37" s="19"/>
      <c r="AL37" s="19"/>
    </row>
    <row r="38" spans="1:38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29"/>
        <v>0</v>
      </c>
      <c r="J38" s="44">
        <v>13.1</v>
      </c>
      <c r="K38" s="44">
        <v>10.9</v>
      </c>
      <c r="L38" s="11">
        <f t="shared" si="21"/>
        <v>83.20610687022901</v>
      </c>
      <c r="M38" s="89">
        <f t="shared" si="10"/>
        <v>34.8</v>
      </c>
      <c r="N38" s="89">
        <f t="shared" si="11"/>
        <v>21.200000000000003</v>
      </c>
      <c r="O38" s="11">
        <f t="shared" si="8"/>
        <v>60.91954022988507</v>
      </c>
      <c r="P38" s="44">
        <v>13.6</v>
      </c>
      <c r="Q38" s="44">
        <v>21.7</v>
      </c>
      <c r="R38" s="11">
        <f t="shared" si="22"/>
        <v>159.55882352941174</v>
      </c>
      <c r="S38" s="44">
        <v>16.7</v>
      </c>
      <c r="T38" s="44">
        <v>26.8</v>
      </c>
      <c r="U38" s="11">
        <f t="shared" si="23"/>
        <v>160.4790419161677</v>
      </c>
      <c r="V38" s="44">
        <v>15.3</v>
      </c>
      <c r="W38" s="44">
        <v>16.7</v>
      </c>
      <c r="X38" s="11">
        <f t="shared" si="24"/>
        <v>109.15032679738562</v>
      </c>
      <c r="Y38" s="89">
        <f t="shared" si="25"/>
        <v>45.599999999999994</v>
      </c>
      <c r="Z38" s="89">
        <f t="shared" si="26"/>
        <v>65.2</v>
      </c>
      <c r="AA38" s="11">
        <f t="shared" si="27"/>
        <v>142.9824561403509</v>
      </c>
      <c r="AB38" s="44">
        <v>16.1</v>
      </c>
      <c r="AC38" s="44">
        <v>15.2</v>
      </c>
      <c r="AD38" s="11">
        <f t="shared" si="28"/>
        <v>94.40993788819874</v>
      </c>
      <c r="AE38" s="72">
        <f t="shared" si="14"/>
        <v>96.5</v>
      </c>
      <c r="AF38" s="72">
        <f t="shared" si="15"/>
        <v>101.60000000000001</v>
      </c>
      <c r="AG38" s="11">
        <f t="shared" si="7"/>
        <v>105.28497409326425</v>
      </c>
      <c r="AH38" s="72">
        <f t="shared" si="16"/>
        <v>-5.1000000000000085</v>
      </c>
      <c r="AI38" s="18">
        <f t="shared" si="17"/>
        <v>35.7</v>
      </c>
      <c r="AJ38" s="109"/>
      <c r="AK38" s="19"/>
      <c r="AL38" s="19"/>
    </row>
    <row r="39" spans="1:38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29"/>
        <v>94.34628975265016</v>
      </c>
      <c r="J39" s="44">
        <v>27.2</v>
      </c>
      <c r="K39" s="44">
        <v>28.3</v>
      </c>
      <c r="L39" s="139">
        <f t="shared" si="21"/>
        <v>104.04411764705883</v>
      </c>
      <c r="M39" s="89">
        <f t="shared" si="10"/>
        <v>82.2</v>
      </c>
      <c r="N39" s="89">
        <f t="shared" si="11"/>
        <v>83.5</v>
      </c>
      <c r="O39" s="11">
        <f t="shared" si="8"/>
        <v>101.58150851581509</v>
      </c>
      <c r="P39" s="44">
        <v>27.7</v>
      </c>
      <c r="Q39" s="44">
        <v>0</v>
      </c>
      <c r="R39" s="141">
        <f t="shared" si="22"/>
        <v>0</v>
      </c>
      <c r="S39" s="44">
        <v>32</v>
      </c>
      <c r="T39" s="44">
        <v>54.9</v>
      </c>
      <c r="U39" s="141">
        <f t="shared" si="23"/>
        <v>171.5625</v>
      </c>
      <c r="V39" s="44">
        <v>29.7</v>
      </c>
      <c r="W39" s="44">
        <v>0</v>
      </c>
      <c r="X39" s="141">
        <f t="shared" si="24"/>
        <v>0</v>
      </c>
      <c r="Y39" s="89">
        <f t="shared" si="25"/>
        <v>89.4</v>
      </c>
      <c r="Z39" s="89">
        <f t="shared" si="26"/>
        <v>54.9</v>
      </c>
      <c r="AA39" s="11">
        <f t="shared" si="27"/>
        <v>61.40939597315436</v>
      </c>
      <c r="AB39" s="44">
        <v>31.9</v>
      </c>
      <c r="AC39" s="44">
        <v>0</v>
      </c>
      <c r="AD39" s="141">
        <f t="shared" si="28"/>
        <v>0</v>
      </c>
      <c r="AE39" s="72">
        <f t="shared" si="14"/>
        <v>203.50000000000003</v>
      </c>
      <c r="AF39" s="72">
        <f t="shared" si="15"/>
        <v>138.4</v>
      </c>
      <c r="AG39" s="11">
        <f t="shared" si="7"/>
        <v>68.009828009828</v>
      </c>
      <c r="AH39" s="72">
        <f t="shared" si="16"/>
        <v>65.10000000000002</v>
      </c>
      <c r="AI39" s="18">
        <f t="shared" si="17"/>
        <v>93.60000000000002</v>
      </c>
      <c r="AJ39" s="109"/>
      <c r="AK39" s="19"/>
      <c r="AL39" s="19"/>
    </row>
    <row r="40" spans="1:38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29"/>
        <v>0</v>
      </c>
      <c r="J40" s="44">
        <v>67.3</v>
      </c>
      <c r="K40" s="44">
        <v>0</v>
      </c>
      <c r="L40" s="139">
        <f t="shared" si="21"/>
        <v>0</v>
      </c>
      <c r="M40" s="89">
        <f t="shared" si="10"/>
        <v>202.89999999999998</v>
      </c>
      <c r="N40" s="89">
        <f t="shared" si="11"/>
        <v>119</v>
      </c>
      <c r="O40" s="11">
        <f t="shared" si="8"/>
        <v>58.64958107442091</v>
      </c>
      <c r="P40" s="44">
        <v>72</v>
      </c>
      <c r="Q40" s="44">
        <v>137.9</v>
      </c>
      <c r="R40" s="141">
        <f t="shared" si="22"/>
        <v>191.52777777777777</v>
      </c>
      <c r="S40" s="44">
        <v>72.4</v>
      </c>
      <c r="T40" s="44">
        <v>0</v>
      </c>
      <c r="U40" s="141">
        <f t="shared" si="23"/>
        <v>0</v>
      </c>
      <c r="V40" s="44">
        <v>81.1</v>
      </c>
      <c r="W40" s="44">
        <v>0</v>
      </c>
      <c r="X40" s="141">
        <f t="shared" si="24"/>
        <v>0</v>
      </c>
      <c r="Y40" s="89">
        <f t="shared" si="25"/>
        <v>225.5</v>
      </c>
      <c r="Z40" s="89">
        <f t="shared" si="26"/>
        <v>137.9</v>
      </c>
      <c r="AA40" s="11">
        <f t="shared" si="27"/>
        <v>61.1529933481153</v>
      </c>
      <c r="AB40" s="44">
        <v>78.2</v>
      </c>
      <c r="AC40" s="44">
        <v>0</v>
      </c>
      <c r="AD40" s="141">
        <f t="shared" si="28"/>
        <v>0</v>
      </c>
      <c r="AE40" s="72">
        <f t="shared" si="14"/>
        <v>506.59999999999997</v>
      </c>
      <c r="AF40" s="72">
        <f t="shared" si="15"/>
        <v>256.9</v>
      </c>
      <c r="AG40" s="11">
        <f t="shared" si="7"/>
        <v>50.71061981839715</v>
      </c>
      <c r="AH40" s="72">
        <f t="shared" si="16"/>
        <v>249.7</v>
      </c>
      <c r="AI40" s="18">
        <f t="shared" si="17"/>
        <v>436.5</v>
      </c>
      <c r="AJ40" s="109"/>
      <c r="AK40" s="19"/>
      <c r="AL40" s="19"/>
    </row>
    <row r="41" spans="1:38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29"/>
        <v>0</v>
      </c>
      <c r="J41" s="18">
        <f>SUM(J42:J42)</f>
        <v>1138.7</v>
      </c>
      <c r="K41" s="18">
        <f>SUM(K42:K42)</f>
        <v>77.3</v>
      </c>
      <c r="L41" s="139">
        <f t="shared" si="21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8"/>
        <v>72.42236726851459</v>
      </c>
      <c r="P41" s="18">
        <f>SUM(P42:P42)</f>
        <v>1230.5</v>
      </c>
      <c r="Q41" s="18">
        <f>SUM(Q42:Q42)</f>
        <v>1162.8</v>
      </c>
      <c r="R41" s="11">
        <f t="shared" si="22"/>
        <v>94.49817147501015</v>
      </c>
      <c r="S41" s="18">
        <f>SUM(S42:S42)</f>
        <v>1285.1</v>
      </c>
      <c r="T41" s="18">
        <f>SUM(T42:T42)</f>
        <v>0</v>
      </c>
      <c r="U41" s="11">
        <f t="shared" si="23"/>
        <v>0</v>
      </c>
      <c r="V41" s="18">
        <f>SUM(V42:V42)</f>
        <v>1308.6</v>
      </c>
      <c r="W41" s="18">
        <f>SUM(W42:W42)</f>
        <v>20.1</v>
      </c>
      <c r="X41" s="11">
        <f t="shared" si="24"/>
        <v>1.5359926639156352</v>
      </c>
      <c r="Y41" s="18">
        <f>SUM(Y42:Y42)</f>
        <v>3824.2</v>
      </c>
      <c r="Z41" s="18">
        <f>SUM(Z42:Z42)</f>
        <v>1182.8999999999999</v>
      </c>
      <c r="AA41" s="11">
        <f t="shared" si="27"/>
        <v>30.931959625542593</v>
      </c>
      <c r="AB41" s="18">
        <f>SUM(AB42:AB42)</f>
        <v>1447.3</v>
      </c>
      <c r="AC41" s="18">
        <f>SUM(AC42:AC42)</f>
        <v>0</v>
      </c>
      <c r="AD41" s="11">
        <f t="shared" si="28"/>
        <v>0</v>
      </c>
      <c r="AE41" s="18">
        <f>SUM(AE42:AE42)</f>
        <v>8810.6</v>
      </c>
      <c r="AF41" s="18">
        <f>SUM(AF42:AF42)</f>
        <v>3746</v>
      </c>
      <c r="AG41" s="11">
        <f t="shared" si="7"/>
        <v>42.51696819739858</v>
      </c>
      <c r="AH41" s="18">
        <f>SUM(AH42:AH42)</f>
        <v>5064.6</v>
      </c>
      <c r="AI41" s="18">
        <f>SUM(AI42:AI42)</f>
        <v>8085.299999999999</v>
      </c>
      <c r="AJ41" s="109"/>
      <c r="AK41" s="48"/>
      <c r="AL41" s="48"/>
    </row>
    <row r="42" spans="1:38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29"/>
        <v>0</v>
      </c>
      <c r="J42" s="44">
        <v>1138.7</v>
      </c>
      <c r="K42" s="44">
        <v>77.3</v>
      </c>
      <c r="L42" s="139">
        <f t="shared" si="21"/>
        <v>6.788442961271625</v>
      </c>
      <c r="M42" s="89">
        <f t="shared" si="10"/>
        <v>3539.1000000000004</v>
      </c>
      <c r="N42" s="89">
        <f t="shared" si="11"/>
        <v>2563.1000000000004</v>
      </c>
      <c r="O42" s="11">
        <f t="shared" si="8"/>
        <v>72.42236726851459</v>
      </c>
      <c r="P42" s="44">
        <v>1230.5</v>
      </c>
      <c r="Q42" s="44">
        <v>1162.8</v>
      </c>
      <c r="R42" s="11">
        <f t="shared" si="22"/>
        <v>94.49817147501015</v>
      </c>
      <c r="S42" s="44">
        <v>1285.1</v>
      </c>
      <c r="T42" s="44">
        <v>0</v>
      </c>
      <c r="U42" s="11">
        <f t="shared" si="23"/>
        <v>0</v>
      </c>
      <c r="V42" s="44">
        <v>1308.6</v>
      </c>
      <c r="W42" s="44">
        <v>20.1</v>
      </c>
      <c r="X42" s="11">
        <f t="shared" si="24"/>
        <v>1.5359926639156352</v>
      </c>
      <c r="Y42" s="89">
        <f>P42+S42+V42</f>
        <v>3824.2</v>
      </c>
      <c r="Z42" s="89">
        <f>Q42+T42+W42</f>
        <v>1182.8999999999999</v>
      </c>
      <c r="AA42" s="11">
        <f t="shared" si="27"/>
        <v>30.931959625542593</v>
      </c>
      <c r="AB42" s="44">
        <v>1447.3</v>
      </c>
      <c r="AC42" s="44">
        <v>0</v>
      </c>
      <c r="AD42" s="11">
        <f t="shared" si="28"/>
        <v>0</v>
      </c>
      <c r="AE42" s="72">
        <f>M42+Y42+AB42</f>
        <v>8810.6</v>
      </c>
      <c r="AF42" s="72">
        <f>N42+Z42+AC42</f>
        <v>3746</v>
      </c>
      <c r="AG42" s="11">
        <f t="shared" si="7"/>
        <v>42.51696819739858</v>
      </c>
      <c r="AH42" s="72">
        <f t="shared" si="16"/>
        <v>5064.6</v>
      </c>
      <c r="AI42" s="18">
        <f t="shared" si="17"/>
        <v>8085.299999999999</v>
      </c>
      <c r="AJ42" s="109"/>
      <c r="AK42" s="48"/>
      <c r="AL42" s="48"/>
    </row>
    <row r="43" spans="1:38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29"/>
        <v>10.562170826654453</v>
      </c>
      <c r="J43" s="18">
        <f>J7+J41</f>
        <v>1713.9</v>
      </c>
      <c r="K43" s="18">
        <f>K7+K41</f>
        <v>601.4999999999999</v>
      </c>
      <c r="L43" s="139">
        <f t="shared" si="21"/>
        <v>35.095396464204434</v>
      </c>
      <c r="M43" s="18">
        <f>M7+M41</f>
        <v>5160.9</v>
      </c>
      <c r="N43" s="18">
        <f>N7+N41</f>
        <v>3943.6000000000004</v>
      </c>
      <c r="O43" s="11">
        <f t="shared" si="8"/>
        <v>76.41302873529811</v>
      </c>
      <c r="P43" s="18">
        <f>P7+P41</f>
        <v>1886.9</v>
      </c>
      <c r="Q43" s="18">
        <f>Q7+Q41</f>
        <v>1870</v>
      </c>
      <c r="R43" s="11">
        <f t="shared" si="22"/>
        <v>99.10435105199004</v>
      </c>
      <c r="S43" s="18">
        <f>S7+S41</f>
        <v>1956.6</v>
      </c>
      <c r="T43" s="18">
        <f>T7+T41</f>
        <v>339.8</v>
      </c>
      <c r="U43" s="11">
        <f t="shared" si="23"/>
        <v>17.366860881120314</v>
      </c>
      <c r="V43" s="18">
        <f>V7+V41</f>
        <v>2010.6</v>
      </c>
      <c r="W43" s="18">
        <f>W7+W41</f>
        <v>553.3000000000001</v>
      </c>
      <c r="X43" s="11">
        <f t="shared" si="24"/>
        <v>27.51914851288173</v>
      </c>
      <c r="Y43" s="18">
        <f>Y7+Y41</f>
        <v>5854.1</v>
      </c>
      <c r="Z43" s="18">
        <f>Z7+Z41</f>
        <v>2763.1</v>
      </c>
      <c r="AA43" s="11">
        <f t="shared" si="27"/>
        <v>47.199398712013796</v>
      </c>
      <c r="AB43" s="18">
        <f>AB7+AB41</f>
        <v>2167.9</v>
      </c>
      <c r="AC43" s="18">
        <f>AC7+AC41</f>
        <v>13.5</v>
      </c>
      <c r="AD43" s="11">
        <f t="shared" si="28"/>
        <v>0.6227224502975229</v>
      </c>
      <c r="AE43" s="83">
        <f>AE7+AE41</f>
        <v>13182.900000000001</v>
      </c>
      <c r="AF43" s="83">
        <f>AF7+AF41</f>
        <v>6720.200000000001</v>
      </c>
      <c r="AG43" s="11">
        <f>AF43/AE43*100</f>
        <v>50.97664398576944</v>
      </c>
      <c r="AH43" s="18">
        <f>AH7+AH41</f>
        <v>6462.700000000001</v>
      </c>
      <c r="AI43" s="18">
        <f>AI7+AI41</f>
        <v>10526.099999999999</v>
      </c>
      <c r="AJ43" s="109"/>
      <c r="AK43" s="48"/>
      <c r="AL43" s="48"/>
    </row>
    <row r="44" spans="1:38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25"/>
      <c r="AF44" s="25"/>
      <c r="AG44" s="86"/>
      <c r="AH44" s="86"/>
      <c r="AI44" s="85"/>
      <c r="AJ44" s="109"/>
      <c r="AK44" s="48"/>
      <c r="AL44" s="48"/>
    </row>
    <row r="45" spans="1:36" s="38" customFormat="1" ht="96.75" customHeight="1">
      <c r="A45" s="33"/>
      <c r="B45" s="157" t="s">
        <v>136</v>
      </c>
      <c r="C45" s="157"/>
      <c r="D45" s="157"/>
      <c r="E45" s="157"/>
      <c r="F45" s="157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34"/>
      <c r="AF45" s="34"/>
      <c r="AG45" s="61"/>
      <c r="AH45" s="166" t="s">
        <v>137</v>
      </c>
      <c r="AI45" s="167"/>
      <c r="AJ45" s="116"/>
    </row>
    <row r="46" spans="1:35" ht="73.5" customHeight="1" hidden="1">
      <c r="A46" s="153" t="s">
        <v>134</v>
      </c>
      <c r="B46" s="153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0"/>
      <c r="AF46" s="40"/>
      <c r="AG46" s="41"/>
      <c r="AI46" s="4" t="s">
        <v>135</v>
      </c>
    </row>
    <row r="47" spans="2:34" ht="32.25" customHeight="1" hidden="1">
      <c r="B47" s="164" t="s">
        <v>52</v>
      </c>
      <c r="C47" s="164"/>
      <c r="D47" s="164"/>
      <c r="E47" s="164"/>
      <c r="F47" s="164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12"/>
      <c r="AF47" s="12"/>
      <c r="AH47" s="12"/>
    </row>
    <row r="50" spans="3:35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21"/>
      <c r="AF50" s="21"/>
      <c r="AG50" s="60"/>
      <c r="AH50" s="21"/>
      <c r="AI50" s="21"/>
    </row>
    <row r="51" spans="3:35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21"/>
      <c r="AF51" s="21"/>
      <c r="AG51" s="60"/>
      <c r="AH51" s="21"/>
      <c r="AI51" s="21"/>
    </row>
    <row r="52" spans="3:35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21"/>
      <c r="AF52" s="21"/>
      <c r="AG52" s="60"/>
      <c r="AH52" s="21"/>
      <c r="AI52" s="21"/>
    </row>
    <row r="53" spans="3:35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21"/>
      <c r="AF53" s="21"/>
      <c r="AG53" s="60"/>
      <c r="AH53" s="21"/>
      <c r="AI53" s="21"/>
    </row>
    <row r="54" spans="3:35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21"/>
      <c r="AF54" s="21"/>
      <c r="AG54" s="60"/>
      <c r="AH54" s="21"/>
      <c r="AI54" s="21"/>
    </row>
    <row r="55" spans="3:35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21"/>
      <c r="AF55" s="21"/>
      <c r="AG55" s="60"/>
      <c r="AH55" s="21"/>
      <c r="AI55" s="21"/>
    </row>
    <row r="56" spans="3:35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21"/>
      <c r="AF56" s="21"/>
      <c r="AG56" s="60"/>
      <c r="AH56" s="21"/>
      <c r="AI56" s="21"/>
    </row>
    <row r="57" spans="3:35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21"/>
      <c r="AF57" s="21"/>
      <c r="AG57" s="60"/>
      <c r="AH57" s="21"/>
      <c r="AI57" s="21"/>
    </row>
    <row r="58" spans="3:35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21"/>
      <c r="AF58" s="21"/>
      <c r="AG58" s="60"/>
      <c r="AH58" s="21"/>
      <c r="AI58" s="21"/>
    </row>
    <row r="59" spans="3:35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21"/>
      <c r="AF59" s="21"/>
      <c r="AG59" s="60"/>
      <c r="AH59" s="21"/>
      <c r="AI59" s="21"/>
    </row>
    <row r="60" spans="3:35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21"/>
      <c r="AF60" s="21"/>
      <c r="AG60" s="60"/>
      <c r="AH60" s="21"/>
      <c r="AI60" s="21"/>
    </row>
    <row r="61" spans="3:35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21"/>
      <c r="AF61" s="21"/>
      <c r="AG61" s="60"/>
      <c r="AH61" s="21"/>
      <c r="AI61" s="21"/>
    </row>
    <row r="62" spans="3:35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1"/>
      <c r="AF62" s="21"/>
      <c r="AG62" s="60"/>
      <c r="AH62" s="21"/>
      <c r="AI62" s="21"/>
    </row>
    <row r="63" spans="3:35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21"/>
      <c r="AF63" s="21"/>
      <c r="AG63" s="60"/>
      <c r="AH63" s="21"/>
      <c r="AI63" s="21"/>
    </row>
    <row r="64" spans="3:35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1"/>
      <c r="AF64" s="21"/>
      <c r="AG64" s="60"/>
      <c r="AH64" s="21"/>
      <c r="AI64" s="21"/>
    </row>
    <row r="65" spans="3:35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1"/>
      <c r="AF65" s="21"/>
      <c r="AG65" s="60"/>
      <c r="AH65" s="21"/>
      <c r="AI65" s="21"/>
    </row>
    <row r="66" spans="3:35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21"/>
      <c r="AF66" s="21"/>
      <c r="AG66" s="60"/>
      <c r="AH66" s="21"/>
      <c r="AI66" s="21"/>
    </row>
    <row r="67" spans="3:35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21"/>
      <c r="AF67" s="21"/>
      <c r="AG67" s="60"/>
      <c r="AH67" s="21"/>
      <c r="AI67" s="21"/>
    </row>
    <row r="68" spans="3:35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21"/>
      <c r="AF68" s="21"/>
      <c r="AG68" s="60"/>
      <c r="AH68" s="21"/>
      <c r="AI68" s="21"/>
    </row>
    <row r="69" spans="3:35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21"/>
      <c r="AF69" s="21"/>
      <c r="AG69" s="60"/>
      <c r="AH69" s="21"/>
      <c r="AI69" s="21"/>
    </row>
    <row r="70" spans="3:35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21"/>
      <c r="AF70" s="21"/>
      <c r="AG70" s="60"/>
      <c r="AH70" s="21"/>
      <c r="AI70" s="21"/>
    </row>
    <row r="71" spans="3:35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21"/>
      <c r="AF71" s="21"/>
      <c r="AG71" s="60"/>
      <c r="AH71" s="21"/>
      <c r="AI71" s="21"/>
    </row>
    <row r="72" spans="3:35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21"/>
      <c r="AF72" s="21"/>
      <c r="AG72" s="60"/>
      <c r="AH72" s="21"/>
      <c r="AI72" s="21"/>
    </row>
    <row r="73" spans="3:35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21"/>
      <c r="AF73" s="21"/>
      <c r="AG73" s="60"/>
      <c r="AH73" s="21"/>
      <c r="AI73" s="21"/>
    </row>
    <row r="74" spans="3:35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21"/>
      <c r="AF74" s="21"/>
      <c r="AG74" s="60"/>
      <c r="AH74" s="21"/>
      <c r="AI74" s="21"/>
    </row>
    <row r="75" spans="3:35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21"/>
      <c r="AF75" s="21"/>
      <c r="AG75" s="60"/>
      <c r="AH75" s="21"/>
      <c r="AI75" s="21"/>
    </row>
    <row r="76" spans="3:35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21"/>
      <c r="AF76" s="21"/>
      <c r="AG76" s="60"/>
      <c r="AH76" s="21"/>
      <c r="AI76" s="21"/>
    </row>
    <row r="77" spans="3:35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21"/>
      <c r="AF77" s="21"/>
      <c r="AG77" s="60"/>
      <c r="AH77" s="21"/>
      <c r="AI77" s="21"/>
    </row>
    <row r="78" spans="3:35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21"/>
      <c r="AF78" s="21"/>
      <c r="AG78" s="60"/>
      <c r="AH78" s="21"/>
      <c r="AI78" s="21"/>
    </row>
    <row r="79" spans="3:35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21"/>
      <c r="AF79" s="21"/>
      <c r="AG79" s="60"/>
      <c r="AH79" s="21"/>
      <c r="AI79" s="21"/>
    </row>
    <row r="80" spans="3:35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21"/>
      <c r="AF80" s="21"/>
      <c r="AG80" s="60"/>
      <c r="AH80" s="21"/>
      <c r="AI80" s="21"/>
    </row>
    <row r="81" spans="3:35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21"/>
      <c r="AF81" s="21"/>
      <c r="AG81" s="60"/>
      <c r="AH81" s="21"/>
      <c r="AI81" s="21"/>
    </row>
    <row r="82" spans="3:35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21"/>
      <c r="AF82" s="21"/>
      <c r="AG82" s="60"/>
      <c r="AH82" s="21"/>
      <c r="AI82" s="21"/>
    </row>
    <row r="83" spans="3:35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21"/>
      <c r="AF83" s="21"/>
      <c r="AG83" s="60"/>
      <c r="AH83" s="21"/>
      <c r="AI83" s="21"/>
    </row>
    <row r="84" spans="3:35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21"/>
      <c r="AF84" s="21"/>
      <c r="AG84" s="60"/>
      <c r="AH84" s="21"/>
      <c r="AI84" s="21"/>
    </row>
    <row r="85" spans="3:35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21"/>
      <c r="AF85" s="21"/>
      <c r="AG85" s="60"/>
      <c r="AH85" s="21"/>
      <c r="AI85" s="21"/>
    </row>
    <row r="86" spans="3:35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21"/>
      <c r="AF86" s="21"/>
      <c r="AG86" s="60"/>
      <c r="AH86" s="21"/>
      <c r="AI86" s="21"/>
    </row>
    <row r="87" spans="3:35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21"/>
      <c r="AF87" s="21"/>
      <c r="AG87" s="60"/>
      <c r="AH87" s="21"/>
      <c r="AI87" s="21"/>
    </row>
    <row r="88" spans="3:35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21"/>
      <c r="AF88" s="21"/>
      <c r="AG88" s="60"/>
      <c r="AH88" s="21"/>
      <c r="AI88" s="21"/>
    </row>
    <row r="89" spans="3:35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21"/>
      <c r="AF89" s="21"/>
      <c r="AG89" s="60"/>
      <c r="AH89" s="21"/>
      <c r="AI89" s="21"/>
    </row>
    <row r="90" spans="3:35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21"/>
      <c r="AF90" s="21"/>
      <c r="AG90" s="60"/>
      <c r="AH90" s="21"/>
      <c r="AI90" s="21"/>
    </row>
    <row r="91" spans="3:35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21"/>
      <c r="AF91" s="21"/>
      <c r="AG91" s="60"/>
      <c r="AH91" s="21"/>
      <c r="AI91" s="21"/>
    </row>
    <row r="92" spans="3:35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21"/>
      <c r="AF92" s="21"/>
      <c r="AG92" s="60"/>
      <c r="AH92" s="21"/>
      <c r="AI92" s="21"/>
    </row>
    <row r="93" spans="3:35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21"/>
      <c r="AF93" s="21"/>
      <c r="AG93" s="60"/>
      <c r="AH93" s="21"/>
      <c r="AI93" s="21"/>
    </row>
    <row r="94" spans="3:35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21"/>
      <c r="AF94" s="21"/>
      <c r="AG94" s="60"/>
      <c r="AH94" s="21"/>
      <c r="AI94" s="21"/>
    </row>
    <row r="95" spans="3:35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21"/>
      <c r="AF95" s="21"/>
      <c r="AG95" s="60"/>
      <c r="AH95" s="21"/>
      <c r="AI95" s="21"/>
    </row>
  </sheetData>
  <sheetProtection/>
  <mergeCells count="20">
    <mergeCell ref="I1:AI1"/>
    <mergeCell ref="B2:AI2"/>
    <mergeCell ref="B3:AI3"/>
    <mergeCell ref="B4:F4"/>
    <mergeCell ref="AH45:AI45"/>
    <mergeCell ref="B45:F45"/>
    <mergeCell ref="D5:F5"/>
    <mergeCell ref="G5:I5"/>
    <mergeCell ref="AE5:AG5"/>
    <mergeCell ref="M5:O5"/>
    <mergeCell ref="B47:F47"/>
    <mergeCell ref="AH5:AH6"/>
    <mergeCell ref="P5:R5"/>
    <mergeCell ref="AI5:AI6"/>
    <mergeCell ref="A46:B46"/>
    <mergeCell ref="J5:L5"/>
    <mergeCell ref="S5:U5"/>
    <mergeCell ref="V5:X5"/>
    <mergeCell ref="Y5:AA5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6"/>
  <sheetViews>
    <sheetView view="pageBreakPreview" zoomScale="80" zoomScaleNormal="50" zoomScaleSheetLayoutView="80" zoomScalePageLayoutView="0" workbookViewId="0" topLeftCell="A1">
      <pane xSplit="6" ySplit="8" topLeftCell="N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H29" sqref="AH29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customWidth="1"/>
    <col min="29" max="29" width="13.25390625" style="12" customWidth="1"/>
    <col min="30" max="30" width="11.125" style="12" customWidth="1"/>
    <col min="31" max="32" width="14.75390625" style="2" customWidth="1"/>
    <col min="33" max="33" width="11.125" style="12" customWidth="1"/>
    <col min="34" max="34" width="16.75390625" style="2" customWidth="1"/>
    <col min="35" max="35" width="18.25390625" style="2" customWidth="1"/>
    <col min="36" max="36" width="15.375" style="2" customWidth="1"/>
    <col min="37" max="37" width="13.625" style="2" customWidth="1"/>
    <col min="38" max="16384" width="7.875" style="2" customWidth="1"/>
  </cols>
  <sheetData>
    <row r="1" spans="9:35" ht="22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s="63" customFormat="1" ht="42" customHeight="1">
      <c r="A2" s="68"/>
      <c r="B2" s="151" t="s">
        <v>57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63" customFormat="1" ht="42" customHeight="1">
      <c r="A3" s="62"/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9.5" customHeight="1">
      <c r="B4" s="165"/>
      <c r="C4" s="165"/>
      <c r="D4" s="165"/>
      <c r="E4" s="165"/>
      <c r="F4" s="165"/>
      <c r="AI4" s="5" t="s">
        <v>7</v>
      </c>
    </row>
    <row r="5" spans="1:35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154</v>
      </c>
      <c r="Z5" s="147"/>
      <c r="AA5" s="148"/>
      <c r="AB5" s="146" t="s">
        <v>155</v>
      </c>
      <c r="AC5" s="147"/>
      <c r="AD5" s="148"/>
      <c r="AE5" s="158" t="s">
        <v>144</v>
      </c>
      <c r="AF5" s="159"/>
      <c r="AG5" s="160"/>
      <c r="AH5" s="161" t="s">
        <v>156</v>
      </c>
      <c r="AI5" s="161" t="s">
        <v>157</v>
      </c>
    </row>
    <row r="6" spans="1:3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162"/>
      <c r="AI6" s="162"/>
    </row>
    <row r="7" spans="1:37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17784.8</v>
      </c>
      <c r="L7" s="11">
        <f aca="true" t="shared" si="2" ref="L7:L28">K7/J7*100</f>
        <v>105.7548908842243</v>
      </c>
      <c r="M7" s="11">
        <f>SUM(M8:M40)</f>
        <v>48297.499999999985</v>
      </c>
      <c r="N7" s="11">
        <f>SUM(N8:N40)</f>
        <v>38919.3</v>
      </c>
      <c r="O7" s="11">
        <f>N7/M7*100</f>
        <v>80.58243180288838</v>
      </c>
      <c r="P7" s="11">
        <f>SUM(P8:P40)</f>
        <v>9508.5</v>
      </c>
      <c r="Q7" s="11">
        <f>SUM(Q8:Q40)</f>
        <v>17455.2</v>
      </c>
      <c r="R7" s="11">
        <f aca="true" t="shared" si="3" ref="R7:R28">Q7/P7*100</f>
        <v>183.57469632434137</v>
      </c>
      <c r="S7" s="11">
        <f>SUM(S8:S40)</f>
        <v>-27127.000000000004</v>
      </c>
      <c r="T7" s="11">
        <f>SUM(T8:T40)</f>
        <v>5275.7</v>
      </c>
      <c r="U7" s="11">
        <f aca="true" t="shared" si="4" ref="U7:U28">T7/S7*100</f>
        <v>-19.448151288384263</v>
      </c>
      <c r="V7" s="11">
        <f>SUM(V8:V40)</f>
        <v>2296.3</v>
      </c>
      <c r="W7" s="11">
        <f>SUM(W8:W40)</f>
        <v>4795.900000000001</v>
      </c>
      <c r="X7" s="11">
        <f aca="true" t="shared" si="5" ref="X7:X28">W7/V7*100</f>
        <v>208.85337281714064</v>
      </c>
      <c r="Y7" s="11">
        <f>SUM(Y8:Y40)</f>
        <v>-15322.2</v>
      </c>
      <c r="Z7" s="11">
        <f>SUM(Z8:Z40)</f>
        <v>27526.8</v>
      </c>
      <c r="AA7" s="11">
        <f>Z7/Y7*100</f>
        <v>-179.65305243372362</v>
      </c>
      <c r="AB7" s="11">
        <f>SUM(AB8:AB40)</f>
        <v>6712.6</v>
      </c>
      <c r="AC7" s="11">
        <f>SUM(AC8:AC40)</f>
        <v>-616.1</v>
      </c>
      <c r="AD7" s="11">
        <f aca="true" t="shared" si="6" ref="AD7:AD28">AC7/AB7*100</f>
        <v>-9.178261776360873</v>
      </c>
      <c r="AE7" s="67">
        <f>SUM(AE8:AE40)</f>
        <v>39687.9</v>
      </c>
      <c r="AF7" s="67">
        <f>SUM(AF8:AF40)</f>
        <v>65830</v>
      </c>
      <c r="AG7" s="11">
        <f aca="true" t="shared" si="7" ref="AG7:AG42">AF7/AE7*100</f>
        <v>165.8691943892219</v>
      </c>
      <c r="AH7" s="11">
        <f>SUM(AH8:AH40)</f>
        <v>-26142.100000000002</v>
      </c>
      <c r="AI7" s="11">
        <f>SUM(AI8:AI40)</f>
        <v>-2710.8</v>
      </c>
      <c r="AJ7" s="27">
        <f>SUM(AH8:AH40)</f>
        <v>-26142.100000000002</v>
      </c>
      <c r="AK7" s="27">
        <f>SUM(AI8:AI40)</f>
        <v>-2710.8</v>
      </c>
    </row>
    <row r="8" spans="1:36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8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44">
        <v>11.6</v>
      </c>
      <c r="T8" s="44">
        <v>514.5</v>
      </c>
      <c r="U8" s="11">
        <f t="shared" si="4"/>
        <v>4435.344827586207</v>
      </c>
      <c r="V8" s="44">
        <v>25</v>
      </c>
      <c r="W8" s="44">
        <v>1059.1</v>
      </c>
      <c r="X8" s="11">
        <f t="shared" si="5"/>
        <v>4236.4</v>
      </c>
      <c r="Y8" s="89">
        <f>P8+S8+V8</f>
        <v>698.2</v>
      </c>
      <c r="Z8" s="89">
        <f>Q8+T8+W8</f>
        <v>3036.8999999999996</v>
      </c>
      <c r="AA8" s="11">
        <f aca="true" t="shared" si="9" ref="AA8:AA28">Z8/Y8*100</f>
        <v>434.96132913205383</v>
      </c>
      <c r="AB8" s="44">
        <v>-1744.3</v>
      </c>
      <c r="AC8" s="44">
        <v>0</v>
      </c>
      <c r="AD8" s="11">
        <f t="shared" si="6"/>
        <v>0</v>
      </c>
      <c r="AE8" s="72">
        <f>M8+Y8+AB8</f>
        <v>2375</v>
      </c>
      <c r="AF8" s="72">
        <f>N8+Z8+AC8</f>
        <v>6203.7</v>
      </c>
      <c r="AG8" s="11">
        <f t="shared" si="7"/>
        <v>261.2084210526316</v>
      </c>
      <c r="AH8" s="72">
        <f>AE8-AF8</f>
        <v>-3828.7</v>
      </c>
      <c r="AI8" s="18">
        <f>C8+AE8-AF8</f>
        <v>-1719.1999999999998</v>
      </c>
      <c r="AJ8" s="19"/>
    </row>
    <row r="9" spans="1:36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10" ref="M9:M42">D9+G9+J9</f>
        <v>861.8</v>
      </c>
      <c r="N9" s="89">
        <f aca="true" t="shared" si="11" ref="N9:N42">E9+H9+K9</f>
        <v>995.1999999999999</v>
      </c>
      <c r="O9" s="11">
        <f t="shared" si="8"/>
        <v>115.47922951961012</v>
      </c>
      <c r="P9" s="44">
        <v>156.3</v>
      </c>
      <c r="Q9" s="44">
        <v>287</v>
      </c>
      <c r="R9" s="11">
        <f t="shared" si="3"/>
        <v>183.6212412028151</v>
      </c>
      <c r="S9" s="44">
        <v>-924.7</v>
      </c>
      <c r="T9" s="44">
        <v>0</v>
      </c>
      <c r="U9" s="11">
        <f t="shared" si="4"/>
        <v>0</v>
      </c>
      <c r="V9" s="44">
        <v>77.8</v>
      </c>
      <c r="W9" s="44">
        <v>0</v>
      </c>
      <c r="X9" s="11">
        <f t="shared" si="5"/>
        <v>0</v>
      </c>
      <c r="Y9" s="89">
        <f aca="true" t="shared" si="12" ref="Y9:Y28">P9+S9+V9</f>
        <v>-690.6000000000001</v>
      </c>
      <c r="Z9" s="89">
        <f aca="true" t="shared" si="13" ref="Z9:Z28">Q9+T9+W9</f>
        <v>287</v>
      </c>
      <c r="AA9" s="11">
        <f t="shared" si="9"/>
        <v>-41.55806545033304</v>
      </c>
      <c r="AB9" s="44">
        <v>184.5</v>
      </c>
      <c r="AC9" s="44">
        <v>0</v>
      </c>
      <c r="AD9" s="11">
        <f t="shared" si="6"/>
        <v>0</v>
      </c>
      <c r="AE9" s="72">
        <f aca="true" t="shared" si="14" ref="AE9:AE40">M9+Y9+AB9</f>
        <v>355.6999999999998</v>
      </c>
      <c r="AF9" s="72">
        <f aca="true" t="shared" si="15" ref="AF9:AF40">N9+Z9+AC9</f>
        <v>1282.1999999999998</v>
      </c>
      <c r="AG9" s="11">
        <f t="shared" si="7"/>
        <v>360.4723081248244</v>
      </c>
      <c r="AH9" s="72">
        <f aca="true" t="shared" si="16" ref="AH9:AH42">AE9-AF9</f>
        <v>-926.5</v>
      </c>
      <c r="AI9" s="18">
        <f aca="true" t="shared" si="17" ref="AI9:AI42">C9+AE9-AF9</f>
        <v>-219.20000000000005</v>
      </c>
      <c r="AJ9" s="19"/>
    </row>
    <row r="10" spans="1:36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10"/>
        <v>304.8</v>
      </c>
      <c r="N10" s="89">
        <f t="shared" si="11"/>
        <v>95.5</v>
      </c>
      <c r="O10" s="11">
        <f t="shared" si="8"/>
        <v>31.332020997375327</v>
      </c>
      <c r="P10" s="44">
        <v>74.9</v>
      </c>
      <c r="Q10" s="44">
        <v>382.9</v>
      </c>
      <c r="R10" s="140">
        <f t="shared" si="3"/>
        <v>511.214953271028</v>
      </c>
      <c r="S10" s="44">
        <v>4.7</v>
      </c>
      <c r="T10" s="44">
        <v>4.7</v>
      </c>
      <c r="U10" s="140">
        <f t="shared" si="4"/>
        <v>100</v>
      </c>
      <c r="V10" s="44">
        <v>35.3</v>
      </c>
      <c r="W10" s="44">
        <v>0</v>
      </c>
      <c r="X10" s="140">
        <f t="shared" si="5"/>
        <v>0</v>
      </c>
      <c r="Y10" s="89">
        <f t="shared" si="12"/>
        <v>114.9</v>
      </c>
      <c r="Z10" s="89">
        <f t="shared" si="13"/>
        <v>387.59999999999997</v>
      </c>
      <c r="AA10" s="11">
        <f t="shared" si="9"/>
        <v>337.33681462140987</v>
      </c>
      <c r="AB10" s="44">
        <v>95.4</v>
      </c>
      <c r="AC10" s="44">
        <v>0</v>
      </c>
      <c r="AD10" s="140">
        <f t="shared" si="6"/>
        <v>0</v>
      </c>
      <c r="AE10" s="72">
        <f t="shared" si="14"/>
        <v>515.1</v>
      </c>
      <c r="AF10" s="72">
        <f t="shared" si="15"/>
        <v>483.09999999999997</v>
      </c>
      <c r="AG10" s="11">
        <f t="shared" si="7"/>
        <v>93.78761405552319</v>
      </c>
      <c r="AH10" s="72">
        <f t="shared" si="16"/>
        <v>32.00000000000006</v>
      </c>
      <c r="AI10" s="18">
        <f t="shared" si="17"/>
        <v>130.7000000000001</v>
      </c>
      <c r="AJ10" s="19"/>
    </row>
    <row r="11" spans="1:36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10"/>
        <v>768.1</v>
      </c>
      <c r="N11" s="89">
        <f t="shared" si="11"/>
        <v>752.2</v>
      </c>
      <c r="O11" s="11">
        <f t="shared" si="8"/>
        <v>97.92995703684416</v>
      </c>
      <c r="P11" s="44">
        <v>97.5</v>
      </c>
      <c r="Q11" s="44">
        <v>0</v>
      </c>
      <c r="R11" s="11">
        <f t="shared" si="3"/>
        <v>0</v>
      </c>
      <c r="S11" s="44">
        <v>2.2</v>
      </c>
      <c r="T11" s="44">
        <v>0</v>
      </c>
      <c r="U11" s="11">
        <f t="shared" si="4"/>
        <v>0</v>
      </c>
      <c r="V11" s="44">
        <v>187</v>
      </c>
      <c r="W11" s="44">
        <v>0</v>
      </c>
      <c r="X11" s="11">
        <f t="shared" si="5"/>
        <v>0</v>
      </c>
      <c r="Y11" s="89">
        <f t="shared" si="12"/>
        <v>286.7</v>
      </c>
      <c r="Z11" s="89">
        <f t="shared" si="13"/>
        <v>0</v>
      </c>
      <c r="AA11" s="11">
        <f t="shared" si="9"/>
        <v>0</v>
      </c>
      <c r="AB11" s="44">
        <v>-568.6</v>
      </c>
      <c r="AC11" s="44">
        <v>0</v>
      </c>
      <c r="AD11" s="11">
        <f t="shared" si="6"/>
        <v>0</v>
      </c>
      <c r="AE11" s="72">
        <f t="shared" si="14"/>
        <v>486.19999999999993</v>
      </c>
      <c r="AF11" s="72">
        <f t="shared" si="15"/>
        <v>752.2</v>
      </c>
      <c r="AG11" s="11">
        <f t="shared" si="7"/>
        <v>154.7099958864665</v>
      </c>
      <c r="AH11" s="72">
        <f t="shared" si="16"/>
        <v>-266.0000000000001</v>
      </c>
      <c r="AI11" s="18">
        <f t="shared" si="17"/>
        <v>194.39999999999986</v>
      </c>
      <c r="AJ11" s="19"/>
    </row>
    <row r="12" spans="1:36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10"/>
        <v>1050.6</v>
      </c>
      <c r="N12" s="89">
        <f t="shared" si="11"/>
        <v>804.9</v>
      </c>
      <c r="O12" s="11">
        <f t="shared" si="8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44">
        <v>-655.6</v>
      </c>
      <c r="T12" s="44">
        <v>0</v>
      </c>
      <c r="U12" s="11">
        <f t="shared" si="4"/>
        <v>0</v>
      </c>
      <c r="V12" s="44">
        <v>169.9</v>
      </c>
      <c r="W12" s="44">
        <v>0</v>
      </c>
      <c r="X12" s="11">
        <f t="shared" si="5"/>
        <v>0</v>
      </c>
      <c r="Y12" s="89">
        <f t="shared" si="12"/>
        <v>-244.70000000000002</v>
      </c>
      <c r="Z12" s="89">
        <f t="shared" si="13"/>
        <v>118.8</v>
      </c>
      <c r="AA12" s="11">
        <f t="shared" si="9"/>
        <v>-48.54924397221087</v>
      </c>
      <c r="AB12" s="44">
        <v>289.1</v>
      </c>
      <c r="AC12" s="44">
        <v>0</v>
      </c>
      <c r="AD12" s="11">
        <f t="shared" si="6"/>
        <v>0</v>
      </c>
      <c r="AE12" s="72">
        <f t="shared" si="14"/>
        <v>1095</v>
      </c>
      <c r="AF12" s="72">
        <f t="shared" si="15"/>
        <v>923.6999999999999</v>
      </c>
      <c r="AG12" s="11">
        <f t="shared" si="7"/>
        <v>84.35616438356163</v>
      </c>
      <c r="AH12" s="72">
        <f t="shared" si="16"/>
        <v>171.30000000000007</v>
      </c>
      <c r="AI12" s="18">
        <f t="shared" si="17"/>
        <v>739.5000000000001</v>
      </c>
      <c r="AJ12" s="19"/>
    </row>
    <row r="13" spans="1:36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10"/>
        <v>1124.1999999999998</v>
      </c>
      <c r="N13" s="89">
        <f t="shared" si="11"/>
        <v>1082.5</v>
      </c>
      <c r="O13" s="11">
        <f t="shared" si="8"/>
        <v>96.29069560576411</v>
      </c>
      <c r="P13" s="44">
        <v>204.6</v>
      </c>
      <c r="Q13" s="44">
        <v>12</v>
      </c>
      <c r="R13" s="140">
        <f t="shared" si="3"/>
        <v>5.865102639296188</v>
      </c>
      <c r="S13" s="44">
        <v>-1077.7</v>
      </c>
      <c r="T13" s="44">
        <v>5.2</v>
      </c>
      <c r="U13" s="140">
        <f t="shared" si="4"/>
        <v>-0.48250904704463204</v>
      </c>
      <c r="V13" s="44">
        <v>154.7</v>
      </c>
      <c r="W13" s="44">
        <v>0</v>
      </c>
      <c r="X13" s="140">
        <f t="shared" si="5"/>
        <v>0</v>
      </c>
      <c r="Y13" s="89">
        <f t="shared" si="12"/>
        <v>-718.4000000000001</v>
      </c>
      <c r="Z13" s="89">
        <f t="shared" si="13"/>
        <v>17.2</v>
      </c>
      <c r="AA13" s="11">
        <f t="shared" si="9"/>
        <v>-2.394209354120267</v>
      </c>
      <c r="AB13" s="44">
        <v>259.7</v>
      </c>
      <c r="AC13" s="44">
        <v>0</v>
      </c>
      <c r="AD13" s="140">
        <f t="shared" si="6"/>
        <v>0</v>
      </c>
      <c r="AE13" s="72">
        <f t="shared" si="14"/>
        <v>665.4999999999998</v>
      </c>
      <c r="AF13" s="72">
        <f t="shared" si="15"/>
        <v>1099.7</v>
      </c>
      <c r="AG13" s="11">
        <f t="shared" si="7"/>
        <v>165.24417731029308</v>
      </c>
      <c r="AH13" s="72">
        <f t="shared" si="16"/>
        <v>-434.2000000000003</v>
      </c>
      <c r="AI13" s="18">
        <f t="shared" si="17"/>
        <v>550.8999999999999</v>
      </c>
      <c r="AJ13" s="19"/>
    </row>
    <row r="14" spans="1:36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10"/>
        <v>460.8</v>
      </c>
      <c r="N14" s="89">
        <f t="shared" si="11"/>
        <v>292.7</v>
      </c>
      <c r="O14" s="11">
        <f t="shared" si="8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44">
        <v>3.8</v>
      </c>
      <c r="T14" s="44">
        <v>3.8</v>
      </c>
      <c r="U14" s="11">
        <f t="shared" si="4"/>
        <v>100</v>
      </c>
      <c r="V14" s="44">
        <v>18.7</v>
      </c>
      <c r="W14" s="44">
        <v>0</v>
      </c>
      <c r="X14" s="11">
        <f t="shared" si="5"/>
        <v>0</v>
      </c>
      <c r="Y14" s="89">
        <f t="shared" si="12"/>
        <v>94.7</v>
      </c>
      <c r="Z14" s="89">
        <f t="shared" si="13"/>
        <v>397.6</v>
      </c>
      <c r="AA14" s="11">
        <f t="shared" si="9"/>
        <v>419.85216473072865</v>
      </c>
      <c r="AB14" s="44">
        <v>-28.1</v>
      </c>
      <c r="AC14" s="44">
        <v>0</v>
      </c>
      <c r="AD14" s="11">
        <f t="shared" si="6"/>
        <v>0</v>
      </c>
      <c r="AE14" s="72">
        <f t="shared" si="14"/>
        <v>527.4</v>
      </c>
      <c r="AF14" s="72">
        <f t="shared" si="15"/>
        <v>690.3</v>
      </c>
      <c r="AG14" s="11">
        <f t="shared" si="7"/>
        <v>130.88737201365188</v>
      </c>
      <c r="AH14" s="72">
        <f t="shared" si="16"/>
        <v>-162.89999999999998</v>
      </c>
      <c r="AI14" s="18">
        <f t="shared" si="17"/>
        <v>-9.399999999999977</v>
      </c>
      <c r="AJ14" s="19"/>
    </row>
    <row r="15" spans="1:36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10"/>
        <v>1691.6999999999998</v>
      </c>
      <c r="N15" s="89">
        <f t="shared" si="11"/>
        <v>692.7</v>
      </c>
      <c r="O15" s="11">
        <f t="shared" si="8"/>
        <v>40.946976414257854</v>
      </c>
      <c r="P15" s="44">
        <v>330.1</v>
      </c>
      <c r="Q15" s="44">
        <v>1222.2</v>
      </c>
      <c r="R15" s="140">
        <f t="shared" si="3"/>
        <v>370.25143895789154</v>
      </c>
      <c r="S15" s="44">
        <v>-572.1</v>
      </c>
      <c r="T15" s="44">
        <v>198.1</v>
      </c>
      <c r="U15" s="140">
        <f t="shared" si="4"/>
        <v>-34.62681349414438</v>
      </c>
      <c r="V15" s="44">
        <v>67.1</v>
      </c>
      <c r="W15" s="44">
        <v>87</v>
      </c>
      <c r="X15" s="140">
        <f t="shared" si="5"/>
        <v>129.65722801788377</v>
      </c>
      <c r="Y15" s="89">
        <f t="shared" si="12"/>
        <v>-174.9</v>
      </c>
      <c r="Z15" s="89">
        <f t="shared" si="13"/>
        <v>1507.3</v>
      </c>
      <c r="AA15" s="11">
        <f t="shared" si="9"/>
        <v>-861.8067467124071</v>
      </c>
      <c r="AB15" s="44">
        <v>151</v>
      </c>
      <c r="AC15" s="44">
        <v>0.4</v>
      </c>
      <c r="AD15" s="140">
        <f t="shared" si="6"/>
        <v>0.26490066225165565</v>
      </c>
      <c r="AE15" s="72">
        <f t="shared" si="14"/>
        <v>1667.7999999999997</v>
      </c>
      <c r="AF15" s="72">
        <f t="shared" si="15"/>
        <v>2200.4</v>
      </c>
      <c r="AG15" s="11">
        <f t="shared" si="7"/>
        <v>131.93428468641326</v>
      </c>
      <c r="AH15" s="72">
        <f t="shared" si="16"/>
        <v>-532.6000000000004</v>
      </c>
      <c r="AI15" s="18">
        <f t="shared" si="17"/>
        <v>-63.20000000000027</v>
      </c>
      <c r="AJ15" s="19"/>
    </row>
    <row r="16" spans="1:36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10"/>
        <v>108.99999999999999</v>
      </c>
      <c r="N16" s="89">
        <f t="shared" si="11"/>
        <v>106.4</v>
      </c>
      <c r="O16" s="11">
        <f t="shared" si="8"/>
        <v>97.61467889908259</v>
      </c>
      <c r="P16" s="44">
        <v>16.9</v>
      </c>
      <c r="Q16" s="44">
        <v>30</v>
      </c>
      <c r="R16" s="11">
        <f t="shared" si="3"/>
        <v>177.5147928994083</v>
      </c>
      <c r="S16" s="44">
        <v>1.1</v>
      </c>
      <c r="T16" s="44">
        <v>0</v>
      </c>
      <c r="U16" s="11">
        <f t="shared" si="4"/>
        <v>0</v>
      </c>
      <c r="V16" s="44">
        <v>0.4</v>
      </c>
      <c r="W16" s="44">
        <v>56.9</v>
      </c>
      <c r="X16" s="11">
        <f t="shared" si="5"/>
        <v>14225</v>
      </c>
      <c r="Y16" s="89">
        <f t="shared" si="12"/>
        <v>18.4</v>
      </c>
      <c r="Z16" s="89">
        <f t="shared" si="13"/>
        <v>86.9</v>
      </c>
      <c r="AA16" s="11">
        <f t="shared" si="9"/>
        <v>472.28260869565224</v>
      </c>
      <c r="AB16" s="44">
        <v>3.7</v>
      </c>
      <c r="AC16" s="44">
        <v>0</v>
      </c>
      <c r="AD16" s="11">
        <f t="shared" si="6"/>
        <v>0</v>
      </c>
      <c r="AE16" s="72">
        <f t="shared" si="14"/>
        <v>131.09999999999997</v>
      </c>
      <c r="AF16" s="72">
        <f t="shared" si="15"/>
        <v>193.3</v>
      </c>
      <c r="AG16" s="11">
        <f t="shared" si="7"/>
        <v>147.44469870327998</v>
      </c>
      <c r="AH16" s="72">
        <f t="shared" si="16"/>
        <v>-62.200000000000045</v>
      </c>
      <c r="AI16" s="18">
        <f t="shared" si="17"/>
        <v>4.099999999999966</v>
      </c>
      <c r="AJ16" s="19"/>
    </row>
    <row r="17" spans="1:36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10"/>
        <v>943.6999999999999</v>
      </c>
      <c r="N17" s="89">
        <f t="shared" si="11"/>
        <v>939.8</v>
      </c>
      <c r="O17" s="11">
        <f t="shared" si="8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44">
        <f>-57.1+389.8</f>
        <v>332.7</v>
      </c>
      <c r="T17" s="44">
        <f>432.1</f>
        <v>432.1</v>
      </c>
      <c r="U17" s="11">
        <f t="shared" si="4"/>
        <v>129.87676585512475</v>
      </c>
      <c r="V17" s="44">
        <f>53.1+144.8</f>
        <v>197.9</v>
      </c>
      <c r="W17" s="44">
        <f>92.4+324.3</f>
        <v>416.70000000000005</v>
      </c>
      <c r="X17" s="11">
        <f t="shared" si="5"/>
        <v>210.56088933804955</v>
      </c>
      <c r="Y17" s="89">
        <f t="shared" si="12"/>
        <v>789</v>
      </c>
      <c r="Z17" s="89">
        <f t="shared" si="13"/>
        <v>1233</v>
      </c>
      <c r="AA17" s="11">
        <f t="shared" si="9"/>
        <v>156.27376425855513</v>
      </c>
      <c r="AB17" s="44">
        <f>24.8+163</f>
        <v>187.8</v>
      </c>
      <c r="AC17" s="44">
        <v>0</v>
      </c>
      <c r="AD17" s="11">
        <f t="shared" si="6"/>
        <v>0</v>
      </c>
      <c r="AE17" s="72">
        <f t="shared" si="14"/>
        <v>1920.4999999999998</v>
      </c>
      <c r="AF17" s="72">
        <f t="shared" si="15"/>
        <v>2172.8</v>
      </c>
      <c r="AG17" s="11">
        <f t="shared" si="7"/>
        <v>113.13720385316326</v>
      </c>
      <c r="AH17" s="72">
        <f t="shared" si="16"/>
        <v>-252.3000000000004</v>
      </c>
      <c r="AI17" s="18">
        <f t="shared" si="17"/>
        <v>240.79999999999973</v>
      </c>
      <c r="AJ17" s="19"/>
    </row>
    <row r="18" spans="1:36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10"/>
        <v>516.9</v>
      </c>
      <c r="N18" s="89">
        <f t="shared" si="11"/>
        <v>537.3</v>
      </c>
      <c r="O18" s="11">
        <f t="shared" si="8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44">
        <v>10.4</v>
      </c>
      <c r="T18" s="44">
        <v>0</v>
      </c>
      <c r="U18" s="11">
        <f t="shared" si="4"/>
        <v>0</v>
      </c>
      <c r="V18" s="44">
        <v>92.3</v>
      </c>
      <c r="W18" s="44">
        <v>0</v>
      </c>
      <c r="X18" s="11">
        <f t="shared" si="5"/>
        <v>0</v>
      </c>
      <c r="Y18" s="89">
        <f t="shared" si="12"/>
        <v>208.5</v>
      </c>
      <c r="Z18" s="89">
        <f t="shared" si="13"/>
        <v>514.5</v>
      </c>
      <c r="AA18" s="11">
        <f t="shared" si="9"/>
        <v>246.76258992805757</v>
      </c>
      <c r="AB18" s="44">
        <v>-251.9</v>
      </c>
      <c r="AC18" s="44">
        <v>0</v>
      </c>
      <c r="AD18" s="11">
        <f t="shared" si="6"/>
        <v>0</v>
      </c>
      <c r="AE18" s="72">
        <f t="shared" si="14"/>
        <v>473.5</v>
      </c>
      <c r="AF18" s="72">
        <f t="shared" si="15"/>
        <v>1051.8</v>
      </c>
      <c r="AG18" s="11">
        <f t="shared" si="7"/>
        <v>222.13305174234424</v>
      </c>
      <c r="AH18" s="72">
        <f t="shared" si="16"/>
        <v>-578.3</v>
      </c>
      <c r="AI18" s="18">
        <f t="shared" si="17"/>
        <v>-149.19999999999993</v>
      </c>
      <c r="AJ18" s="19"/>
    </row>
    <row r="19" spans="1:36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10"/>
        <v>1271</v>
      </c>
      <c r="N19" s="89">
        <f t="shared" si="11"/>
        <v>157.1</v>
      </c>
      <c r="O19" s="11">
        <f t="shared" si="8"/>
        <v>12.360346184107001</v>
      </c>
      <c r="P19" s="44">
        <v>212.4</v>
      </c>
      <c r="Q19" s="44">
        <v>443.8</v>
      </c>
      <c r="R19" s="140">
        <f t="shared" si="3"/>
        <v>208.94538606403015</v>
      </c>
      <c r="S19" s="44">
        <v>-603.7</v>
      </c>
      <c r="T19" s="44">
        <v>0</v>
      </c>
      <c r="U19" s="140">
        <f t="shared" si="4"/>
        <v>0</v>
      </c>
      <c r="V19" s="44">
        <v>24.6</v>
      </c>
      <c r="W19" s="44">
        <v>1634.9</v>
      </c>
      <c r="X19" s="140">
        <f t="shared" si="5"/>
        <v>6645.934959349593</v>
      </c>
      <c r="Y19" s="89">
        <f t="shared" si="12"/>
        <v>-366.70000000000005</v>
      </c>
      <c r="Z19" s="89">
        <f t="shared" si="13"/>
        <v>2078.7000000000003</v>
      </c>
      <c r="AA19" s="11">
        <f t="shared" si="9"/>
        <v>-566.8666484865012</v>
      </c>
      <c r="AB19" s="44">
        <v>136.2</v>
      </c>
      <c r="AC19" s="44">
        <v>0</v>
      </c>
      <c r="AD19" s="140">
        <f t="shared" si="6"/>
        <v>0</v>
      </c>
      <c r="AE19" s="72">
        <f t="shared" si="14"/>
        <v>1040.5</v>
      </c>
      <c r="AF19" s="72">
        <f t="shared" si="15"/>
        <v>2235.8</v>
      </c>
      <c r="AG19" s="11">
        <f t="shared" si="7"/>
        <v>214.8774627582893</v>
      </c>
      <c r="AH19" s="72">
        <f t="shared" si="16"/>
        <v>-1195.3000000000002</v>
      </c>
      <c r="AI19" s="18">
        <f t="shared" si="17"/>
        <v>-469.10000000000014</v>
      </c>
      <c r="AJ19" s="19"/>
    </row>
    <row r="20" spans="1:36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10"/>
        <v>334.7</v>
      </c>
      <c r="N20" s="89">
        <f t="shared" si="11"/>
        <v>280.7</v>
      </c>
      <c r="O20" s="11">
        <f t="shared" si="8"/>
        <v>83.86614878996116</v>
      </c>
      <c r="P20" s="44">
        <v>229.3</v>
      </c>
      <c r="Q20" s="44">
        <v>259.2</v>
      </c>
      <c r="R20" s="140">
        <f t="shared" si="3"/>
        <v>113.03968600087222</v>
      </c>
      <c r="S20" s="44">
        <v>-140.3</v>
      </c>
      <c r="T20" s="44">
        <v>0.2</v>
      </c>
      <c r="U20" s="140">
        <f t="shared" si="4"/>
        <v>-0.14255167498218102</v>
      </c>
      <c r="V20" s="44">
        <v>-154.4</v>
      </c>
      <c r="W20" s="44">
        <v>56</v>
      </c>
      <c r="X20" s="140">
        <f t="shared" si="5"/>
        <v>-36.26943005181347</v>
      </c>
      <c r="Y20" s="89">
        <f t="shared" si="12"/>
        <v>-65.4</v>
      </c>
      <c r="Z20" s="89">
        <f t="shared" si="13"/>
        <v>315.4</v>
      </c>
      <c r="AA20" s="11">
        <f t="shared" si="9"/>
        <v>-482.26299694189595</v>
      </c>
      <c r="AB20" s="44">
        <v>85.3</v>
      </c>
      <c r="AC20" s="44">
        <v>-73.4</v>
      </c>
      <c r="AD20" s="140">
        <f t="shared" si="6"/>
        <v>-86.04923798358735</v>
      </c>
      <c r="AE20" s="72">
        <f t="shared" si="14"/>
        <v>354.59999999999997</v>
      </c>
      <c r="AF20" s="72">
        <f t="shared" si="15"/>
        <v>522.6999999999999</v>
      </c>
      <c r="AG20" s="11">
        <f t="shared" si="7"/>
        <v>147.40552735476592</v>
      </c>
      <c r="AH20" s="72">
        <f t="shared" si="16"/>
        <v>-168.09999999999997</v>
      </c>
      <c r="AI20" s="18">
        <f t="shared" si="17"/>
        <v>39.39999999999998</v>
      </c>
      <c r="AJ20" s="19"/>
    </row>
    <row r="21" spans="1:36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10"/>
        <v>77.9</v>
      </c>
      <c r="N21" s="89">
        <f t="shared" si="11"/>
        <v>81.6</v>
      </c>
      <c r="O21" s="11">
        <f t="shared" si="8"/>
        <v>104.74967907573811</v>
      </c>
      <c r="P21" s="44">
        <v>17</v>
      </c>
      <c r="Q21" s="44">
        <v>25.3</v>
      </c>
      <c r="R21" s="140">
        <f t="shared" si="3"/>
        <v>148.8235294117647</v>
      </c>
      <c r="S21" s="44">
        <v>-57.9</v>
      </c>
      <c r="T21" s="44">
        <v>0</v>
      </c>
      <c r="U21" s="140">
        <f t="shared" si="4"/>
        <v>0</v>
      </c>
      <c r="V21" s="44">
        <v>1</v>
      </c>
      <c r="W21" s="44">
        <v>0</v>
      </c>
      <c r="X21" s="140">
        <f t="shared" si="5"/>
        <v>0</v>
      </c>
      <c r="Y21" s="89">
        <f t="shared" si="12"/>
        <v>-39.9</v>
      </c>
      <c r="Z21" s="89">
        <f t="shared" si="13"/>
        <v>25.3</v>
      </c>
      <c r="AA21" s="11">
        <f t="shared" si="9"/>
        <v>-63.40852130325815</v>
      </c>
      <c r="AB21" s="44">
        <v>33.3</v>
      </c>
      <c r="AC21" s="44">
        <v>0</v>
      </c>
      <c r="AD21" s="140">
        <f t="shared" si="6"/>
        <v>0</v>
      </c>
      <c r="AE21" s="72">
        <f t="shared" si="14"/>
        <v>71.30000000000001</v>
      </c>
      <c r="AF21" s="72">
        <f t="shared" si="15"/>
        <v>106.89999999999999</v>
      </c>
      <c r="AG21" s="11">
        <f t="shared" si="7"/>
        <v>149.92987377279098</v>
      </c>
      <c r="AH21" s="72">
        <f t="shared" si="16"/>
        <v>-35.59999999999998</v>
      </c>
      <c r="AI21" s="18">
        <f t="shared" si="17"/>
        <v>19.600000000000023</v>
      </c>
      <c r="AJ21" s="19"/>
    </row>
    <row r="22" spans="1:36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10"/>
        <v>524.6</v>
      </c>
      <c r="N22" s="89">
        <f t="shared" si="11"/>
        <v>511.29999999999995</v>
      </c>
      <c r="O22" s="11">
        <f t="shared" si="8"/>
        <v>97.46473503621806</v>
      </c>
      <c r="P22" s="44">
        <v>82.2</v>
      </c>
      <c r="Q22" s="44">
        <v>233.1</v>
      </c>
      <c r="R22" s="140">
        <f t="shared" si="3"/>
        <v>283.5766423357664</v>
      </c>
      <c r="S22" s="44">
        <v>-223.4</v>
      </c>
      <c r="T22" s="44">
        <v>0</v>
      </c>
      <c r="U22" s="140">
        <f t="shared" si="4"/>
        <v>0</v>
      </c>
      <c r="V22" s="44">
        <v>0.5</v>
      </c>
      <c r="W22" s="44">
        <v>5.3</v>
      </c>
      <c r="X22" s="140">
        <f t="shared" si="5"/>
        <v>1060</v>
      </c>
      <c r="Y22" s="89">
        <f t="shared" si="12"/>
        <v>-140.7</v>
      </c>
      <c r="Z22" s="89">
        <f t="shared" si="13"/>
        <v>238.4</v>
      </c>
      <c r="AA22" s="11">
        <f t="shared" si="9"/>
        <v>-169.43852167732766</v>
      </c>
      <c r="AB22" s="44">
        <v>1.2</v>
      </c>
      <c r="AC22" s="44">
        <v>0</v>
      </c>
      <c r="AD22" s="140">
        <f t="shared" si="6"/>
        <v>0</v>
      </c>
      <c r="AE22" s="72">
        <f t="shared" si="14"/>
        <v>385.1</v>
      </c>
      <c r="AF22" s="72">
        <f t="shared" si="15"/>
        <v>749.6999999999999</v>
      </c>
      <c r="AG22" s="11">
        <f t="shared" si="7"/>
        <v>194.67670734874056</v>
      </c>
      <c r="AH22" s="72">
        <f t="shared" si="16"/>
        <v>-364.5999999999999</v>
      </c>
      <c r="AI22" s="18">
        <f t="shared" si="17"/>
        <v>29.70000000000016</v>
      </c>
      <c r="AJ22" s="19"/>
    </row>
    <row r="23" spans="1:36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10"/>
        <v>83.2</v>
      </c>
      <c r="N23" s="89">
        <f t="shared" si="11"/>
        <v>88.4</v>
      </c>
      <c r="O23" s="11">
        <f t="shared" si="8"/>
        <v>106.25</v>
      </c>
      <c r="P23" s="44">
        <v>11.4</v>
      </c>
      <c r="Q23" s="44">
        <v>73.5</v>
      </c>
      <c r="R23" s="11">
        <f t="shared" si="3"/>
        <v>644.7368421052631</v>
      </c>
      <c r="S23" s="44">
        <v>-56.7</v>
      </c>
      <c r="T23" s="44">
        <v>1.7</v>
      </c>
      <c r="U23" s="11">
        <f t="shared" si="4"/>
        <v>-2.9982363315696645</v>
      </c>
      <c r="V23" s="44">
        <v>3.6</v>
      </c>
      <c r="W23" s="44">
        <v>0</v>
      </c>
      <c r="X23" s="11">
        <f t="shared" si="5"/>
        <v>0</v>
      </c>
      <c r="Y23" s="89">
        <f t="shared" si="12"/>
        <v>-41.7</v>
      </c>
      <c r="Z23" s="89">
        <f t="shared" si="13"/>
        <v>75.2</v>
      </c>
      <c r="AA23" s="11">
        <f t="shared" si="9"/>
        <v>-180.3357314148681</v>
      </c>
      <c r="AB23" s="44">
        <v>16.2</v>
      </c>
      <c r="AC23" s="44">
        <v>0</v>
      </c>
      <c r="AD23" s="11">
        <f t="shared" si="6"/>
        <v>0</v>
      </c>
      <c r="AE23" s="72">
        <f t="shared" si="14"/>
        <v>57.7</v>
      </c>
      <c r="AF23" s="72">
        <f t="shared" si="15"/>
        <v>163.60000000000002</v>
      </c>
      <c r="AG23" s="11">
        <f t="shared" si="7"/>
        <v>283.5355285961872</v>
      </c>
      <c r="AH23" s="72">
        <f t="shared" si="16"/>
        <v>-105.90000000000002</v>
      </c>
      <c r="AI23" s="18">
        <f t="shared" si="17"/>
        <v>-38.60000000000002</v>
      </c>
      <c r="AJ23" s="19"/>
    </row>
    <row r="24" spans="1:36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10"/>
        <v>3256.3</v>
      </c>
      <c r="N24" s="89">
        <f t="shared" si="11"/>
        <v>3259.6</v>
      </c>
      <c r="O24" s="11">
        <f t="shared" si="8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44">
        <v>-1785.6</v>
      </c>
      <c r="T24" s="44">
        <v>0</v>
      </c>
      <c r="U24" s="11">
        <f t="shared" si="4"/>
        <v>0</v>
      </c>
      <c r="V24" s="44">
        <v>294</v>
      </c>
      <c r="W24" s="44">
        <v>400</v>
      </c>
      <c r="X24" s="11">
        <f t="shared" si="5"/>
        <v>136.05442176870747</v>
      </c>
      <c r="Y24" s="89">
        <f t="shared" si="12"/>
        <v>-874.3</v>
      </c>
      <c r="Z24" s="89">
        <f t="shared" si="13"/>
        <v>778.6</v>
      </c>
      <c r="AA24" s="11">
        <f t="shared" si="9"/>
        <v>-89.0541004231957</v>
      </c>
      <c r="AB24" s="44">
        <v>753.3</v>
      </c>
      <c r="AC24" s="44">
        <v>0</v>
      </c>
      <c r="AD24" s="11">
        <f t="shared" si="6"/>
        <v>0</v>
      </c>
      <c r="AE24" s="72">
        <f t="shared" si="14"/>
        <v>3135.3</v>
      </c>
      <c r="AF24" s="72">
        <f t="shared" si="15"/>
        <v>4038.2</v>
      </c>
      <c r="AG24" s="11">
        <f t="shared" si="7"/>
        <v>128.7978821803336</v>
      </c>
      <c r="AH24" s="72">
        <f t="shared" si="16"/>
        <v>-902.8999999999996</v>
      </c>
      <c r="AI24" s="18">
        <f t="shared" si="17"/>
        <v>1395.000000000001</v>
      </c>
      <c r="AJ24" s="19"/>
    </row>
    <row r="25" spans="1:36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10"/>
        <v>788.1</v>
      </c>
      <c r="N25" s="89">
        <f t="shared" si="11"/>
        <v>645</v>
      </c>
      <c r="O25" s="11">
        <f t="shared" si="8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44">
        <v>-601</v>
      </c>
      <c r="T25" s="44">
        <v>0</v>
      </c>
      <c r="U25" s="11">
        <f t="shared" si="4"/>
        <v>0</v>
      </c>
      <c r="V25" s="44">
        <v>209.9</v>
      </c>
      <c r="W25" s="44">
        <v>141</v>
      </c>
      <c r="X25" s="11">
        <f t="shared" si="5"/>
        <v>67.17484516436399</v>
      </c>
      <c r="Y25" s="89">
        <f t="shared" si="12"/>
        <v>-232.4</v>
      </c>
      <c r="Z25" s="89">
        <f t="shared" si="13"/>
        <v>181</v>
      </c>
      <c r="AA25" s="11">
        <f t="shared" si="9"/>
        <v>-77.8829604130809</v>
      </c>
      <c r="AB25" s="44">
        <v>109.6</v>
      </c>
      <c r="AC25" s="44">
        <v>5.1</v>
      </c>
      <c r="AD25" s="11">
        <f t="shared" si="6"/>
        <v>4.653284671532846</v>
      </c>
      <c r="AE25" s="72">
        <f t="shared" si="14"/>
        <v>665.3000000000001</v>
      </c>
      <c r="AF25" s="72">
        <f t="shared" si="15"/>
        <v>831.1</v>
      </c>
      <c r="AG25" s="11">
        <f t="shared" si="7"/>
        <v>124.9210882308733</v>
      </c>
      <c r="AH25" s="72">
        <f t="shared" si="16"/>
        <v>-165.79999999999995</v>
      </c>
      <c r="AI25" s="18">
        <f t="shared" si="17"/>
        <v>314.30000000000007</v>
      </c>
      <c r="AJ25" s="19"/>
    </row>
    <row r="26" spans="1:36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10"/>
        <v>35.2</v>
      </c>
      <c r="N26" s="89">
        <f t="shared" si="11"/>
        <v>34.4</v>
      </c>
      <c r="O26" s="11">
        <f t="shared" si="8"/>
        <v>97.72727272727272</v>
      </c>
      <c r="P26" s="44">
        <v>5.8</v>
      </c>
      <c r="Q26" s="44">
        <v>30.9</v>
      </c>
      <c r="R26" s="11">
        <f t="shared" si="3"/>
        <v>532.7586206896551</v>
      </c>
      <c r="S26" s="44">
        <v>0.3</v>
      </c>
      <c r="T26" s="44">
        <v>0</v>
      </c>
      <c r="U26" s="11">
        <f t="shared" si="4"/>
        <v>0</v>
      </c>
      <c r="V26" s="44">
        <v>-23.1</v>
      </c>
      <c r="W26" s="44">
        <v>0</v>
      </c>
      <c r="X26" s="11">
        <f t="shared" si="5"/>
        <v>0</v>
      </c>
      <c r="Y26" s="89">
        <f t="shared" si="12"/>
        <v>-17</v>
      </c>
      <c r="Z26" s="89">
        <f t="shared" si="13"/>
        <v>30.9</v>
      </c>
      <c r="AA26" s="11">
        <f t="shared" si="9"/>
        <v>-181.76470588235293</v>
      </c>
      <c r="AB26" s="44">
        <v>8.8</v>
      </c>
      <c r="AC26" s="44">
        <v>0</v>
      </c>
      <c r="AD26" s="11">
        <f t="shared" si="6"/>
        <v>0</v>
      </c>
      <c r="AE26" s="72">
        <f t="shared" si="14"/>
        <v>27.000000000000004</v>
      </c>
      <c r="AF26" s="72">
        <f t="shared" si="15"/>
        <v>65.3</v>
      </c>
      <c r="AG26" s="11">
        <f t="shared" si="7"/>
        <v>241.85185185185182</v>
      </c>
      <c r="AH26" s="72">
        <f t="shared" si="16"/>
        <v>-38.3</v>
      </c>
      <c r="AI26" s="18">
        <f t="shared" si="17"/>
        <v>-8.099999999999994</v>
      </c>
      <c r="AJ26" s="19"/>
    </row>
    <row r="27" spans="1:36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10"/>
        <v>2059.8999999999996</v>
      </c>
      <c r="N27" s="89">
        <f t="shared" si="11"/>
        <v>1679.1999999999998</v>
      </c>
      <c r="O27" s="11">
        <f t="shared" si="8"/>
        <v>81.51852031652022</v>
      </c>
      <c r="P27" s="44">
        <v>514.5</v>
      </c>
      <c r="Q27" s="44">
        <v>0</v>
      </c>
      <c r="R27" s="11">
        <f t="shared" si="3"/>
        <v>0</v>
      </c>
      <c r="S27" s="44">
        <v>-1486.4</v>
      </c>
      <c r="T27" s="44">
        <v>545.7</v>
      </c>
      <c r="U27" s="11">
        <f t="shared" si="4"/>
        <v>-36.71286329386437</v>
      </c>
      <c r="V27" s="44">
        <v>77.2</v>
      </c>
      <c r="W27" s="44">
        <v>10.3</v>
      </c>
      <c r="X27" s="11">
        <f t="shared" si="5"/>
        <v>13.341968911917098</v>
      </c>
      <c r="Y27" s="89">
        <f t="shared" si="12"/>
        <v>-894.7</v>
      </c>
      <c r="Z27" s="89">
        <f t="shared" si="13"/>
        <v>556</v>
      </c>
      <c r="AA27" s="11">
        <f t="shared" si="9"/>
        <v>-62.143735330278304</v>
      </c>
      <c r="AB27" s="44">
        <v>627.6</v>
      </c>
      <c r="AC27" s="44">
        <v>0</v>
      </c>
      <c r="AD27" s="11">
        <f t="shared" si="6"/>
        <v>0</v>
      </c>
      <c r="AE27" s="72">
        <f t="shared" si="14"/>
        <v>1792.7999999999997</v>
      </c>
      <c r="AF27" s="72">
        <f t="shared" si="15"/>
        <v>2235.2</v>
      </c>
      <c r="AG27" s="11">
        <f t="shared" si="7"/>
        <v>124.6764837126283</v>
      </c>
      <c r="AH27" s="72">
        <f t="shared" si="16"/>
        <v>-442.4000000000001</v>
      </c>
      <c r="AI27" s="18">
        <f t="shared" si="17"/>
        <v>704.8000000000002</v>
      </c>
      <c r="AJ27" s="19"/>
    </row>
    <row r="28" spans="1:36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10"/>
        <v>326.8</v>
      </c>
      <c r="N28" s="89">
        <f t="shared" si="11"/>
        <v>365.8</v>
      </c>
      <c r="O28" s="11">
        <f t="shared" si="8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144">
        <v>1.8</v>
      </c>
      <c r="T28" s="44">
        <v>245.4</v>
      </c>
      <c r="U28" s="11">
        <f t="shared" si="4"/>
        <v>13633.333333333334</v>
      </c>
      <c r="V28" s="144">
        <v>1.8</v>
      </c>
      <c r="W28" s="44">
        <v>0</v>
      </c>
      <c r="X28" s="11">
        <f t="shared" si="5"/>
        <v>0</v>
      </c>
      <c r="Y28" s="89">
        <f t="shared" si="12"/>
        <v>71.8</v>
      </c>
      <c r="Z28" s="89">
        <f t="shared" si="13"/>
        <v>338.6</v>
      </c>
      <c r="AA28" s="11">
        <f t="shared" si="9"/>
        <v>471.5877437325906</v>
      </c>
      <c r="AB28" s="144">
        <v>-175.4</v>
      </c>
      <c r="AC28" s="44">
        <v>0</v>
      </c>
      <c r="AD28" s="11">
        <f t="shared" si="6"/>
        <v>0</v>
      </c>
      <c r="AE28" s="72">
        <f t="shared" si="14"/>
        <v>223.20000000000002</v>
      </c>
      <c r="AF28" s="72">
        <f t="shared" si="15"/>
        <v>704.4000000000001</v>
      </c>
      <c r="AG28" s="11">
        <f t="shared" si="7"/>
        <v>315.5913978494624</v>
      </c>
      <c r="AH28" s="72">
        <f t="shared" si="16"/>
        <v>-481.20000000000005</v>
      </c>
      <c r="AI28" s="18">
        <f t="shared" si="17"/>
        <v>-172.20000000000005</v>
      </c>
      <c r="AJ28" s="19"/>
    </row>
    <row r="29" spans="1:36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72"/>
      <c r="AF29" s="72"/>
      <c r="AG29" s="77"/>
      <c r="AH29" s="77"/>
      <c r="AI29" s="77"/>
      <c r="AJ29" s="19"/>
    </row>
    <row r="30" spans="1:36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18" ref="L30:L43">K30/J30*100</f>
        <v>119.97780244173141</v>
      </c>
      <c r="M30" s="89">
        <f t="shared" si="10"/>
        <v>270.1</v>
      </c>
      <c r="N30" s="89">
        <f t="shared" si="11"/>
        <v>295.29999999999995</v>
      </c>
      <c r="O30" s="11">
        <f t="shared" si="8"/>
        <v>109.32987782302848</v>
      </c>
      <c r="P30" s="44">
        <v>51.4</v>
      </c>
      <c r="Q30" s="44">
        <v>111.3</v>
      </c>
      <c r="R30" s="140">
        <f aca="true" t="shared" si="19" ref="R30:R43">Q30/P30*100</f>
        <v>216.53696498054472</v>
      </c>
      <c r="S30" s="44">
        <v>-109.2</v>
      </c>
      <c r="T30" s="44">
        <v>0</v>
      </c>
      <c r="U30" s="140">
        <f aca="true" t="shared" si="20" ref="U30:U43">T30/S30*100</f>
        <v>0</v>
      </c>
      <c r="V30" s="44">
        <v>15.4</v>
      </c>
      <c r="W30" s="44">
        <v>0</v>
      </c>
      <c r="X30" s="140">
        <f aca="true" t="shared" si="21" ref="X30:X43">W30/V30*100</f>
        <v>0</v>
      </c>
      <c r="Y30" s="89">
        <f aca="true" t="shared" si="22" ref="Y30:Y40">P30+S30+V30</f>
        <v>-42.400000000000006</v>
      </c>
      <c r="Z30" s="89">
        <f aca="true" t="shared" si="23" ref="Z30:Z40">Q30+T30+W30</f>
        <v>111.3</v>
      </c>
      <c r="AA30" s="11">
        <f aca="true" t="shared" si="24" ref="AA30:AA43">Z30/Y30*100</f>
        <v>-262.49999999999994</v>
      </c>
      <c r="AB30" s="44">
        <v>86</v>
      </c>
      <c r="AC30" s="44">
        <v>0</v>
      </c>
      <c r="AD30" s="140">
        <f aca="true" t="shared" si="25" ref="AD30:AD43">AC30/AB30*100</f>
        <v>0</v>
      </c>
      <c r="AE30" s="72">
        <f t="shared" si="14"/>
        <v>313.70000000000005</v>
      </c>
      <c r="AF30" s="72">
        <f t="shared" si="15"/>
        <v>406.59999999999997</v>
      </c>
      <c r="AG30" s="11">
        <f t="shared" si="7"/>
        <v>129.61428116034426</v>
      </c>
      <c r="AH30" s="72">
        <f t="shared" si="16"/>
        <v>-92.89999999999992</v>
      </c>
      <c r="AI30" s="18">
        <f t="shared" si="17"/>
        <v>133.7000000000001</v>
      </c>
      <c r="AJ30" s="19"/>
    </row>
    <row r="31" spans="1:36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183.1</v>
      </c>
      <c r="L31" s="11">
        <f t="shared" si="18"/>
        <v>111.17182756527019</v>
      </c>
      <c r="M31" s="89">
        <f t="shared" si="10"/>
        <v>489.4</v>
      </c>
      <c r="N31" s="89">
        <f t="shared" si="11"/>
        <v>491.20000000000005</v>
      </c>
      <c r="O31" s="11">
        <f t="shared" si="8"/>
        <v>100.3677973028198</v>
      </c>
      <c r="P31" s="44">
        <v>85.3</v>
      </c>
      <c r="Q31" s="44">
        <v>175.6</v>
      </c>
      <c r="R31" s="11">
        <f t="shared" si="19"/>
        <v>205.86166471277843</v>
      </c>
      <c r="S31" s="44">
        <v>23.3</v>
      </c>
      <c r="T31" s="44">
        <v>70.1</v>
      </c>
      <c r="U31" s="11">
        <f t="shared" si="20"/>
        <v>300.85836909871244</v>
      </c>
      <c r="V31" s="44">
        <v>-204.5</v>
      </c>
      <c r="W31" s="44">
        <v>204.1</v>
      </c>
      <c r="X31" s="11">
        <f t="shared" si="21"/>
        <v>-99.80440097799512</v>
      </c>
      <c r="Y31" s="89">
        <f t="shared" si="22"/>
        <v>-95.9</v>
      </c>
      <c r="Z31" s="89">
        <f t="shared" si="23"/>
        <v>449.79999999999995</v>
      </c>
      <c r="AA31" s="11">
        <f t="shared" si="24"/>
        <v>-469.03023983315944</v>
      </c>
      <c r="AB31" s="44">
        <v>96.3</v>
      </c>
      <c r="AC31" s="44">
        <v>0</v>
      </c>
      <c r="AD31" s="11">
        <f t="shared" si="25"/>
        <v>0</v>
      </c>
      <c r="AE31" s="72">
        <f t="shared" si="14"/>
        <v>489.8</v>
      </c>
      <c r="AF31" s="72">
        <f t="shared" si="15"/>
        <v>941</v>
      </c>
      <c r="AG31" s="11">
        <f t="shared" si="7"/>
        <v>192.1192323397305</v>
      </c>
      <c r="AH31" s="72">
        <f t="shared" si="16"/>
        <v>-451.2</v>
      </c>
      <c r="AI31" s="18">
        <f t="shared" si="17"/>
        <v>-98.20000000000005</v>
      </c>
      <c r="AJ31" s="19"/>
    </row>
    <row r="32" spans="1:36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18"/>
        <v>196.12199834391387</v>
      </c>
      <c r="M32" s="89">
        <f t="shared" si="10"/>
        <v>2145.7</v>
      </c>
      <c r="N32" s="89">
        <f t="shared" si="11"/>
        <v>2040.6999999999998</v>
      </c>
      <c r="O32" s="11">
        <f t="shared" si="8"/>
        <v>95.10649205387519</v>
      </c>
      <c r="P32" s="44">
        <v>313.9</v>
      </c>
      <c r="Q32" s="44">
        <v>0</v>
      </c>
      <c r="R32" s="11">
        <f t="shared" si="19"/>
        <v>0</v>
      </c>
      <c r="S32" s="44">
        <v>-682</v>
      </c>
      <c r="T32" s="44">
        <v>0</v>
      </c>
      <c r="U32" s="11">
        <f t="shared" si="20"/>
        <v>0</v>
      </c>
      <c r="V32" s="44">
        <v>6.6</v>
      </c>
      <c r="W32" s="44">
        <v>724.6</v>
      </c>
      <c r="X32" s="11">
        <f t="shared" si="21"/>
        <v>10978.78787878788</v>
      </c>
      <c r="Y32" s="89">
        <f t="shared" si="22"/>
        <v>-361.5</v>
      </c>
      <c r="Z32" s="89">
        <f t="shared" si="23"/>
        <v>724.6</v>
      </c>
      <c r="AA32" s="11">
        <f t="shared" si="24"/>
        <v>-200.44260027662517</v>
      </c>
      <c r="AB32" s="44">
        <v>330</v>
      </c>
      <c r="AC32" s="44">
        <v>0</v>
      </c>
      <c r="AD32" s="11">
        <f t="shared" si="25"/>
        <v>0</v>
      </c>
      <c r="AE32" s="72">
        <f t="shared" si="14"/>
        <v>2114.2</v>
      </c>
      <c r="AF32" s="72">
        <f t="shared" si="15"/>
        <v>2765.2999999999997</v>
      </c>
      <c r="AG32" s="11">
        <f t="shared" si="7"/>
        <v>130.7965187777883</v>
      </c>
      <c r="AH32" s="72">
        <f t="shared" si="16"/>
        <v>-651.0999999999999</v>
      </c>
      <c r="AI32" s="18">
        <f t="shared" si="17"/>
        <v>-31.5</v>
      </c>
      <c r="AJ32" s="19"/>
    </row>
    <row r="33" spans="1:36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18"/>
        <v>64.75804408411452</v>
      </c>
      <c r="M33" s="89">
        <f t="shared" si="10"/>
        <v>1022.3</v>
      </c>
      <c r="N33" s="89">
        <f t="shared" si="11"/>
        <v>863</v>
      </c>
      <c r="O33" s="11">
        <f t="shared" si="8"/>
        <v>84.41748997358897</v>
      </c>
      <c r="P33" s="44">
        <v>210.8</v>
      </c>
      <c r="Q33" s="44">
        <v>80.6</v>
      </c>
      <c r="R33" s="11">
        <f t="shared" si="19"/>
        <v>38.23529411764706</v>
      </c>
      <c r="S33" s="44">
        <v>10.2</v>
      </c>
      <c r="T33" s="44">
        <v>0</v>
      </c>
      <c r="U33" s="11">
        <f t="shared" si="20"/>
        <v>0</v>
      </c>
      <c r="V33" s="44">
        <v>37.7</v>
      </c>
      <c r="W33" s="44">
        <v>0</v>
      </c>
      <c r="X33" s="11">
        <f t="shared" si="21"/>
        <v>0</v>
      </c>
      <c r="Y33" s="89">
        <f t="shared" si="22"/>
        <v>258.7</v>
      </c>
      <c r="Z33" s="89">
        <f t="shared" si="23"/>
        <v>80.6</v>
      </c>
      <c r="AA33" s="11">
        <f t="shared" si="24"/>
        <v>31.155778894472363</v>
      </c>
      <c r="AB33" s="44">
        <v>62.4</v>
      </c>
      <c r="AC33" s="44">
        <v>0</v>
      </c>
      <c r="AD33" s="11">
        <f t="shared" si="25"/>
        <v>0</v>
      </c>
      <c r="AE33" s="72">
        <f t="shared" si="14"/>
        <v>1343.4</v>
      </c>
      <c r="AF33" s="72">
        <f t="shared" si="15"/>
        <v>943.6</v>
      </c>
      <c r="AG33" s="11">
        <f t="shared" si="7"/>
        <v>70.23969033794849</v>
      </c>
      <c r="AH33" s="72">
        <f t="shared" si="16"/>
        <v>399.80000000000007</v>
      </c>
      <c r="AI33" s="18">
        <f t="shared" si="17"/>
        <v>1060.9</v>
      </c>
      <c r="AJ33" s="19"/>
    </row>
    <row r="34" spans="1:36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18"/>
        <v>102.13973799126639</v>
      </c>
      <c r="M34" s="89">
        <f t="shared" si="10"/>
        <v>693.1</v>
      </c>
      <c r="N34" s="89">
        <f t="shared" si="11"/>
        <v>743.6</v>
      </c>
      <c r="O34" s="11">
        <f t="shared" si="8"/>
        <v>107.28610590102438</v>
      </c>
      <c r="P34" s="44">
        <v>130.6</v>
      </c>
      <c r="Q34" s="44">
        <v>230.2</v>
      </c>
      <c r="R34" s="140">
        <f t="shared" si="19"/>
        <v>176.26339969372128</v>
      </c>
      <c r="S34" s="44">
        <v>-716.7</v>
      </c>
      <c r="T34" s="44">
        <v>0</v>
      </c>
      <c r="U34" s="140">
        <f t="shared" si="20"/>
        <v>0</v>
      </c>
      <c r="V34" s="44">
        <v>61.8</v>
      </c>
      <c r="W34" s="44">
        <v>0</v>
      </c>
      <c r="X34" s="140">
        <f t="shared" si="21"/>
        <v>0</v>
      </c>
      <c r="Y34" s="89">
        <f t="shared" si="22"/>
        <v>-524.3000000000001</v>
      </c>
      <c r="Z34" s="89">
        <f t="shared" si="23"/>
        <v>230.2</v>
      </c>
      <c r="AA34" s="11">
        <f t="shared" si="24"/>
        <v>-43.90616059507914</v>
      </c>
      <c r="AB34" s="44">
        <v>218.8</v>
      </c>
      <c r="AC34" s="44">
        <v>0</v>
      </c>
      <c r="AD34" s="140">
        <f t="shared" si="25"/>
        <v>0</v>
      </c>
      <c r="AE34" s="72">
        <f t="shared" si="14"/>
        <v>387.59999999999997</v>
      </c>
      <c r="AF34" s="72">
        <f t="shared" si="15"/>
        <v>973.8</v>
      </c>
      <c r="AG34" s="11">
        <f t="shared" si="7"/>
        <v>251.23839009287929</v>
      </c>
      <c r="AH34" s="72">
        <f t="shared" si="16"/>
        <v>-586.2</v>
      </c>
      <c r="AI34" s="18">
        <f t="shared" si="17"/>
        <v>-76.5</v>
      </c>
      <c r="AJ34" s="19"/>
    </row>
    <row r="35" spans="1:36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18"/>
        <v>84.99656743431319</v>
      </c>
      <c r="M35" s="89">
        <f t="shared" si="10"/>
        <v>4859.3</v>
      </c>
      <c r="N35" s="89">
        <f t="shared" si="11"/>
        <v>2960.3</v>
      </c>
      <c r="O35" s="11">
        <f t="shared" si="8"/>
        <v>60.9202971621427</v>
      </c>
      <c r="P35" s="44">
        <v>1090.1</v>
      </c>
      <c r="Q35" s="44">
        <v>3994.2</v>
      </c>
      <c r="R35" s="11">
        <f t="shared" si="19"/>
        <v>366.40675167415833</v>
      </c>
      <c r="S35" s="44">
        <v>-3285.5</v>
      </c>
      <c r="T35" s="44">
        <v>814.3</v>
      </c>
      <c r="U35" s="11">
        <f t="shared" si="20"/>
        <v>-24.784659869121896</v>
      </c>
      <c r="V35" s="44">
        <v>184.1</v>
      </c>
      <c r="W35" s="44">
        <v>0</v>
      </c>
      <c r="X35" s="11">
        <f t="shared" si="21"/>
        <v>0</v>
      </c>
      <c r="Y35" s="89">
        <f t="shared" si="22"/>
        <v>-2011.3000000000002</v>
      </c>
      <c r="Z35" s="89">
        <f t="shared" si="23"/>
        <v>4808.5</v>
      </c>
      <c r="AA35" s="11">
        <f t="shared" si="24"/>
        <v>-239.0742305971262</v>
      </c>
      <c r="AB35" s="44">
        <v>1496.8</v>
      </c>
      <c r="AC35" s="44">
        <v>0</v>
      </c>
      <c r="AD35" s="11">
        <f t="shared" si="25"/>
        <v>0</v>
      </c>
      <c r="AE35" s="72">
        <f t="shared" si="14"/>
        <v>4344.8</v>
      </c>
      <c r="AF35" s="72">
        <f t="shared" si="15"/>
        <v>7768.8</v>
      </c>
      <c r="AG35" s="11">
        <f t="shared" si="7"/>
        <v>178.80684956729885</v>
      </c>
      <c r="AH35" s="72">
        <f t="shared" si="16"/>
        <v>-3424</v>
      </c>
      <c r="AI35" s="18">
        <f t="shared" si="17"/>
        <v>-1561.4000000000005</v>
      </c>
      <c r="AJ35" s="19"/>
    </row>
    <row r="36" spans="1:36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18"/>
        <v>99.13840262582058</v>
      </c>
      <c r="M36" s="89">
        <f t="shared" si="10"/>
        <v>4358.7</v>
      </c>
      <c r="N36" s="89">
        <f t="shared" si="11"/>
        <v>2975.7</v>
      </c>
      <c r="O36" s="11">
        <f t="shared" si="8"/>
        <v>68.27035584004405</v>
      </c>
      <c r="P36" s="44">
        <f>18.8+927.5</f>
        <v>946.3</v>
      </c>
      <c r="Q36" s="44">
        <f>61.4+2647.2</f>
        <v>2708.6</v>
      </c>
      <c r="R36" s="11">
        <f t="shared" si="19"/>
        <v>286.2305822677798</v>
      </c>
      <c r="S36" s="44">
        <f>-68.9+(-3136.3)</f>
        <v>-3205.2000000000003</v>
      </c>
      <c r="T36" s="44">
        <f>18.8+1102.2</f>
        <v>1121</v>
      </c>
      <c r="U36" s="11">
        <f t="shared" si="20"/>
        <v>-34.97441657306876</v>
      </c>
      <c r="V36" s="44">
        <f>-548.8+3.7</f>
        <v>-545.0999999999999</v>
      </c>
      <c r="W36" s="44">
        <v>0</v>
      </c>
      <c r="X36" s="11">
        <f t="shared" si="21"/>
        <v>0</v>
      </c>
      <c r="Y36" s="89">
        <f t="shared" si="22"/>
        <v>-2804.0000000000005</v>
      </c>
      <c r="Z36" s="89">
        <f t="shared" si="23"/>
        <v>3829.6</v>
      </c>
      <c r="AA36" s="11">
        <f t="shared" si="24"/>
        <v>-136.57631954350924</v>
      </c>
      <c r="AB36" s="44">
        <f>906.6+19.4</f>
        <v>926</v>
      </c>
      <c r="AC36" s="44">
        <v>0</v>
      </c>
      <c r="AD36" s="11">
        <f t="shared" si="25"/>
        <v>0</v>
      </c>
      <c r="AE36" s="72">
        <f t="shared" si="14"/>
        <v>2480.6999999999994</v>
      </c>
      <c r="AF36" s="72">
        <f t="shared" si="15"/>
        <v>6805.299999999999</v>
      </c>
      <c r="AG36" s="11">
        <f t="shared" si="7"/>
        <v>274.32982625871733</v>
      </c>
      <c r="AH36" s="72">
        <f t="shared" si="16"/>
        <v>-4324.6</v>
      </c>
      <c r="AI36" s="18">
        <f t="shared" si="17"/>
        <v>-2798.7</v>
      </c>
      <c r="AJ36" s="19"/>
    </row>
    <row r="37" spans="1:36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18"/>
        <v>181.19681581114466</v>
      </c>
      <c r="M37" s="89">
        <f t="shared" si="10"/>
        <v>7703</v>
      </c>
      <c r="N37" s="89">
        <f t="shared" si="11"/>
        <v>7173.6</v>
      </c>
      <c r="O37" s="11">
        <f t="shared" si="8"/>
        <v>93.12735297935869</v>
      </c>
      <c r="P37" s="44">
        <v>1364.5</v>
      </c>
      <c r="Q37" s="44">
        <v>576.4</v>
      </c>
      <c r="R37" s="11">
        <f t="shared" si="19"/>
        <v>42.24257969952364</v>
      </c>
      <c r="S37" s="44">
        <v>-6727.9</v>
      </c>
      <c r="T37" s="44">
        <v>0</v>
      </c>
      <c r="U37" s="11">
        <f t="shared" si="20"/>
        <v>0</v>
      </c>
      <c r="V37" s="44">
        <v>749.3</v>
      </c>
      <c r="W37" s="44">
        <v>0</v>
      </c>
      <c r="X37" s="11">
        <f t="shared" si="21"/>
        <v>0</v>
      </c>
      <c r="Y37" s="89">
        <f t="shared" si="22"/>
        <v>-4614.099999999999</v>
      </c>
      <c r="Z37" s="89">
        <f t="shared" si="23"/>
        <v>576.4</v>
      </c>
      <c r="AA37" s="11">
        <f t="shared" si="24"/>
        <v>-12.492143646648318</v>
      </c>
      <c r="AB37" s="44">
        <v>2703.9</v>
      </c>
      <c r="AC37" s="44">
        <v>0</v>
      </c>
      <c r="AD37" s="11">
        <f t="shared" si="25"/>
        <v>0</v>
      </c>
      <c r="AE37" s="72">
        <f t="shared" si="14"/>
        <v>5792.800000000001</v>
      </c>
      <c r="AF37" s="72">
        <f t="shared" si="15"/>
        <v>7750</v>
      </c>
      <c r="AG37" s="11">
        <f t="shared" si="7"/>
        <v>133.7867697831791</v>
      </c>
      <c r="AH37" s="72">
        <f t="shared" si="16"/>
        <v>-1957.199999999999</v>
      </c>
      <c r="AI37" s="18">
        <f t="shared" si="17"/>
        <v>642.7000000000007</v>
      </c>
      <c r="AJ37" s="19"/>
    </row>
    <row r="38" spans="1:36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18"/>
        <v>74.34656340755083</v>
      </c>
      <c r="M38" s="89">
        <f t="shared" si="10"/>
        <v>805.2</v>
      </c>
      <c r="N38" s="89">
        <f t="shared" si="11"/>
        <v>413.3</v>
      </c>
      <c r="O38" s="11">
        <f t="shared" si="8"/>
        <v>51.32886239443616</v>
      </c>
      <c r="P38" s="44">
        <v>136.2</v>
      </c>
      <c r="Q38" s="44">
        <v>608.4</v>
      </c>
      <c r="R38" s="11">
        <f t="shared" si="19"/>
        <v>446.6960352422908</v>
      </c>
      <c r="S38" s="44">
        <v>0.8</v>
      </c>
      <c r="T38" s="44">
        <v>684.4</v>
      </c>
      <c r="U38" s="11">
        <f t="shared" si="20"/>
        <v>85549.99999999999</v>
      </c>
      <c r="V38" s="44">
        <v>7.2</v>
      </c>
      <c r="W38" s="44">
        <v>0</v>
      </c>
      <c r="X38" s="11">
        <f t="shared" si="21"/>
        <v>0</v>
      </c>
      <c r="Y38" s="89">
        <f t="shared" si="22"/>
        <v>144.2</v>
      </c>
      <c r="Z38" s="89">
        <f t="shared" si="23"/>
        <v>1292.8</v>
      </c>
      <c r="AA38" s="11">
        <f t="shared" si="24"/>
        <v>896.5325936199722</v>
      </c>
      <c r="AB38" s="44">
        <v>-505.5</v>
      </c>
      <c r="AC38" s="44">
        <v>-548.2</v>
      </c>
      <c r="AD38" s="11">
        <f t="shared" si="25"/>
        <v>108.44708209693374</v>
      </c>
      <c r="AE38" s="72">
        <f t="shared" si="14"/>
        <v>443.9000000000001</v>
      </c>
      <c r="AF38" s="72">
        <f t="shared" si="15"/>
        <v>1157.8999999999999</v>
      </c>
      <c r="AG38" s="11">
        <f t="shared" si="7"/>
        <v>260.84703762108575</v>
      </c>
      <c r="AH38" s="72">
        <f t="shared" si="16"/>
        <v>-713.9999999999998</v>
      </c>
      <c r="AI38" s="18">
        <f t="shared" si="17"/>
        <v>-480.0999999999998</v>
      </c>
      <c r="AJ38" s="19"/>
    </row>
    <row r="39" spans="1:36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18"/>
        <v>93.19831868551776</v>
      </c>
      <c r="M39" s="89">
        <f t="shared" si="10"/>
        <v>3927.7</v>
      </c>
      <c r="N39" s="89">
        <f t="shared" si="11"/>
        <v>3109.2</v>
      </c>
      <c r="O39" s="11">
        <f t="shared" si="8"/>
        <v>79.16083203910685</v>
      </c>
      <c r="P39" s="44">
        <v>663</v>
      </c>
      <c r="Q39" s="44">
        <v>1235.8</v>
      </c>
      <c r="R39" s="140">
        <f t="shared" si="19"/>
        <v>186.395173453997</v>
      </c>
      <c r="S39" s="44">
        <v>-3406.9</v>
      </c>
      <c r="T39" s="44">
        <v>634.5</v>
      </c>
      <c r="U39" s="140">
        <f t="shared" si="20"/>
        <v>-18.623969004079953</v>
      </c>
      <c r="V39" s="44">
        <v>94.2</v>
      </c>
      <c r="W39" s="44">
        <v>0</v>
      </c>
      <c r="X39" s="140">
        <f t="shared" si="21"/>
        <v>0</v>
      </c>
      <c r="Y39" s="89">
        <f t="shared" si="22"/>
        <v>-2649.7000000000003</v>
      </c>
      <c r="Z39" s="89">
        <f t="shared" si="23"/>
        <v>1870.3</v>
      </c>
      <c r="AA39" s="11">
        <f t="shared" si="24"/>
        <v>-70.58534928482469</v>
      </c>
      <c r="AB39" s="44">
        <v>622.1</v>
      </c>
      <c r="AC39" s="44">
        <v>0</v>
      </c>
      <c r="AD39" s="140">
        <f t="shared" si="25"/>
        <v>0</v>
      </c>
      <c r="AE39" s="72">
        <f t="shared" si="14"/>
        <v>1900.0999999999995</v>
      </c>
      <c r="AF39" s="72">
        <f t="shared" si="15"/>
        <v>4979.5</v>
      </c>
      <c r="AG39" s="11">
        <f t="shared" si="7"/>
        <v>262.06515446555454</v>
      </c>
      <c r="AH39" s="72">
        <f t="shared" si="16"/>
        <v>-3079.4000000000005</v>
      </c>
      <c r="AI39" s="18">
        <f t="shared" si="17"/>
        <v>-1780.2000000000007</v>
      </c>
      <c r="AJ39" s="19"/>
    </row>
    <row r="40" spans="1:36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18"/>
        <v>0</v>
      </c>
      <c r="M40" s="89">
        <f t="shared" si="10"/>
        <v>2012.6</v>
      </c>
      <c r="N40" s="89">
        <f t="shared" si="11"/>
        <v>1284.3</v>
      </c>
      <c r="O40" s="11">
        <f t="shared" si="8"/>
        <v>63.812978237106236</v>
      </c>
      <c r="P40" s="44">
        <v>380.3</v>
      </c>
      <c r="Q40" s="44">
        <v>1347.8</v>
      </c>
      <c r="R40" s="140">
        <f t="shared" si="19"/>
        <v>354.40441756508017</v>
      </c>
      <c r="S40" s="44">
        <v>-1211.4</v>
      </c>
      <c r="T40" s="44">
        <v>0</v>
      </c>
      <c r="U40" s="140">
        <f t="shared" si="20"/>
        <v>0</v>
      </c>
      <c r="V40" s="44">
        <v>428.4</v>
      </c>
      <c r="W40" s="44">
        <v>0</v>
      </c>
      <c r="X40" s="140">
        <f t="shared" si="21"/>
        <v>0</v>
      </c>
      <c r="Y40" s="89">
        <f t="shared" si="22"/>
        <v>-402.70000000000016</v>
      </c>
      <c r="Z40" s="89">
        <f t="shared" si="23"/>
        <v>1347.8</v>
      </c>
      <c r="AA40" s="11">
        <f t="shared" si="24"/>
        <v>-334.6908368512539</v>
      </c>
      <c r="AB40" s="44">
        <v>501.4</v>
      </c>
      <c r="AC40" s="44">
        <v>0</v>
      </c>
      <c r="AD40" s="140">
        <f t="shared" si="25"/>
        <v>0</v>
      </c>
      <c r="AE40" s="72">
        <f t="shared" si="14"/>
        <v>2111.2999999999997</v>
      </c>
      <c r="AF40" s="72">
        <f t="shared" si="15"/>
        <v>2632.1</v>
      </c>
      <c r="AG40" s="11">
        <f t="shared" si="7"/>
        <v>124.66726661298726</v>
      </c>
      <c r="AH40" s="72">
        <f t="shared" si="16"/>
        <v>-520.8000000000002</v>
      </c>
      <c r="AI40" s="18">
        <f t="shared" si="17"/>
        <v>763.4999999999995</v>
      </c>
      <c r="AJ40" s="19"/>
    </row>
    <row r="41" spans="1:36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18"/>
        <v>91.5496157977361</v>
      </c>
      <c r="M41" s="18">
        <f>SUM(M42:M42)</f>
        <v>42369</v>
      </c>
      <c r="N41" s="18">
        <f>SUM(N42:N42)</f>
        <v>26432.3</v>
      </c>
      <c r="O41" s="11">
        <f t="shared" si="8"/>
        <v>62.385942552337795</v>
      </c>
      <c r="P41" s="18">
        <f>SUM(P42:P42)</f>
        <v>7814.3</v>
      </c>
      <c r="Q41" s="18">
        <f>SUM(Q42:Q42)</f>
        <v>14339.1</v>
      </c>
      <c r="R41" s="11">
        <f t="shared" si="19"/>
        <v>183.4982020142559</v>
      </c>
      <c r="S41" s="18">
        <f>SUM(S42:S42)</f>
        <v>-6750.6</v>
      </c>
      <c r="T41" s="18">
        <f>SUM(T42:T42)</f>
        <v>0</v>
      </c>
      <c r="U41" s="11">
        <f t="shared" si="20"/>
        <v>0</v>
      </c>
      <c r="V41" s="18">
        <f>SUM(V42:V42)</f>
        <v>1306.1</v>
      </c>
      <c r="W41" s="18">
        <f>SUM(W42:W42)</f>
        <v>0</v>
      </c>
      <c r="X41" s="11">
        <f t="shared" si="21"/>
        <v>0</v>
      </c>
      <c r="Y41" s="18">
        <f>SUM(Y42:Y42)</f>
        <v>2369.7999999999997</v>
      </c>
      <c r="Z41" s="18">
        <f>SUM(Z42:Z42)</f>
        <v>14339.1</v>
      </c>
      <c r="AA41" s="11">
        <f t="shared" si="24"/>
        <v>605.076377753397</v>
      </c>
      <c r="AB41" s="18">
        <f>SUM(AB42:AB42)</f>
        <v>5981.4</v>
      </c>
      <c r="AC41" s="18">
        <f>SUM(AC42:AC42)</f>
        <v>0</v>
      </c>
      <c r="AD41" s="11">
        <f t="shared" si="25"/>
        <v>0</v>
      </c>
      <c r="AE41" s="18">
        <f>SUM(AE42:AE42)</f>
        <v>50720.200000000004</v>
      </c>
      <c r="AF41" s="18">
        <f>SUM(AF42:AF42)</f>
        <v>40771.4</v>
      </c>
      <c r="AG41" s="11">
        <f t="shared" si="7"/>
        <v>80.38493539063332</v>
      </c>
      <c r="AH41" s="18">
        <f>SUM(AH42:AH42)</f>
        <v>9948.800000000003</v>
      </c>
      <c r="AI41" s="18">
        <f>SUM(AI42:AI42)</f>
        <v>23084.800000000003</v>
      </c>
      <c r="AJ41" s="48"/>
    </row>
    <row r="42" spans="1:36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18"/>
        <v>91.5496157977361</v>
      </c>
      <c r="M42" s="89">
        <f t="shared" si="10"/>
        <v>42369</v>
      </c>
      <c r="N42" s="89">
        <f t="shared" si="11"/>
        <v>26432.3</v>
      </c>
      <c r="O42" s="11">
        <f t="shared" si="8"/>
        <v>62.385942552337795</v>
      </c>
      <c r="P42" s="44">
        <v>7814.3</v>
      </c>
      <c r="Q42" s="44">
        <v>14339.1</v>
      </c>
      <c r="R42" s="11">
        <f t="shared" si="19"/>
        <v>183.4982020142559</v>
      </c>
      <c r="S42" s="44">
        <v>-6750.6</v>
      </c>
      <c r="T42" s="44">
        <v>0</v>
      </c>
      <c r="U42" s="11">
        <f t="shared" si="20"/>
        <v>0</v>
      </c>
      <c r="V42" s="44">
        <v>1306.1</v>
      </c>
      <c r="W42" s="44">
        <v>0</v>
      </c>
      <c r="X42" s="11">
        <f t="shared" si="21"/>
        <v>0</v>
      </c>
      <c r="Y42" s="89">
        <f>P42+S42+V42</f>
        <v>2369.7999999999997</v>
      </c>
      <c r="Z42" s="89">
        <f>Q42+T42+W42</f>
        <v>14339.1</v>
      </c>
      <c r="AA42" s="11">
        <f t="shared" si="24"/>
        <v>605.076377753397</v>
      </c>
      <c r="AB42" s="44">
        <v>5981.4</v>
      </c>
      <c r="AC42" s="44">
        <v>0</v>
      </c>
      <c r="AD42" s="11">
        <f t="shared" si="25"/>
        <v>0</v>
      </c>
      <c r="AE42" s="143">
        <f>M42+Y42+AB42</f>
        <v>50720.200000000004</v>
      </c>
      <c r="AF42" s="143">
        <f>N42+Z42+AC42</f>
        <v>40771.4</v>
      </c>
      <c r="AG42" s="11">
        <f t="shared" si="7"/>
        <v>80.38493539063332</v>
      </c>
      <c r="AH42" s="72">
        <f t="shared" si="16"/>
        <v>9948.800000000003</v>
      </c>
      <c r="AI42" s="18">
        <f t="shared" si="17"/>
        <v>23084.800000000003</v>
      </c>
      <c r="AJ42" s="48"/>
    </row>
    <row r="43" spans="1:36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31081.1</v>
      </c>
      <c r="L43" s="11">
        <f t="shared" si="18"/>
        <v>99.1720005360459</v>
      </c>
      <c r="M43" s="18">
        <f>M7+M41</f>
        <v>90666.49999999999</v>
      </c>
      <c r="N43" s="18">
        <f>N7+N41</f>
        <v>65351.600000000006</v>
      </c>
      <c r="O43" s="11">
        <f t="shared" si="8"/>
        <v>72.07910308658657</v>
      </c>
      <c r="P43" s="18">
        <f>P7+P41</f>
        <v>17322.8</v>
      </c>
      <c r="Q43" s="18">
        <f>Q7+Q41</f>
        <v>31794.300000000003</v>
      </c>
      <c r="R43" s="11">
        <f t="shared" si="19"/>
        <v>183.54018980765235</v>
      </c>
      <c r="S43" s="18">
        <f>S7+S41</f>
        <v>-33877.600000000006</v>
      </c>
      <c r="T43" s="18">
        <f>T7+T41</f>
        <v>5275.7</v>
      </c>
      <c r="U43" s="11">
        <f t="shared" si="20"/>
        <v>-15.572826882659927</v>
      </c>
      <c r="V43" s="18">
        <f>V7+V41</f>
        <v>3602.4</v>
      </c>
      <c r="W43" s="18">
        <f>W7+W41</f>
        <v>4795.900000000001</v>
      </c>
      <c r="X43" s="11">
        <f t="shared" si="21"/>
        <v>133.13069065067734</v>
      </c>
      <c r="Y43" s="18">
        <f>Y7+Y41</f>
        <v>-12952.400000000001</v>
      </c>
      <c r="Z43" s="18">
        <f>Z7+Z41</f>
        <v>41865.9</v>
      </c>
      <c r="AA43" s="11">
        <f t="shared" si="24"/>
        <v>-323.22889966338283</v>
      </c>
      <c r="AB43" s="18">
        <f>AB7+AB41</f>
        <v>12694</v>
      </c>
      <c r="AC43" s="18">
        <f>AC7+AC41</f>
        <v>-616.1</v>
      </c>
      <c r="AD43" s="11">
        <f t="shared" si="25"/>
        <v>-4.85347408224358</v>
      </c>
      <c r="AE43" s="83">
        <f>AE7+AE41</f>
        <v>90408.1</v>
      </c>
      <c r="AF43" s="83">
        <f>AF7+AF41</f>
        <v>106601.4</v>
      </c>
      <c r="AG43" s="11">
        <f>AF43/AE43*100</f>
        <v>117.91133759032653</v>
      </c>
      <c r="AH43" s="18">
        <f>AH7+AH41</f>
        <v>-16193.3</v>
      </c>
      <c r="AI43" s="18">
        <f>AI7+AI41</f>
        <v>20374.000000000004</v>
      </c>
      <c r="AJ43" s="48"/>
    </row>
    <row r="44" spans="3:35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25"/>
      <c r="AF44" s="25"/>
      <c r="AG44" s="86"/>
      <c r="AH44" s="86"/>
      <c r="AI44" s="85"/>
    </row>
    <row r="45" spans="7:35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34"/>
      <c r="AF45" s="34"/>
      <c r="AG45" s="61"/>
      <c r="AH45" s="166" t="s">
        <v>137</v>
      </c>
      <c r="AI45" s="167"/>
    </row>
    <row r="46" spans="2:35" ht="45.75" customHeight="1" hidden="1">
      <c r="B46" s="164" t="s">
        <v>52</v>
      </c>
      <c r="C46" s="164"/>
      <c r="D46" s="164"/>
      <c r="E46" s="164"/>
      <c r="F46" s="164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0"/>
      <c r="AF46" s="40"/>
      <c r="AG46" s="41"/>
      <c r="AI46" s="4" t="s">
        <v>135</v>
      </c>
    </row>
    <row r="47" spans="1:34" ht="12.75" customHeight="1" hidden="1">
      <c r="A47" s="153"/>
      <c r="B47" s="153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12"/>
      <c r="AF47" s="12"/>
      <c r="AH47" s="12"/>
    </row>
    <row r="48" spans="1:35" s="38" customFormat="1" ht="96.75" customHeight="1">
      <c r="A48" s="33"/>
      <c r="B48" s="157" t="s">
        <v>136</v>
      </c>
      <c r="C48" s="157"/>
      <c r="D48" s="157"/>
      <c r="E48" s="157"/>
      <c r="F48" s="157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2"/>
      <c r="AF48" s="2"/>
      <c r="AG48" s="12"/>
      <c r="AH48" s="2"/>
      <c r="AI48" s="2"/>
    </row>
    <row r="50" spans="3:35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21"/>
      <c r="AF50" s="21"/>
      <c r="AG50" s="60"/>
      <c r="AH50" s="21"/>
      <c r="AI50" s="21"/>
    </row>
    <row r="51" spans="3:35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21"/>
      <c r="AF51" s="21"/>
      <c r="AG51" s="60"/>
      <c r="AH51" s="21"/>
      <c r="AI51" s="21"/>
    </row>
    <row r="52" spans="3:35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21"/>
      <c r="AF52" s="21"/>
      <c r="AG52" s="60"/>
      <c r="AH52" s="21"/>
      <c r="AI52" s="21"/>
    </row>
    <row r="53" spans="7:35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21"/>
      <c r="AF53" s="21"/>
      <c r="AG53" s="60"/>
      <c r="AH53" s="21"/>
      <c r="AI53" s="21"/>
    </row>
    <row r="54" spans="3:35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21"/>
      <c r="AF54" s="21"/>
      <c r="AG54" s="60"/>
      <c r="AH54" s="21"/>
      <c r="AI54" s="21"/>
    </row>
    <row r="55" spans="3:35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21"/>
      <c r="AF55" s="21"/>
      <c r="AG55" s="60"/>
      <c r="AH55" s="21"/>
      <c r="AI55" s="21"/>
    </row>
    <row r="56" spans="3:35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21"/>
      <c r="AF56" s="21"/>
      <c r="AG56" s="60"/>
      <c r="AH56" s="21"/>
      <c r="AI56" s="21"/>
    </row>
    <row r="57" spans="3:35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21"/>
      <c r="AF57" s="21"/>
      <c r="AG57" s="60"/>
      <c r="AH57" s="21"/>
      <c r="AI57" s="21"/>
    </row>
    <row r="58" spans="3:35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21"/>
      <c r="AF58" s="21"/>
      <c r="AG58" s="60"/>
      <c r="AH58" s="21"/>
      <c r="AI58" s="21"/>
    </row>
    <row r="59" spans="3:35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21"/>
      <c r="AF59" s="21"/>
      <c r="AG59" s="60"/>
      <c r="AH59" s="21"/>
      <c r="AI59" s="21"/>
    </row>
    <row r="60" spans="3:35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21"/>
      <c r="AF60" s="21"/>
      <c r="AG60" s="60"/>
      <c r="AH60" s="21"/>
      <c r="AI60" s="21"/>
    </row>
    <row r="61" spans="3:35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21"/>
      <c r="AF61" s="21"/>
      <c r="AG61" s="60"/>
      <c r="AH61" s="21"/>
      <c r="AI61" s="21"/>
    </row>
    <row r="62" spans="3:35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1"/>
      <c r="AF62" s="21"/>
      <c r="AG62" s="60"/>
      <c r="AH62" s="21"/>
      <c r="AI62" s="21"/>
    </row>
    <row r="63" spans="3:35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21"/>
      <c r="AF63" s="21"/>
      <c r="AG63" s="60"/>
      <c r="AH63" s="21"/>
      <c r="AI63" s="21"/>
    </row>
    <row r="64" spans="3:35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1"/>
      <c r="AF64" s="21"/>
      <c r="AG64" s="60"/>
      <c r="AH64" s="21"/>
      <c r="AI64" s="21"/>
    </row>
    <row r="65" spans="3:35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1"/>
      <c r="AF65" s="21"/>
      <c r="AG65" s="60"/>
      <c r="AH65" s="21"/>
      <c r="AI65" s="21"/>
    </row>
    <row r="66" spans="3:35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21"/>
      <c r="AF66" s="21"/>
      <c r="AG66" s="60"/>
      <c r="AH66" s="21"/>
      <c r="AI66" s="21"/>
    </row>
    <row r="67" spans="3:35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21"/>
      <c r="AF67" s="21"/>
      <c r="AG67" s="60"/>
      <c r="AH67" s="21"/>
      <c r="AI67" s="21"/>
    </row>
    <row r="68" spans="3:35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21"/>
      <c r="AF68" s="21"/>
      <c r="AG68" s="60"/>
      <c r="AH68" s="21"/>
      <c r="AI68" s="21"/>
    </row>
    <row r="69" spans="3:35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21"/>
      <c r="AF69" s="21"/>
      <c r="AG69" s="60"/>
      <c r="AH69" s="21"/>
      <c r="AI69" s="21"/>
    </row>
    <row r="70" spans="3:35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21"/>
      <c r="AF70" s="21"/>
      <c r="AG70" s="60"/>
      <c r="AH70" s="21"/>
      <c r="AI70" s="21"/>
    </row>
    <row r="71" spans="3:35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21"/>
      <c r="AF71" s="21"/>
      <c r="AG71" s="60"/>
      <c r="AH71" s="21"/>
      <c r="AI71" s="21"/>
    </row>
    <row r="72" spans="3:35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21"/>
      <c r="AF72" s="21"/>
      <c r="AG72" s="60"/>
      <c r="AH72" s="21"/>
      <c r="AI72" s="21"/>
    </row>
    <row r="73" spans="3:35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21"/>
      <c r="AF73" s="21"/>
      <c r="AG73" s="60"/>
      <c r="AH73" s="21"/>
      <c r="AI73" s="21"/>
    </row>
    <row r="74" spans="3:35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21"/>
      <c r="AF74" s="21"/>
      <c r="AG74" s="60"/>
      <c r="AH74" s="21"/>
      <c r="AI74" s="21"/>
    </row>
    <row r="75" spans="3:35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21"/>
      <c r="AF75" s="21"/>
      <c r="AG75" s="60"/>
      <c r="AH75" s="21"/>
      <c r="AI75" s="21"/>
    </row>
    <row r="76" spans="3:35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21"/>
      <c r="AF76" s="21"/>
      <c r="AG76" s="60"/>
      <c r="AH76" s="21"/>
      <c r="AI76" s="21"/>
    </row>
    <row r="77" spans="3:35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21"/>
      <c r="AF77" s="21"/>
      <c r="AG77" s="60"/>
      <c r="AH77" s="21"/>
      <c r="AI77" s="21"/>
    </row>
    <row r="78" spans="3:35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21"/>
      <c r="AF78" s="21"/>
      <c r="AG78" s="60"/>
      <c r="AH78" s="21"/>
      <c r="AI78" s="21"/>
    </row>
    <row r="79" spans="3:35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21"/>
      <c r="AF79" s="21"/>
      <c r="AG79" s="60"/>
      <c r="AH79" s="21"/>
      <c r="AI79" s="21"/>
    </row>
    <row r="80" spans="3:35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21"/>
      <c r="AF80" s="21"/>
      <c r="AG80" s="60"/>
      <c r="AH80" s="21"/>
      <c r="AI80" s="21"/>
    </row>
    <row r="81" spans="3:35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21"/>
      <c r="AF81" s="21"/>
      <c r="AG81" s="60"/>
      <c r="AH81" s="21"/>
      <c r="AI81" s="21"/>
    </row>
    <row r="82" spans="3:35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21"/>
      <c r="AF82" s="21"/>
      <c r="AG82" s="60"/>
      <c r="AH82" s="21"/>
      <c r="AI82" s="21"/>
    </row>
    <row r="83" spans="3:35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21"/>
      <c r="AF83" s="21"/>
      <c r="AG83" s="60"/>
      <c r="AH83" s="21"/>
      <c r="AI83" s="21"/>
    </row>
    <row r="84" spans="3:35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21"/>
      <c r="AF84" s="21"/>
      <c r="AG84" s="60"/>
      <c r="AH84" s="21"/>
      <c r="AI84" s="21"/>
    </row>
    <row r="85" spans="3:35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21"/>
      <c r="AF85" s="21"/>
      <c r="AG85" s="60"/>
      <c r="AH85" s="21"/>
      <c r="AI85" s="21"/>
    </row>
    <row r="86" spans="3:35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21"/>
      <c r="AF86" s="21"/>
      <c r="AG86" s="60"/>
      <c r="AH86" s="21"/>
      <c r="AI86" s="21"/>
    </row>
    <row r="87" spans="3:35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21"/>
      <c r="AF87" s="21"/>
      <c r="AG87" s="60"/>
      <c r="AH87" s="21"/>
      <c r="AI87" s="21"/>
    </row>
    <row r="88" spans="3:35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21"/>
      <c r="AF88" s="21"/>
      <c r="AG88" s="60"/>
      <c r="AH88" s="21"/>
      <c r="AI88" s="21"/>
    </row>
    <row r="89" spans="3:35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21"/>
      <c r="AF89" s="21"/>
      <c r="AG89" s="60"/>
      <c r="AH89" s="21"/>
      <c r="AI89" s="21"/>
    </row>
    <row r="90" spans="3:35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21"/>
      <c r="AF90" s="21"/>
      <c r="AG90" s="60"/>
      <c r="AH90" s="21"/>
      <c r="AI90" s="21"/>
    </row>
    <row r="91" spans="3:35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21"/>
      <c r="AF91" s="21"/>
      <c r="AG91" s="60"/>
      <c r="AH91" s="21"/>
      <c r="AI91" s="21"/>
    </row>
    <row r="92" spans="3:35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21"/>
      <c r="AF92" s="21"/>
      <c r="AG92" s="60"/>
      <c r="AH92" s="21"/>
      <c r="AI92" s="21"/>
    </row>
    <row r="93" spans="3:35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21"/>
      <c r="AF93" s="21"/>
      <c r="AG93" s="60"/>
      <c r="AH93" s="21"/>
      <c r="AI93" s="21"/>
    </row>
    <row r="94" spans="3:35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21"/>
      <c r="AF94" s="21"/>
      <c r="AG94" s="60"/>
      <c r="AH94" s="21"/>
      <c r="AI94" s="21"/>
    </row>
    <row r="95" spans="3:35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21"/>
      <c r="AF95" s="21"/>
      <c r="AG95" s="60"/>
      <c r="AH95" s="21"/>
      <c r="AI95" s="21"/>
    </row>
    <row r="96" spans="3:6" ht="18.75">
      <c r="C96" s="87"/>
      <c r="D96" s="21"/>
      <c r="E96" s="21"/>
      <c r="F96" s="60"/>
    </row>
  </sheetData>
  <sheetProtection/>
  <mergeCells count="20">
    <mergeCell ref="I1:AI1"/>
    <mergeCell ref="B2:AI2"/>
    <mergeCell ref="B3:AI3"/>
    <mergeCell ref="B4:F4"/>
    <mergeCell ref="D5:F5"/>
    <mergeCell ref="G5:I5"/>
    <mergeCell ref="AE5:AG5"/>
    <mergeCell ref="M5:O5"/>
    <mergeCell ref="V5:X5"/>
    <mergeCell ref="AB5:AD5"/>
    <mergeCell ref="B48:F48"/>
    <mergeCell ref="B46:F46"/>
    <mergeCell ref="AH5:AH6"/>
    <mergeCell ref="AI5:AI6"/>
    <mergeCell ref="AH45:AI45"/>
    <mergeCell ref="A47:B47"/>
    <mergeCell ref="J5:L5"/>
    <mergeCell ref="P5:R5"/>
    <mergeCell ref="S5:U5"/>
    <mergeCell ref="Y5:AA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U95"/>
  <sheetViews>
    <sheetView view="pageBreakPreview" zoomScale="75" zoomScaleNormal="50" zoomScaleSheetLayoutView="75" zoomScalePageLayoutView="0" workbookViewId="0" topLeftCell="A1">
      <pane xSplit="6" ySplit="8" topLeftCell="M3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F29" sqref="AF29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customWidth="1"/>
    <col min="29" max="29" width="14.75390625" style="12" customWidth="1"/>
    <col min="30" max="30" width="11.125" style="12" customWidth="1"/>
    <col min="31" max="32" width="14.75390625" style="2" customWidth="1"/>
    <col min="33" max="33" width="11.125" style="12" customWidth="1"/>
    <col min="34" max="34" width="16.75390625" style="2" customWidth="1"/>
    <col min="35" max="35" width="18.25390625" style="2" customWidth="1"/>
    <col min="36" max="36" width="12.25390625" style="2" customWidth="1"/>
    <col min="37" max="37" width="10.125" style="2" customWidth="1"/>
    <col min="38" max="16384" width="6.75390625" style="2" customWidth="1"/>
  </cols>
  <sheetData>
    <row r="1" spans="9:35" ht="21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s="63" customFormat="1" ht="42" customHeight="1">
      <c r="A2" s="62"/>
      <c r="B2" s="151" t="s">
        <v>129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63" customFormat="1" ht="42" customHeight="1">
      <c r="A3" s="62"/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8.75">
      <c r="B4" s="152"/>
      <c r="C4" s="152"/>
      <c r="D4" s="152"/>
      <c r="E4" s="152"/>
      <c r="F4" s="152"/>
      <c r="AI4" s="5" t="s">
        <v>7</v>
      </c>
    </row>
    <row r="5" spans="1:35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154</v>
      </c>
      <c r="Z5" s="147"/>
      <c r="AA5" s="148"/>
      <c r="AB5" s="146" t="s">
        <v>155</v>
      </c>
      <c r="AC5" s="147"/>
      <c r="AD5" s="148"/>
      <c r="AE5" s="158" t="s">
        <v>144</v>
      </c>
      <c r="AF5" s="159"/>
      <c r="AG5" s="160"/>
      <c r="AH5" s="161" t="s">
        <v>156</v>
      </c>
      <c r="AI5" s="161" t="s">
        <v>157</v>
      </c>
    </row>
    <row r="6" spans="1:3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162"/>
      <c r="AI6" s="162"/>
    </row>
    <row r="7" spans="1:37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466.3</v>
      </c>
      <c r="K7" s="11">
        <f>SUM(K8:K40)</f>
        <v>759.1</v>
      </c>
      <c r="L7" s="11">
        <f>K7/J7*100</f>
        <v>162.79219386660947</v>
      </c>
      <c r="M7" s="11">
        <f>SUM(M8:M40)</f>
        <v>1368.1999999999998</v>
      </c>
      <c r="N7" s="11">
        <f>SUM(N8:N40)</f>
        <v>1037.4</v>
      </c>
      <c r="O7" s="11">
        <f>N7/M7*100</f>
        <v>75.82224820932613</v>
      </c>
      <c r="P7" s="11">
        <f>SUM(P8:P40)</f>
        <v>468.1</v>
      </c>
      <c r="Q7" s="11">
        <f>SUM(Q8:Q40)</f>
        <v>479.8</v>
      </c>
      <c r="R7" s="11">
        <f>Q7/P7*100</f>
        <v>102.49946592608417</v>
      </c>
      <c r="S7" s="11">
        <f>SUM(S8:S40)</f>
        <v>466.5</v>
      </c>
      <c r="T7" s="11">
        <f>SUM(T8:T40)</f>
        <v>196.1</v>
      </c>
      <c r="U7" s="11">
        <f>T7/S7*100</f>
        <v>42.036441586280816</v>
      </c>
      <c r="V7" s="11">
        <f>SUM(V8:V40)</f>
        <v>485.1</v>
      </c>
      <c r="W7" s="11">
        <f>SUM(W8:W40)</f>
        <v>268.5</v>
      </c>
      <c r="X7" s="11">
        <f>W7/V7*100</f>
        <v>55.349412492269636</v>
      </c>
      <c r="Y7" s="11">
        <f>SUM(Y8:Y40)</f>
        <v>1419.7000000000003</v>
      </c>
      <c r="Z7" s="11">
        <f>SUM(Z8:Z40)</f>
        <v>944.4000000000001</v>
      </c>
      <c r="AA7" s="11">
        <f>Z7/Y7*100</f>
        <v>66.52109600619849</v>
      </c>
      <c r="AB7" s="11">
        <f>SUM(AB8:AB40)</f>
        <v>446.3</v>
      </c>
      <c r="AC7" s="11">
        <f>SUM(AC8:AC40)</f>
        <v>276.29999999999995</v>
      </c>
      <c r="AD7" s="11">
        <f>AC7/AB7*100</f>
        <v>61.90902980058256</v>
      </c>
      <c r="AE7" s="67">
        <f>SUM(AE8:AE40)</f>
        <v>3234.2</v>
      </c>
      <c r="AF7" s="67">
        <f>SUM(AF8:AF40)</f>
        <v>2258.1</v>
      </c>
      <c r="AG7" s="11">
        <f aca="true" t="shared" si="1" ref="AG7:AG42">AF7/AE7*100</f>
        <v>69.81942984354708</v>
      </c>
      <c r="AH7" s="67">
        <f>SUM(AH8:AH40)</f>
        <v>976.0999999999999</v>
      </c>
      <c r="AI7" s="67">
        <f>SUM(AI8:AI40)</f>
        <v>916.7000000000002</v>
      </c>
      <c r="AJ7" s="27">
        <f>SUM(AH8:AH40)</f>
        <v>976.0999999999999</v>
      </c>
      <c r="AK7" s="27">
        <f>SUM(AI8:AI40)</f>
        <v>916.7000000000002</v>
      </c>
    </row>
    <row r="8" spans="1:35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2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44">
        <v>20.9</v>
      </c>
      <c r="T8" s="44">
        <v>9.6</v>
      </c>
      <c r="U8" s="11">
        <f>T8/S8*100</f>
        <v>45.933014354066984</v>
      </c>
      <c r="V8" s="44">
        <v>19.4</v>
      </c>
      <c r="W8" s="44">
        <v>19</v>
      </c>
      <c r="X8" s="11">
        <f>W8/V8*100</f>
        <v>97.93814432989691</v>
      </c>
      <c r="Y8" s="89">
        <f>P8+S8+V8</f>
        <v>63.1</v>
      </c>
      <c r="Z8" s="89">
        <f>Q8+T8+W8</f>
        <v>54.6</v>
      </c>
      <c r="AA8" s="11">
        <f>Z8/Y8*100</f>
        <v>86.52931854199683</v>
      </c>
      <c r="AB8" s="44">
        <v>20.5</v>
      </c>
      <c r="AC8" s="44">
        <v>24</v>
      </c>
      <c r="AD8" s="11">
        <f>AC8/AB8*100</f>
        <v>117.07317073170731</v>
      </c>
      <c r="AE8" s="72">
        <f>M8+Y8+AB8</f>
        <v>150.5</v>
      </c>
      <c r="AF8" s="72">
        <f>N8+Z8+AC8</f>
        <v>126.1</v>
      </c>
      <c r="AG8" s="11">
        <f t="shared" si="1"/>
        <v>83.78737541528238</v>
      </c>
      <c r="AH8" s="72">
        <f>AE8-AF8</f>
        <v>24.400000000000006</v>
      </c>
      <c r="AI8" s="18">
        <f>C8+AE8-AF8</f>
        <v>27.599999999999994</v>
      </c>
    </row>
    <row r="9" spans="1:35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3" ref="M9:M42">D9+G9+J9</f>
        <v>4.5</v>
      </c>
      <c r="N9" s="89">
        <f aca="true" t="shared" si="4" ref="N9:N42">E9+H9+K9</f>
        <v>3</v>
      </c>
      <c r="O9" s="11">
        <f t="shared" si="2"/>
        <v>66.66666666666666</v>
      </c>
      <c r="P9" s="44">
        <v>1.7</v>
      </c>
      <c r="Q9" s="44">
        <v>1.4</v>
      </c>
      <c r="R9" s="11">
        <f>Q9/P9*100</f>
        <v>82.35294117647058</v>
      </c>
      <c r="S9" s="44">
        <v>1.3</v>
      </c>
      <c r="T9" s="44">
        <v>1</v>
      </c>
      <c r="U9" s="11">
        <f>T9/S9*100</f>
        <v>76.92307692307692</v>
      </c>
      <c r="V9" s="44">
        <v>1.4</v>
      </c>
      <c r="W9" s="44">
        <v>1.7</v>
      </c>
      <c r="X9" s="11">
        <f>W9/V9*100</f>
        <v>121.42857142857144</v>
      </c>
      <c r="Y9" s="89">
        <f>P9+S9+V9</f>
        <v>4.4</v>
      </c>
      <c r="Z9" s="89">
        <f>Q9+T9+W9</f>
        <v>4.1</v>
      </c>
      <c r="AA9" s="11">
        <f>Z9/Y9*100</f>
        <v>93.18181818181816</v>
      </c>
      <c r="AB9" s="44">
        <v>1.5</v>
      </c>
      <c r="AC9" s="44">
        <v>1.2</v>
      </c>
      <c r="AD9" s="11">
        <f>AC9/AB9*100</f>
        <v>80</v>
      </c>
      <c r="AE9" s="72">
        <f aca="true" t="shared" si="5" ref="AE9:AE40">M9+Y9+AB9</f>
        <v>10.4</v>
      </c>
      <c r="AF9" s="72">
        <f aca="true" t="shared" si="6" ref="AF9:AF40">N9+Z9+AC9</f>
        <v>8.299999999999999</v>
      </c>
      <c r="AG9" s="11">
        <f t="shared" si="1"/>
        <v>79.80769230769229</v>
      </c>
      <c r="AH9" s="72">
        <f aca="true" t="shared" si="7" ref="AH9:AH42">AE9-AF9</f>
        <v>2.1000000000000014</v>
      </c>
      <c r="AI9" s="18">
        <f aca="true" t="shared" si="8" ref="AI9:AI42">C9+AE9-AF9</f>
        <v>-10.299999999999999</v>
      </c>
    </row>
    <row r="10" spans="1:35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72"/>
      <c r="AF10" s="72"/>
      <c r="AG10" s="111"/>
      <c r="AH10" s="72"/>
      <c r="AI10" s="18"/>
    </row>
    <row r="11" spans="1:35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9" ref="L11:L19">K11/J11*100</f>
        <v>138.1818181818182</v>
      </c>
      <c r="M11" s="89">
        <f t="shared" si="3"/>
        <v>13.8</v>
      </c>
      <c r="N11" s="89">
        <f t="shared" si="4"/>
        <v>12.799999999999999</v>
      </c>
      <c r="O11" s="11">
        <f t="shared" si="2"/>
        <v>92.75362318840578</v>
      </c>
      <c r="P11" s="44">
        <v>6.2</v>
      </c>
      <c r="Q11" s="44">
        <v>6.8</v>
      </c>
      <c r="R11" s="11">
        <f aca="true" t="shared" si="10" ref="R11:R19">Q11/P11*100</f>
        <v>109.6774193548387</v>
      </c>
      <c r="S11" s="44">
        <v>3.7</v>
      </c>
      <c r="T11" s="44">
        <v>3.9</v>
      </c>
      <c r="U11" s="11">
        <f aca="true" t="shared" si="11" ref="U11:U19">T11/S11*100</f>
        <v>105.40540540540539</v>
      </c>
      <c r="V11" s="44">
        <v>6.2</v>
      </c>
      <c r="W11" s="44">
        <v>12.6</v>
      </c>
      <c r="X11" s="11">
        <f aca="true" t="shared" si="12" ref="X11:X19">W11/V11*100</f>
        <v>203.2258064516129</v>
      </c>
      <c r="Y11" s="89">
        <f aca="true" t="shared" si="13" ref="Y11:Y19">P11+S11+V11</f>
        <v>16.1</v>
      </c>
      <c r="Z11" s="89">
        <f aca="true" t="shared" si="14" ref="Z11:Z19">Q11+T11+W11</f>
        <v>23.299999999999997</v>
      </c>
      <c r="AA11" s="11">
        <f aca="true" t="shared" si="15" ref="AA11:AA19">Z11/Y11*100</f>
        <v>144.7204968944099</v>
      </c>
      <c r="AB11" s="44">
        <v>4.7</v>
      </c>
      <c r="AC11" s="44">
        <v>2.8</v>
      </c>
      <c r="AD11" s="11">
        <f aca="true" t="shared" si="16" ref="AD11:AD19">AC11/AB11*100</f>
        <v>59.57446808510638</v>
      </c>
      <c r="AE11" s="72">
        <f t="shared" si="5"/>
        <v>34.6</v>
      </c>
      <c r="AF11" s="72">
        <f t="shared" si="6"/>
        <v>38.89999999999999</v>
      </c>
      <c r="AG11" s="11">
        <f t="shared" si="1"/>
        <v>112.42774566473986</v>
      </c>
      <c r="AH11" s="72">
        <f t="shared" si="7"/>
        <v>-4.29999999999999</v>
      </c>
      <c r="AI11" s="18">
        <f t="shared" si="8"/>
        <v>-13.09999999999999</v>
      </c>
    </row>
    <row r="12" spans="1:35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9"/>
        <v>176.40449438202245</v>
      </c>
      <c r="M12" s="89">
        <f t="shared" si="3"/>
        <v>26.5</v>
      </c>
      <c r="N12" s="89">
        <f t="shared" si="4"/>
        <v>26</v>
      </c>
      <c r="O12" s="11">
        <f t="shared" si="2"/>
        <v>98.11320754716981</v>
      </c>
      <c r="P12" s="44">
        <v>8.9</v>
      </c>
      <c r="Q12" s="44">
        <v>3.1</v>
      </c>
      <c r="R12" s="11">
        <f t="shared" si="10"/>
        <v>34.831460674157306</v>
      </c>
      <c r="S12" s="44">
        <v>8.7</v>
      </c>
      <c r="T12" s="44">
        <v>2.2</v>
      </c>
      <c r="U12" s="11">
        <f t="shared" si="11"/>
        <v>25.287356321839084</v>
      </c>
      <c r="V12" s="44">
        <v>9.4</v>
      </c>
      <c r="W12" s="44">
        <v>21.5</v>
      </c>
      <c r="X12" s="11">
        <f t="shared" si="12"/>
        <v>228.72340425531914</v>
      </c>
      <c r="Y12" s="89">
        <f t="shared" si="13"/>
        <v>27</v>
      </c>
      <c r="Z12" s="89">
        <f t="shared" si="14"/>
        <v>26.8</v>
      </c>
      <c r="AA12" s="11">
        <f t="shared" si="15"/>
        <v>99.25925925925925</v>
      </c>
      <c r="AB12" s="44">
        <v>8.9</v>
      </c>
      <c r="AC12" s="44">
        <v>2.4</v>
      </c>
      <c r="AD12" s="11">
        <f t="shared" si="16"/>
        <v>26.96629213483146</v>
      </c>
      <c r="AE12" s="72">
        <f t="shared" si="5"/>
        <v>62.4</v>
      </c>
      <c r="AF12" s="72">
        <f t="shared" si="6"/>
        <v>55.199999999999996</v>
      </c>
      <c r="AG12" s="11">
        <f t="shared" si="1"/>
        <v>88.46153846153845</v>
      </c>
      <c r="AH12" s="72">
        <f t="shared" si="7"/>
        <v>7.200000000000003</v>
      </c>
      <c r="AI12" s="18">
        <f t="shared" si="8"/>
        <v>6.300000000000004</v>
      </c>
    </row>
    <row r="13" spans="1:35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17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9"/>
        <v>110.44776119402985</v>
      </c>
      <c r="M13" s="89">
        <f t="shared" si="3"/>
        <v>19.6</v>
      </c>
      <c r="N13" s="89">
        <f t="shared" si="4"/>
        <v>17.700000000000003</v>
      </c>
      <c r="O13" s="11">
        <f t="shared" si="2"/>
        <v>90.3061224489796</v>
      </c>
      <c r="P13" s="44">
        <v>6.8</v>
      </c>
      <c r="Q13" s="44">
        <v>5</v>
      </c>
      <c r="R13" s="11">
        <f t="shared" si="10"/>
        <v>73.52941176470588</v>
      </c>
      <c r="S13" s="44">
        <v>7.8</v>
      </c>
      <c r="T13" s="44">
        <v>5.6</v>
      </c>
      <c r="U13" s="11">
        <f t="shared" si="11"/>
        <v>71.7948717948718</v>
      </c>
      <c r="V13" s="44">
        <v>7.1</v>
      </c>
      <c r="W13" s="44">
        <v>6.8</v>
      </c>
      <c r="X13" s="11">
        <f t="shared" si="12"/>
        <v>95.77464788732395</v>
      </c>
      <c r="Y13" s="89">
        <f t="shared" si="13"/>
        <v>21.7</v>
      </c>
      <c r="Z13" s="89">
        <f t="shared" si="14"/>
        <v>17.4</v>
      </c>
      <c r="AA13" s="11">
        <f t="shared" si="15"/>
        <v>80.18433179723502</v>
      </c>
      <c r="AB13" s="44">
        <v>7.3</v>
      </c>
      <c r="AC13" s="44">
        <v>11.7</v>
      </c>
      <c r="AD13" s="11">
        <f t="shared" si="16"/>
        <v>160.27397260273972</v>
      </c>
      <c r="AE13" s="72">
        <f t="shared" si="5"/>
        <v>48.599999999999994</v>
      </c>
      <c r="AF13" s="72">
        <f t="shared" si="6"/>
        <v>46.8</v>
      </c>
      <c r="AG13" s="11">
        <f t="shared" si="1"/>
        <v>96.2962962962963</v>
      </c>
      <c r="AH13" s="72">
        <f t="shared" si="7"/>
        <v>1.7999999999999972</v>
      </c>
      <c r="AI13" s="18">
        <f t="shared" si="8"/>
        <v>9.699999999999996</v>
      </c>
    </row>
    <row r="14" spans="1:35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17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9"/>
        <v>164.10256410256412</v>
      </c>
      <c r="M14" s="89">
        <f t="shared" si="3"/>
        <v>7.5</v>
      </c>
      <c r="N14" s="89">
        <f t="shared" si="4"/>
        <v>9.7</v>
      </c>
      <c r="O14" s="11">
        <f t="shared" si="2"/>
        <v>129.33333333333331</v>
      </c>
      <c r="P14" s="44">
        <v>0.5</v>
      </c>
      <c r="Q14" s="44">
        <v>0.5</v>
      </c>
      <c r="R14" s="11">
        <f t="shared" si="10"/>
        <v>100</v>
      </c>
      <c r="S14" s="44">
        <v>3.5</v>
      </c>
      <c r="T14" s="44">
        <v>1.3</v>
      </c>
      <c r="U14" s="11">
        <f t="shared" si="11"/>
        <v>37.142857142857146</v>
      </c>
      <c r="V14" s="44">
        <v>3.2</v>
      </c>
      <c r="W14" s="44">
        <v>6.3</v>
      </c>
      <c r="X14" s="11">
        <f t="shared" si="12"/>
        <v>196.87499999999997</v>
      </c>
      <c r="Y14" s="89">
        <f t="shared" si="13"/>
        <v>7.2</v>
      </c>
      <c r="Z14" s="89">
        <f t="shared" si="14"/>
        <v>8.1</v>
      </c>
      <c r="AA14" s="11">
        <f t="shared" si="15"/>
        <v>112.5</v>
      </c>
      <c r="AB14" s="44">
        <v>3.2</v>
      </c>
      <c r="AC14" s="44">
        <v>0.4</v>
      </c>
      <c r="AD14" s="11">
        <f t="shared" si="16"/>
        <v>12.5</v>
      </c>
      <c r="AE14" s="72">
        <f t="shared" si="5"/>
        <v>17.9</v>
      </c>
      <c r="AF14" s="72">
        <f t="shared" si="6"/>
        <v>18.199999999999996</v>
      </c>
      <c r="AG14" s="11">
        <f t="shared" si="1"/>
        <v>101.67597765363128</v>
      </c>
      <c r="AH14" s="72">
        <f t="shared" si="7"/>
        <v>-0.29999999999999716</v>
      </c>
      <c r="AI14" s="18">
        <f t="shared" si="8"/>
        <v>-3.9999999999999964</v>
      </c>
    </row>
    <row r="15" spans="1:35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17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9"/>
        <v>158.24175824175825</v>
      </c>
      <c r="M15" s="89">
        <f t="shared" si="3"/>
        <v>21.799999999999997</v>
      </c>
      <c r="N15" s="89">
        <f t="shared" si="4"/>
        <v>23.3</v>
      </c>
      <c r="O15" s="11">
        <f t="shared" si="2"/>
        <v>106.88073394495414</v>
      </c>
      <c r="P15" s="44">
        <v>6.4</v>
      </c>
      <c r="Q15" s="44">
        <v>7.6</v>
      </c>
      <c r="R15" s="11">
        <f t="shared" si="10"/>
        <v>118.74999999999997</v>
      </c>
      <c r="S15" s="44">
        <v>12.6</v>
      </c>
      <c r="T15" s="44">
        <v>8.2</v>
      </c>
      <c r="U15" s="11">
        <f t="shared" si="11"/>
        <v>65.07936507936508</v>
      </c>
      <c r="V15" s="44">
        <v>13.9</v>
      </c>
      <c r="W15" s="44">
        <v>15.8</v>
      </c>
      <c r="X15" s="11">
        <f t="shared" si="12"/>
        <v>113.66906474820144</v>
      </c>
      <c r="Y15" s="89">
        <f t="shared" si="13"/>
        <v>32.9</v>
      </c>
      <c r="Z15" s="89">
        <f t="shared" si="14"/>
        <v>31.6</v>
      </c>
      <c r="AA15" s="11">
        <f t="shared" si="15"/>
        <v>96.048632218845</v>
      </c>
      <c r="AB15" s="44">
        <v>11.2</v>
      </c>
      <c r="AC15" s="44">
        <v>12.2</v>
      </c>
      <c r="AD15" s="11">
        <f t="shared" si="16"/>
        <v>108.92857142857142</v>
      </c>
      <c r="AE15" s="72">
        <f t="shared" si="5"/>
        <v>65.89999999999999</v>
      </c>
      <c r="AF15" s="72">
        <f t="shared" si="6"/>
        <v>67.10000000000001</v>
      </c>
      <c r="AG15" s="11">
        <f t="shared" si="1"/>
        <v>101.82094081942338</v>
      </c>
      <c r="AH15" s="72">
        <f t="shared" si="7"/>
        <v>-1.200000000000017</v>
      </c>
      <c r="AI15" s="18">
        <f t="shared" si="8"/>
        <v>3.299999999999983</v>
      </c>
    </row>
    <row r="16" spans="1:35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17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9"/>
        <v>133.33333333333334</v>
      </c>
      <c r="M16" s="89">
        <f t="shared" si="3"/>
        <v>3.6000000000000005</v>
      </c>
      <c r="N16" s="89">
        <f t="shared" si="4"/>
        <v>2.7</v>
      </c>
      <c r="O16" s="11">
        <f t="shared" si="2"/>
        <v>74.99999999999999</v>
      </c>
      <c r="P16" s="44">
        <v>1.3</v>
      </c>
      <c r="Q16" s="44">
        <v>1.1</v>
      </c>
      <c r="R16" s="11">
        <f t="shared" si="10"/>
        <v>84.61538461538461</v>
      </c>
      <c r="S16" s="44">
        <v>1.3</v>
      </c>
      <c r="T16" s="44">
        <v>1</v>
      </c>
      <c r="U16" s="11">
        <f t="shared" si="11"/>
        <v>76.92307692307692</v>
      </c>
      <c r="V16" s="44">
        <v>1.2</v>
      </c>
      <c r="W16" s="44">
        <v>1.4</v>
      </c>
      <c r="X16" s="11">
        <f t="shared" si="12"/>
        <v>116.66666666666667</v>
      </c>
      <c r="Y16" s="89">
        <f t="shared" si="13"/>
        <v>3.8</v>
      </c>
      <c r="Z16" s="89">
        <f t="shared" si="14"/>
        <v>3.5</v>
      </c>
      <c r="AA16" s="11">
        <f t="shared" si="15"/>
        <v>92.10526315789474</v>
      </c>
      <c r="AB16" s="44">
        <v>0.9</v>
      </c>
      <c r="AC16" s="44">
        <v>1</v>
      </c>
      <c r="AD16" s="11">
        <f t="shared" si="16"/>
        <v>111.11111111111111</v>
      </c>
      <c r="AE16" s="72">
        <f t="shared" si="5"/>
        <v>8.3</v>
      </c>
      <c r="AF16" s="72">
        <f t="shared" si="6"/>
        <v>7.2</v>
      </c>
      <c r="AG16" s="11">
        <f t="shared" si="1"/>
        <v>86.74698795180721</v>
      </c>
      <c r="AH16" s="72">
        <f t="shared" si="7"/>
        <v>1.1000000000000005</v>
      </c>
      <c r="AI16" s="18">
        <f t="shared" si="8"/>
        <v>1.1000000000000005</v>
      </c>
    </row>
    <row r="17" spans="1:35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17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f>0.2+0.6</f>
        <v>0.8</v>
      </c>
      <c r="K17" s="44">
        <f>0.2+0.6</f>
        <v>0.8</v>
      </c>
      <c r="L17" s="11">
        <f t="shared" si="9"/>
        <v>100</v>
      </c>
      <c r="M17" s="89">
        <f t="shared" si="3"/>
        <v>1.9000000000000001</v>
      </c>
      <c r="N17" s="89">
        <f t="shared" si="4"/>
        <v>1.7000000000000002</v>
      </c>
      <c r="O17" s="11">
        <f t="shared" si="2"/>
        <v>89.47368421052632</v>
      </c>
      <c r="P17" s="44">
        <f>0.6+0.2</f>
        <v>0.8</v>
      </c>
      <c r="Q17" s="44">
        <f>0.6+0.1</f>
        <v>0.7</v>
      </c>
      <c r="R17" s="11">
        <f t="shared" si="10"/>
        <v>87.49999999999999</v>
      </c>
      <c r="S17" s="44">
        <v>0.7</v>
      </c>
      <c r="T17" s="44">
        <v>0.9</v>
      </c>
      <c r="U17" s="11">
        <f t="shared" si="11"/>
        <v>128.57142857142858</v>
      </c>
      <c r="V17" s="44">
        <f>0.2+0.6</f>
        <v>0.8</v>
      </c>
      <c r="W17" s="44">
        <f>0.2+0.6</f>
        <v>0.8</v>
      </c>
      <c r="X17" s="11">
        <f t="shared" si="12"/>
        <v>100</v>
      </c>
      <c r="Y17" s="89">
        <f t="shared" si="13"/>
        <v>2.3</v>
      </c>
      <c r="Z17" s="89">
        <f t="shared" si="14"/>
        <v>2.4000000000000004</v>
      </c>
      <c r="AA17" s="11">
        <f t="shared" si="15"/>
        <v>104.34782608695654</v>
      </c>
      <c r="AB17" s="44">
        <v>0.7</v>
      </c>
      <c r="AC17" s="44">
        <v>0.6</v>
      </c>
      <c r="AD17" s="11">
        <f t="shared" si="16"/>
        <v>85.71428571428572</v>
      </c>
      <c r="AE17" s="72">
        <f t="shared" si="5"/>
        <v>4.9</v>
      </c>
      <c r="AF17" s="72">
        <f t="shared" si="6"/>
        <v>4.7</v>
      </c>
      <c r="AG17" s="11">
        <f t="shared" si="1"/>
        <v>95.91836734693877</v>
      </c>
      <c r="AH17" s="72">
        <f t="shared" si="7"/>
        <v>0.20000000000000018</v>
      </c>
      <c r="AI17" s="18">
        <f t="shared" si="8"/>
        <v>0.10000000000000053</v>
      </c>
    </row>
    <row r="18" spans="1:35" s="138" customFormat="1" ht="24.75" customHeight="1">
      <c r="A18" s="131" t="s">
        <v>23</v>
      </c>
      <c r="B18" s="132" t="s">
        <v>100</v>
      </c>
      <c r="C18" s="133">
        <v>1.5</v>
      </c>
      <c r="D18" s="134">
        <v>2.8</v>
      </c>
      <c r="E18" s="134">
        <v>1.4</v>
      </c>
      <c r="F18" s="135">
        <f t="shared" si="17"/>
        <v>50</v>
      </c>
      <c r="G18" s="134">
        <v>3.4</v>
      </c>
      <c r="H18" s="134">
        <v>1.3</v>
      </c>
      <c r="I18" s="135">
        <f t="shared" si="0"/>
        <v>38.235294117647065</v>
      </c>
      <c r="J18" s="134">
        <v>3.6</v>
      </c>
      <c r="K18" s="134">
        <v>6.5</v>
      </c>
      <c r="L18" s="135">
        <f t="shared" si="9"/>
        <v>180.55555555555557</v>
      </c>
      <c r="M18" s="89">
        <f t="shared" si="3"/>
        <v>9.799999999999999</v>
      </c>
      <c r="N18" s="89">
        <f t="shared" si="4"/>
        <v>9.2</v>
      </c>
      <c r="O18" s="11">
        <f t="shared" si="2"/>
        <v>93.87755102040816</v>
      </c>
      <c r="P18" s="134">
        <v>3</v>
      </c>
      <c r="Q18" s="134">
        <v>2.8</v>
      </c>
      <c r="R18" s="135">
        <f t="shared" si="10"/>
        <v>93.33333333333333</v>
      </c>
      <c r="S18" s="134">
        <v>3.5</v>
      </c>
      <c r="T18" s="134">
        <v>3.9</v>
      </c>
      <c r="U18" s="135">
        <f t="shared" si="11"/>
        <v>111.42857142857143</v>
      </c>
      <c r="V18" s="134">
        <v>2.5</v>
      </c>
      <c r="W18" s="134">
        <v>2.8</v>
      </c>
      <c r="X18" s="135">
        <f t="shared" si="12"/>
        <v>111.99999999999999</v>
      </c>
      <c r="Y18" s="89">
        <f t="shared" si="13"/>
        <v>9</v>
      </c>
      <c r="Z18" s="89">
        <f t="shared" si="14"/>
        <v>9.5</v>
      </c>
      <c r="AA18" s="11">
        <f t="shared" si="15"/>
        <v>105.55555555555556</v>
      </c>
      <c r="AB18" s="134">
        <v>3.3</v>
      </c>
      <c r="AC18" s="134">
        <v>2.7</v>
      </c>
      <c r="AD18" s="135">
        <f t="shared" si="16"/>
        <v>81.81818181818183</v>
      </c>
      <c r="AE18" s="72">
        <f t="shared" si="5"/>
        <v>22.099999999999998</v>
      </c>
      <c r="AF18" s="72">
        <f t="shared" si="6"/>
        <v>21.4</v>
      </c>
      <c r="AG18" s="135">
        <f t="shared" si="1"/>
        <v>96.83257918552036</v>
      </c>
      <c r="AH18" s="136">
        <f t="shared" si="7"/>
        <v>0.6999999999999993</v>
      </c>
      <c r="AI18" s="137">
        <f t="shared" si="8"/>
        <v>2.1999999999999993</v>
      </c>
    </row>
    <row r="19" spans="1:35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9"/>
        <v>151.21951219512198</v>
      </c>
      <c r="M19" s="89">
        <f t="shared" si="3"/>
        <v>13</v>
      </c>
      <c r="N19" s="89">
        <f t="shared" si="4"/>
        <v>9.4</v>
      </c>
      <c r="O19" s="11">
        <f t="shared" si="2"/>
        <v>72.3076923076923</v>
      </c>
      <c r="P19" s="44">
        <v>4.3</v>
      </c>
      <c r="Q19" s="44">
        <v>4.2</v>
      </c>
      <c r="R19" s="140">
        <f t="shared" si="10"/>
        <v>97.67441860465117</v>
      </c>
      <c r="S19" s="44">
        <v>4.8</v>
      </c>
      <c r="T19" s="44">
        <v>5</v>
      </c>
      <c r="U19" s="140">
        <f t="shared" si="11"/>
        <v>104.16666666666667</v>
      </c>
      <c r="V19" s="44">
        <v>7.5</v>
      </c>
      <c r="W19" s="44">
        <v>5.1</v>
      </c>
      <c r="X19" s="140">
        <f t="shared" si="12"/>
        <v>68</v>
      </c>
      <c r="Y19" s="89">
        <f t="shared" si="13"/>
        <v>16.6</v>
      </c>
      <c r="Z19" s="89">
        <f t="shared" si="14"/>
        <v>14.299999999999999</v>
      </c>
      <c r="AA19" s="11">
        <f t="shared" si="15"/>
        <v>86.14457831325299</v>
      </c>
      <c r="AB19" s="44">
        <v>6.7</v>
      </c>
      <c r="AC19" s="44">
        <v>6.1</v>
      </c>
      <c r="AD19" s="140">
        <f t="shared" si="16"/>
        <v>91.04477611940298</v>
      </c>
      <c r="AE19" s="72">
        <f t="shared" si="5"/>
        <v>36.300000000000004</v>
      </c>
      <c r="AF19" s="72">
        <f t="shared" si="6"/>
        <v>29.799999999999997</v>
      </c>
      <c r="AG19" s="11">
        <f t="shared" si="1"/>
        <v>82.09366391184571</v>
      </c>
      <c r="AH19" s="72">
        <f t="shared" si="7"/>
        <v>6.500000000000007</v>
      </c>
      <c r="AI19" s="18">
        <f t="shared" si="8"/>
        <v>8.300000000000004</v>
      </c>
    </row>
    <row r="20" spans="1:35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0"/>
      <c r="S20" s="44"/>
      <c r="T20" s="44"/>
      <c r="U20" s="140"/>
      <c r="V20" s="44"/>
      <c r="W20" s="44"/>
      <c r="X20" s="140"/>
      <c r="Y20" s="89"/>
      <c r="Z20" s="89"/>
      <c r="AA20" s="11"/>
      <c r="AB20" s="44"/>
      <c r="AC20" s="44"/>
      <c r="AD20" s="140"/>
      <c r="AE20" s="72"/>
      <c r="AF20" s="72"/>
      <c r="AG20" s="111"/>
      <c r="AH20" s="72"/>
      <c r="AI20" s="18"/>
    </row>
    <row r="21" spans="1:35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18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3"/>
        <v>0.7</v>
      </c>
      <c r="N21" s="89">
        <f t="shared" si="4"/>
        <v>0.7</v>
      </c>
      <c r="O21" s="11">
        <f t="shared" si="2"/>
        <v>100</v>
      </c>
      <c r="P21" s="44">
        <v>0.2</v>
      </c>
      <c r="Q21" s="44">
        <v>0.2</v>
      </c>
      <c r="R21" s="140">
        <f>Q21/P21*100</f>
        <v>100</v>
      </c>
      <c r="S21" s="44">
        <v>1</v>
      </c>
      <c r="T21" s="44">
        <v>1</v>
      </c>
      <c r="U21" s="140">
        <f>T21/S21*100</f>
        <v>100</v>
      </c>
      <c r="V21" s="44">
        <v>0.3</v>
      </c>
      <c r="W21" s="44">
        <v>0.3</v>
      </c>
      <c r="X21" s="140">
        <f>W21/V21*100</f>
        <v>100</v>
      </c>
      <c r="Y21" s="89">
        <f aca="true" t="shared" si="19" ref="Y21:Z25">P21+S21+V21</f>
        <v>1.5</v>
      </c>
      <c r="Z21" s="89">
        <f t="shared" si="19"/>
        <v>1.5</v>
      </c>
      <c r="AA21" s="11">
        <f>Z21/Y21*100</f>
        <v>100</v>
      </c>
      <c r="AB21" s="44">
        <v>0.6</v>
      </c>
      <c r="AC21" s="44">
        <v>0.6</v>
      </c>
      <c r="AD21" s="140">
        <f>AC21/AB21*100</f>
        <v>100</v>
      </c>
      <c r="AE21" s="72">
        <f t="shared" si="5"/>
        <v>2.8000000000000003</v>
      </c>
      <c r="AF21" s="72">
        <f t="shared" si="6"/>
        <v>2.8000000000000003</v>
      </c>
      <c r="AG21" s="11">
        <f t="shared" si="1"/>
        <v>100</v>
      </c>
      <c r="AH21" s="72">
        <f t="shared" si="7"/>
        <v>0</v>
      </c>
      <c r="AI21" s="18">
        <f t="shared" si="8"/>
        <v>0</v>
      </c>
    </row>
    <row r="22" spans="1:35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18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3"/>
        <v>12.200000000000001</v>
      </c>
      <c r="N22" s="89">
        <f t="shared" si="4"/>
        <v>12.200000000000001</v>
      </c>
      <c r="O22" s="11">
        <f t="shared" si="2"/>
        <v>100</v>
      </c>
      <c r="P22" s="44">
        <v>8.1</v>
      </c>
      <c r="Q22" s="44">
        <v>8.1</v>
      </c>
      <c r="R22" s="140">
        <f>Q22/P22*100</f>
        <v>100</v>
      </c>
      <c r="S22" s="44">
        <v>4.5</v>
      </c>
      <c r="T22" s="44">
        <v>1.4</v>
      </c>
      <c r="U22" s="140">
        <f>T22/S22*100</f>
        <v>31.11111111111111</v>
      </c>
      <c r="V22" s="44">
        <v>0.3</v>
      </c>
      <c r="W22" s="44">
        <v>3.1</v>
      </c>
      <c r="X22" s="140">
        <f>W22/V22*100</f>
        <v>1033.3333333333335</v>
      </c>
      <c r="Y22" s="89">
        <f t="shared" si="19"/>
        <v>12.9</v>
      </c>
      <c r="Z22" s="89">
        <f t="shared" si="19"/>
        <v>12.6</v>
      </c>
      <c r="AA22" s="11">
        <f>Z22/Y22*100</f>
        <v>97.67441860465115</v>
      </c>
      <c r="AB22" s="44">
        <v>3.7</v>
      </c>
      <c r="AC22" s="44">
        <v>4</v>
      </c>
      <c r="AD22" s="140">
        <f>AC22/AB22*100</f>
        <v>108.1081081081081</v>
      </c>
      <c r="AE22" s="72">
        <f t="shared" si="5"/>
        <v>28.8</v>
      </c>
      <c r="AF22" s="72">
        <f t="shared" si="6"/>
        <v>28.8</v>
      </c>
      <c r="AG22" s="11">
        <f t="shared" si="1"/>
        <v>100</v>
      </c>
      <c r="AH22" s="72">
        <f t="shared" si="7"/>
        <v>0</v>
      </c>
      <c r="AI22" s="18">
        <f t="shared" si="8"/>
        <v>0</v>
      </c>
    </row>
    <row r="23" spans="1:35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18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3"/>
        <v>2.5</v>
      </c>
      <c r="N23" s="89">
        <f t="shared" si="4"/>
        <v>2.5</v>
      </c>
      <c r="O23" s="11">
        <f t="shared" si="2"/>
        <v>100</v>
      </c>
      <c r="P23" s="44">
        <v>0.8</v>
      </c>
      <c r="Q23" s="44">
        <v>0.2</v>
      </c>
      <c r="R23" s="11">
        <f>Q23/P23*100</f>
        <v>25</v>
      </c>
      <c r="S23" s="44">
        <v>0.8</v>
      </c>
      <c r="T23" s="44">
        <v>1.4</v>
      </c>
      <c r="U23" s="11">
        <f>T23/S23*100</f>
        <v>174.99999999999997</v>
      </c>
      <c r="V23" s="44">
        <v>0.8</v>
      </c>
      <c r="W23" s="44">
        <v>0.8</v>
      </c>
      <c r="X23" s="11">
        <f>W23/V23*100</f>
        <v>100</v>
      </c>
      <c r="Y23" s="89">
        <f t="shared" si="19"/>
        <v>2.4000000000000004</v>
      </c>
      <c r="Z23" s="89">
        <f t="shared" si="19"/>
        <v>2.4</v>
      </c>
      <c r="AA23" s="11">
        <f>Z23/Y23*100</f>
        <v>99.99999999999997</v>
      </c>
      <c r="AB23" s="44">
        <v>0.8</v>
      </c>
      <c r="AC23" s="44">
        <v>0.5</v>
      </c>
      <c r="AD23" s="11">
        <f>AC23/AB23*100</f>
        <v>62.5</v>
      </c>
      <c r="AE23" s="72">
        <f t="shared" si="5"/>
        <v>5.7</v>
      </c>
      <c r="AF23" s="72">
        <f t="shared" si="6"/>
        <v>5.4</v>
      </c>
      <c r="AG23" s="11">
        <f t="shared" si="1"/>
        <v>94.73684210526316</v>
      </c>
      <c r="AH23" s="72">
        <f t="shared" si="7"/>
        <v>0.2999999999999998</v>
      </c>
      <c r="AI23" s="18">
        <f t="shared" si="8"/>
        <v>0.2999999999999998</v>
      </c>
    </row>
    <row r="24" spans="1:35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18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3"/>
        <v>26.6</v>
      </c>
      <c r="N24" s="89">
        <f t="shared" si="4"/>
        <v>23.5</v>
      </c>
      <c r="O24" s="11">
        <f t="shared" si="2"/>
        <v>88.34586466165413</v>
      </c>
      <c r="P24" s="44">
        <v>7.9</v>
      </c>
      <c r="Q24" s="44">
        <v>8.8</v>
      </c>
      <c r="R24" s="11">
        <f>Q24/P24*100</f>
        <v>111.39240506329114</v>
      </c>
      <c r="S24" s="44">
        <v>7.6</v>
      </c>
      <c r="T24" s="44">
        <v>6.6</v>
      </c>
      <c r="U24" s="11">
        <f>T24/S24*100</f>
        <v>86.8421052631579</v>
      </c>
      <c r="V24" s="44">
        <v>10.8</v>
      </c>
      <c r="W24" s="44">
        <v>11</v>
      </c>
      <c r="X24" s="11">
        <f>W24/V24*100</f>
        <v>101.85185185185183</v>
      </c>
      <c r="Y24" s="89">
        <f t="shared" si="19"/>
        <v>26.3</v>
      </c>
      <c r="Z24" s="89">
        <f t="shared" si="19"/>
        <v>26.4</v>
      </c>
      <c r="AA24" s="11">
        <f>Z24/Y24*100</f>
        <v>100.38022813688212</v>
      </c>
      <c r="AB24" s="44">
        <v>7.5</v>
      </c>
      <c r="AC24" s="44">
        <v>7.3</v>
      </c>
      <c r="AD24" s="11">
        <f>AC24/AB24*100</f>
        <v>97.33333333333333</v>
      </c>
      <c r="AE24" s="72">
        <f t="shared" si="5"/>
        <v>60.400000000000006</v>
      </c>
      <c r="AF24" s="72">
        <f t="shared" si="6"/>
        <v>57.199999999999996</v>
      </c>
      <c r="AG24" s="11">
        <f t="shared" si="1"/>
        <v>94.70198675496687</v>
      </c>
      <c r="AH24" s="72">
        <f t="shared" si="7"/>
        <v>3.20000000000001</v>
      </c>
      <c r="AI24" s="18">
        <f t="shared" si="8"/>
        <v>3.500000000000007</v>
      </c>
    </row>
    <row r="25" spans="1:35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18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3"/>
        <v>16.2</v>
      </c>
      <c r="N25" s="89">
        <f t="shared" si="4"/>
        <v>9.3</v>
      </c>
      <c r="O25" s="11">
        <f t="shared" si="2"/>
        <v>57.40740740740742</v>
      </c>
      <c r="P25" s="44">
        <v>5</v>
      </c>
      <c r="Q25" s="44">
        <v>3.1</v>
      </c>
      <c r="R25" s="11">
        <f>Q25/P25*100</f>
        <v>62</v>
      </c>
      <c r="S25" s="44">
        <v>7.2</v>
      </c>
      <c r="T25" s="44">
        <v>8.6</v>
      </c>
      <c r="U25" s="11">
        <f>T25/S25*100</f>
        <v>119.44444444444444</v>
      </c>
      <c r="V25" s="44">
        <v>8.8</v>
      </c>
      <c r="W25" s="44">
        <v>8.2</v>
      </c>
      <c r="X25" s="11">
        <f>W25/V25*100</f>
        <v>93.18181818181816</v>
      </c>
      <c r="Y25" s="89">
        <f t="shared" si="19"/>
        <v>21</v>
      </c>
      <c r="Z25" s="89">
        <f t="shared" si="19"/>
        <v>19.9</v>
      </c>
      <c r="AA25" s="11">
        <f>Z25/Y25*100</f>
        <v>94.76190476190476</v>
      </c>
      <c r="AB25" s="44">
        <v>7.1</v>
      </c>
      <c r="AC25" s="44">
        <v>9.5</v>
      </c>
      <c r="AD25" s="11">
        <f>AC25/AB25*100</f>
        <v>133.80281690140845</v>
      </c>
      <c r="AE25" s="72">
        <f t="shared" si="5"/>
        <v>44.300000000000004</v>
      </c>
      <c r="AF25" s="72">
        <f t="shared" si="6"/>
        <v>38.7</v>
      </c>
      <c r="AG25" s="11">
        <f t="shared" si="1"/>
        <v>87.3589164785553</v>
      </c>
      <c r="AH25" s="72">
        <f t="shared" si="7"/>
        <v>5.600000000000001</v>
      </c>
      <c r="AI25" s="18">
        <f t="shared" si="8"/>
        <v>7.100000000000001</v>
      </c>
    </row>
    <row r="26" spans="1:35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44"/>
      <c r="W26" s="44"/>
      <c r="X26" s="111"/>
      <c r="Y26" s="89"/>
      <c r="Z26" s="89"/>
      <c r="AA26" s="11"/>
      <c r="AB26" s="44"/>
      <c r="AC26" s="44"/>
      <c r="AD26" s="111"/>
      <c r="AE26" s="72"/>
      <c r="AF26" s="72"/>
      <c r="AG26" s="111"/>
      <c r="AH26" s="72"/>
      <c r="AI26" s="18"/>
    </row>
    <row r="27" spans="1:35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44"/>
      <c r="W27" s="44"/>
      <c r="X27" s="113"/>
      <c r="Y27" s="89"/>
      <c r="Z27" s="89"/>
      <c r="AA27" s="11"/>
      <c r="AB27" s="44"/>
      <c r="AC27" s="44"/>
      <c r="AD27" s="113"/>
      <c r="AE27" s="72"/>
      <c r="AF27" s="72"/>
      <c r="AG27" s="11"/>
      <c r="AH27" s="72"/>
      <c r="AI27" s="18"/>
    </row>
    <row r="28" spans="1:35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18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20" ref="L28:L43">K28/J28*100</f>
        <v>47.05882352941177</v>
      </c>
      <c r="M28" s="89">
        <f t="shared" si="3"/>
        <v>13.5</v>
      </c>
      <c r="N28" s="89">
        <f t="shared" si="4"/>
        <v>10.2</v>
      </c>
      <c r="O28" s="11">
        <f t="shared" si="2"/>
        <v>75.55555555555556</v>
      </c>
      <c r="P28" s="44">
        <v>4.4</v>
      </c>
      <c r="Q28" s="44">
        <v>6.2</v>
      </c>
      <c r="R28" s="140">
        <f>Q28/P28*100</f>
        <v>140.9090909090909</v>
      </c>
      <c r="S28" s="44">
        <v>4</v>
      </c>
      <c r="T28" s="44">
        <v>3</v>
      </c>
      <c r="U28" s="140">
        <f>T28/S28*100</f>
        <v>75</v>
      </c>
      <c r="V28" s="44">
        <v>5</v>
      </c>
      <c r="W28" s="44">
        <v>6.6</v>
      </c>
      <c r="X28" s="140">
        <f>W28/V28*100</f>
        <v>131.99999999999997</v>
      </c>
      <c r="Y28" s="89">
        <f>P28+S28+V28</f>
        <v>13.4</v>
      </c>
      <c r="Z28" s="89">
        <f>Q28+T28+W28</f>
        <v>15.799999999999999</v>
      </c>
      <c r="AA28" s="11">
        <f>Z28/Y28*100</f>
        <v>117.91044776119402</v>
      </c>
      <c r="AB28" s="44">
        <v>4.7</v>
      </c>
      <c r="AC28" s="44">
        <v>1.3</v>
      </c>
      <c r="AD28" s="140">
        <f>AC28/AB28*100</f>
        <v>27.659574468085108</v>
      </c>
      <c r="AE28" s="72">
        <f t="shared" si="5"/>
        <v>31.599999999999998</v>
      </c>
      <c r="AF28" s="72">
        <f t="shared" si="6"/>
        <v>27.3</v>
      </c>
      <c r="AG28" s="11">
        <f t="shared" si="1"/>
        <v>86.39240506329115</v>
      </c>
      <c r="AH28" s="72">
        <f t="shared" si="7"/>
        <v>4.299999999999997</v>
      </c>
      <c r="AI28" s="18">
        <f t="shared" si="8"/>
        <v>5.9999999999999964</v>
      </c>
    </row>
    <row r="29" spans="1:35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7"/>
      <c r="W29" s="77"/>
      <c r="X29" s="75"/>
      <c r="Y29" s="89"/>
      <c r="Z29" s="89"/>
      <c r="AA29" s="11"/>
      <c r="AB29" s="77"/>
      <c r="AC29" s="77"/>
      <c r="AD29" s="75"/>
      <c r="AE29" s="72"/>
      <c r="AF29" s="72"/>
      <c r="AG29" s="77"/>
      <c r="AH29" s="77"/>
      <c r="AI29" s="77"/>
    </row>
    <row r="30" spans="1:35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20"/>
        <v>100</v>
      </c>
      <c r="M30" s="89">
        <f t="shared" si="3"/>
        <v>4.4</v>
      </c>
      <c r="N30" s="89">
        <f t="shared" si="4"/>
        <v>3.0999999999999996</v>
      </c>
      <c r="O30" s="11">
        <f t="shared" si="2"/>
        <v>70.45454545454544</v>
      </c>
      <c r="P30" s="44">
        <v>2.4</v>
      </c>
      <c r="Q30" s="44">
        <v>1.7</v>
      </c>
      <c r="R30" s="140">
        <f aca="true" t="shared" si="21" ref="R30:R43">Q30/P30*100</f>
        <v>70.83333333333334</v>
      </c>
      <c r="S30" s="44">
        <v>1.8</v>
      </c>
      <c r="T30" s="44">
        <v>1</v>
      </c>
      <c r="U30" s="140">
        <f aca="true" t="shared" si="22" ref="U30:U43">T30/S30*100</f>
        <v>55.55555555555556</v>
      </c>
      <c r="V30" s="44">
        <v>2.3</v>
      </c>
      <c r="W30" s="44">
        <v>1.8</v>
      </c>
      <c r="X30" s="140">
        <f aca="true" t="shared" si="23" ref="X30:X43">W30/V30*100</f>
        <v>78.26086956521739</v>
      </c>
      <c r="Y30" s="89">
        <f aca="true" t="shared" si="24" ref="Y30:Y40">P30+S30+V30</f>
        <v>6.5</v>
      </c>
      <c r="Z30" s="89">
        <f aca="true" t="shared" si="25" ref="Z30:Z40">Q30+T30+W30</f>
        <v>4.5</v>
      </c>
      <c r="AA30" s="11">
        <f aca="true" t="shared" si="26" ref="AA30:AA43">Z30/Y30*100</f>
        <v>69.23076923076923</v>
      </c>
      <c r="AB30" s="44">
        <v>2.2</v>
      </c>
      <c r="AC30" s="44">
        <v>2.2</v>
      </c>
      <c r="AD30" s="140">
        <f aca="true" t="shared" si="27" ref="AD30:AD43">AC30/AB30*100</f>
        <v>100</v>
      </c>
      <c r="AE30" s="72">
        <f t="shared" si="5"/>
        <v>13.100000000000001</v>
      </c>
      <c r="AF30" s="72">
        <f t="shared" si="6"/>
        <v>9.8</v>
      </c>
      <c r="AG30" s="11">
        <f t="shared" si="1"/>
        <v>74.80916030534351</v>
      </c>
      <c r="AH30" s="72">
        <f t="shared" si="7"/>
        <v>3.3000000000000007</v>
      </c>
      <c r="AI30" s="18">
        <f t="shared" si="8"/>
        <v>1.1000000000000014</v>
      </c>
    </row>
    <row r="31" spans="1:35" ht="24.75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20"/>
        <v>150</v>
      </c>
      <c r="M31" s="89">
        <f t="shared" si="3"/>
        <v>5</v>
      </c>
      <c r="N31" s="89">
        <f t="shared" si="4"/>
        <v>4.6</v>
      </c>
      <c r="O31" s="11">
        <f t="shared" si="2"/>
        <v>92</v>
      </c>
      <c r="P31" s="44">
        <v>1.5</v>
      </c>
      <c r="Q31" s="44">
        <v>1.8</v>
      </c>
      <c r="R31" s="11">
        <f t="shared" si="21"/>
        <v>120</v>
      </c>
      <c r="S31" s="44">
        <v>1.3</v>
      </c>
      <c r="T31" s="44">
        <v>1.5</v>
      </c>
      <c r="U31" s="11">
        <f t="shared" si="22"/>
        <v>115.38461538461537</v>
      </c>
      <c r="V31" s="44">
        <v>1.3</v>
      </c>
      <c r="W31" s="44">
        <v>1.8</v>
      </c>
      <c r="X31" s="11">
        <f t="shared" si="23"/>
        <v>138.46153846153845</v>
      </c>
      <c r="Y31" s="89">
        <f t="shared" si="24"/>
        <v>4.1</v>
      </c>
      <c r="Z31" s="89">
        <f t="shared" si="25"/>
        <v>5.1</v>
      </c>
      <c r="AA31" s="11">
        <f t="shared" si="26"/>
        <v>124.39024390243902</v>
      </c>
      <c r="AB31" s="44">
        <v>1.2</v>
      </c>
      <c r="AC31" s="44">
        <v>1.3</v>
      </c>
      <c r="AD31" s="11">
        <f t="shared" si="27"/>
        <v>108.33333333333334</v>
      </c>
      <c r="AE31" s="72">
        <f t="shared" si="5"/>
        <v>10.299999999999999</v>
      </c>
      <c r="AF31" s="72">
        <f t="shared" si="6"/>
        <v>11</v>
      </c>
      <c r="AG31" s="11">
        <f t="shared" si="1"/>
        <v>106.79611650485438</v>
      </c>
      <c r="AH31" s="72">
        <f t="shared" si="7"/>
        <v>-0.7000000000000011</v>
      </c>
      <c r="AI31" s="18">
        <f t="shared" si="8"/>
        <v>-0.9000000000000004</v>
      </c>
    </row>
    <row r="32" spans="1:35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20"/>
        <v>195.21186440677965</v>
      </c>
      <c r="M32" s="89">
        <f t="shared" si="3"/>
        <v>703.3</v>
      </c>
      <c r="N32" s="89">
        <f t="shared" si="4"/>
        <v>481.8</v>
      </c>
      <c r="O32" s="11">
        <f t="shared" si="2"/>
        <v>68.50561637992323</v>
      </c>
      <c r="P32" s="44">
        <v>229.6</v>
      </c>
      <c r="Q32" s="44">
        <v>234.4</v>
      </c>
      <c r="R32" s="11">
        <f t="shared" si="21"/>
        <v>102.09059233449477</v>
      </c>
      <c r="S32" s="44">
        <v>214</v>
      </c>
      <c r="T32" s="44">
        <v>21.3</v>
      </c>
      <c r="U32" s="11">
        <f t="shared" si="22"/>
        <v>9.953271028037383</v>
      </c>
      <c r="V32" s="44">
        <v>197.6</v>
      </c>
      <c r="W32" s="44">
        <v>19.8</v>
      </c>
      <c r="X32" s="11">
        <f t="shared" si="23"/>
        <v>10.020242914979757</v>
      </c>
      <c r="Y32" s="89">
        <f t="shared" si="24"/>
        <v>641.2</v>
      </c>
      <c r="Z32" s="89">
        <f t="shared" si="25"/>
        <v>275.5</v>
      </c>
      <c r="AA32" s="11">
        <f t="shared" si="26"/>
        <v>42.96631316281971</v>
      </c>
      <c r="AB32" s="44">
        <v>176.6</v>
      </c>
      <c r="AC32" s="44">
        <v>42.4</v>
      </c>
      <c r="AD32" s="11">
        <f t="shared" si="27"/>
        <v>24.009060022650054</v>
      </c>
      <c r="AE32" s="72">
        <f t="shared" si="5"/>
        <v>1521.1</v>
      </c>
      <c r="AF32" s="72">
        <f t="shared" si="6"/>
        <v>799.6999999999999</v>
      </c>
      <c r="AG32" s="11">
        <f t="shared" si="1"/>
        <v>52.57379527973177</v>
      </c>
      <c r="AH32" s="72">
        <f t="shared" si="7"/>
        <v>721.4</v>
      </c>
      <c r="AI32" s="18">
        <f t="shared" si="8"/>
        <v>717.8000000000001</v>
      </c>
    </row>
    <row r="33" spans="1:35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20"/>
        <v>100</v>
      </c>
      <c r="M33" s="89">
        <f t="shared" si="3"/>
        <v>14</v>
      </c>
      <c r="N33" s="89">
        <f t="shared" si="4"/>
        <v>24.6</v>
      </c>
      <c r="O33" s="11">
        <f t="shared" si="2"/>
        <v>175.71428571428572</v>
      </c>
      <c r="P33" s="44">
        <v>7.7</v>
      </c>
      <c r="Q33" s="44">
        <v>7.7</v>
      </c>
      <c r="R33" s="11">
        <f t="shared" si="21"/>
        <v>100</v>
      </c>
      <c r="S33" s="44">
        <v>8.4</v>
      </c>
      <c r="T33" s="44">
        <v>8.4</v>
      </c>
      <c r="U33" s="11">
        <f t="shared" si="22"/>
        <v>100</v>
      </c>
      <c r="V33" s="44">
        <v>10.6</v>
      </c>
      <c r="W33" s="44">
        <v>0</v>
      </c>
      <c r="X33" s="11">
        <f t="shared" si="23"/>
        <v>0</v>
      </c>
      <c r="Y33" s="89">
        <f t="shared" si="24"/>
        <v>26.700000000000003</v>
      </c>
      <c r="Z33" s="89">
        <f t="shared" si="25"/>
        <v>16.1</v>
      </c>
      <c r="AA33" s="11">
        <f t="shared" si="26"/>
        <v>60.2996254681648</v>
      </c>
      <c r="AB33" s="44">
        <v>5.3</v>
      </c>
      <c r="AC33" s="44">
        <v>0</v>
      </c>
      <c r="AD33" s="11">
        <f t="shared" si="27"/>
        <v>0</v>
      </c>
      <c r="AE33" s="72">
        <f t="shared" si="5"/>
        <v>46</v>
      </c>
      <c r="AF33" s="72">
        <f t="shared" si="6"/>
        <v>40.7</v>
      </c>
      <c r="AG33" s="11">
        <f t="shared" si="1"/>
        <v>88.47826086956523</v>
      </c>
      <c r="AH33" s="72">
        <f t="shared" si="7"/>
        <v>5.299999999999997</v>
      </c>
      <c r="AI33" s="18">
        <f t="shared" si="8"/>
        <v>15.899999999999999</v>
      </c>
    </row>
    <row r="34" spans="1:35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20"/>
        <v>160</v>
      </c>
      <c r="M34" s="89">
        <f t="shared" si="3"/>
        <v>4.6</v>
      </c>
      <c r="N34" s="89">
        <f t="shared" si="4"/>
        <v>4.6</v>
      </c>
      <c r="O34" s="11">
        <f t="shared" si="2"/>
        <v>100</v>
      </c>
      <c r="P34" s="44">
        <v>1.6</v>
      </c>
      <c r="Q34" s="44">
        <v>0.6</v>
      </c>
      <c r="R34" s="140">
        <f t="shared" si="21"/>
        <v>37.49999999999999</v>
      </c>
      <c r="S34" s="44">
        <v>2.1</v>
      </c>
      <c r="T34" s="44">
        <v>2.1</v>
      </c>
      <c r="U34" s="140">
        <f t="shared" si="22"/>
        <v>100</v>
      </c>
      <c r="V34" s="44">
        <v>2.7</v>
      </c>
      <c r="W34" s="44">
        <v>3.3</v>
      </c>
      <c r="X34" s="140">
        <f t="shared" si="23"/>
        <v>122.22222222222221</v>
      </c>
      <c r="Y34" s="89">
        <f t="shared" si="24"/>
        <v>6.4</v>
      </c>
      <c r="Z34" s="89">
        <f t="shared" si="25"/>
        <v>6</v>
      </c>
      <c r="AA34" s="11">
        <f t="shared" si="26"/>
        <v>93.75</v>
      </c>
      <c r="AB34" s="44">
        <v>0.8</v>
      </c>
      <c r="AC34" s="44">
        <v>1.1</v>
      </c>
      <c r="AD34" s="140">
        <f t="shared" si="27"/>
        <v>137.5</v>
      </c>
      <c r="AE34" s="72">
        <f t="shared" si="5"/>
        <v>11.8</v>
      </c>
      <c r="AF34" s="72">
        <f t="shared" si="6"/>
        <v>11.7</v>
      </c>
      <c r="AG34" s="11">
        <f t="shared" si="1"/>
        <v>99.15254237288134</v>
      </c>
      <c r="AH34" s="72">
        <f t="shared" si="7"/>
        <v>0.10000000000000142</v>
      </c>
      <c r="AI34" s="18">
        <f t="shared" si="8"/>
        <v>1.200000000000001</v>
      </c>
    </row>
    <row r="35" spans="1:35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28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20"/>
        <v>180.15873015873015</v>
      </c>
      <c r="M35" s="89">
        <f t="shared" si="3"/>
        <v>76.8</v>
      </c>
      <c r="N35" s="89">
        <f t="shared" si="4"/>
        <v>61.9</v>
      </c>
      <c r="O35" s="11">
        <f t="shared" si="2"/>
        <v>80.59895833333334</v>
      </c>
      <c r="P35" s="44">
        <v>24.6</v>
      </c>
      <c r="Q35" s="44">
        <v>16.8</v>
      </c>
      <c r="R35" s="11">
        <f t="shared" si="21"/>
        <v>68.29268292682926</v>
      </c>
      <c r="S35" s="44">
        <v>37.4</v>
      </c>
      <c r="T35" s="44">
        <v>37.6</v>
      </c>
      <c r="U35" s="11">
        <f t="shared" si="22"/>
        <v>100.53475935828877</v>
      </c>
      <c r="V35" s="44">
        <v>29.2</v>
      </c>
      <c r="W35" s="44">
        <v>29.3</v>
      </c>
      <c r="X35" s="11">
        <f t="shared" si="23"/>
        <v>100.34246575342468</v>
      </c>
      <c r="Y35" s="89">
        <f t="shared" si="24"/>
        <v>91.2</v>
      </c>
      <c r="Z35" s="89">
        <f t="shared" si="25"/>
        <v>83.7</v>
      </c>
      <c r="AA35" s="11">
        <f t="shared" si="26"/>
        <v>91.77631578947368</v>
      </c>
      <c r="AB35" s="44">
        <v>26.6</v>
      </c>
      <c r="AC35" s="44">
        <v>29.6</v>
      </c>
      <c r="AD35" s="11">
        <f t="shared" si="27"/>
        <v>111.27819548872179</v>
      </c>
      <c r="AE35" s="72">
        <f t="shared" si="5"/>
        <v>194.6</v>
      </c>
      <c r="AF35" s="72">
        <f t="shared" si="6"/>
        <v>175.2</v>
      </c>
      <c r="AG35" s="11">
        <f t="shared" si="1"/>
        <v>90.03083247687564</v>
      </c>
      <c r="AH35" s="72">
        <f t="shared" si="7"/>
        <v>19.400000000000006</v>
      </c>
      <c r="AI35" s="18">
        <f t="shared" si="8"/>
        <v>-10.699999999999989</v>
      </c>
    </row>
    <row r="36" spans="1:35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28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20"/>
        <v>153.33333333333334</v>
      </c>
      <c r="M36" s="89">
        <f t="shared" si="3"/>
        <v>61.5</v>
      </c>
      <c r="N36" s="89">
        <f t="shared" si="4"/>
        <v>57.6</v>
      </c>
      <c r="O36" s="11">
        <f t="shared" si="2"/>
        <v>93.65853658536587</v>
      </c>
      <c r="P36" s="44">
        <v>20.4</v>
      </c>
      <c r="Q36" s="44">
        <v>16.2</v>
      </c>
      <c r="R36" s="11">
        <f t="shared" si="21"/>
        <v>79.41176470588236</v>
      </c>
      <c r="S36" s="44">
        <v>24.8</v>
      </c>
      <c r="T36" s="44">
        <v>22.6</v>
      </c>
      <c r="U36" s="11">
        <f t="shared" si="22"/>
        <v>91.12903225806453</v>
      </c>
      <c r="V36" s="44">
        <v>25</v>
      </c>
      <c r="W36" s="44">
        <v>34</v>
      </c>
      <c r="X36" s="11">
        <f t="shared" si="23"/>
        <v>136</v>
      </c>
      <c r="Y36" s="89">
        <f t="shared" si="24"/>
        <v>70.2</v>
      </c>
      <c r="Z36" s="89">
        <f t="shared" si="25"/>
        <v>72.8</v>
      </c>
      <c r="AA36" s="11">
        <f t="shared" si="26"/>
        <v>103.7037037037037</v>
      </c>
      <c r="AB36" s="44">
        <v>24.8</v>
      </c>
      <c r="AC36" s="44">
        <v>19.5</v>
      </c>
      <c r="AD36" s="11">
        <f t="shared" si="27"/>
        <v>78.62903225806451</v>
      </c>
      <c r="AE36" s="72">
        <f t="shared" si="5"/>
        <v>156.5</v>
      </c>
      <c r="AF36" s="72">
        <f t="shared" si="6"/>
        <v>149.9</v>
      </c>
      <c r="AG36" s="11">
        <f t="shared" si="1"/>
        <v>95.78274760383387</v>
      </c>
      <c r="AH36" s="72">
        <f t="shared" si="7"/>
        <v>6.599999999999994</v>
      </c>
      <c r="AI36" s="18">
        <f t="shared" si="8"/>
        <v>-4.200000000000017</v>
      </c>
    </row>
    <row r="37" spans="1:35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28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20"/>
        <v>109.8360655737705</v>
      </c>
      <c r="M37" s="89">
        <f t="shared" si="3"/>
        <v>60.599999999999994</v>
      </c>
      <c r="N37" s="89">
        <f t="shared" si="4"/>
        <v>27.1</v>
      </c>
      <c r="O37" s="11">
        <f t="shared" si="2"/>
        <v>44.71947194719473</v>
      </c>
      <c r="P37" s="44">
        <v>21</v>
      </c>
      <c r="Q37" s="44">
        <v>22.5</v>
      </c>
      <c r="R37" s="11">
        <f t="shared" si="21"/>
        <v>107.14285714285714</v>
      </c>
      <c r="S37" s="44">
        <v>23.9</v>
      </c>
      <c r="T37" s="44">
        <v>6.4</v>
      </c>
      <c r="U37" s="140">
        <f t="shared" si="22"/>
        <v>26.77824267782427</v>
      </c>
      <c r="V37" s="44">
        <v>25.6</v>
      </c>
      <c r="W37" s="44">
        <v>33.6</v>
      </c>
      <c r="X37" s="140">
        <f t="shared" si="23"/>
        <v>131.25</v>
      </c>
      <c r="Y37" s="89">
        <f t="shared" si="24"/>
        <v>70.5</v>
      </c>
      <c r="Z37" s="89">
        <f t="shared" si="25"/>
        <v>62.5</v>
      </c>
      <c r="AA37" s="11">
        <f t="shared" si="26"/>
        <v>88.65248226950354</v>
      </c>
      <c r="AB37" s="44">
        <v>39</v>
      </c>
      <c r="AC37" s="44">
        <v>19.1</v>
      </c>
      <c r="AD37" s="140">
        <f t="shared" si="27"/>
        <v>48.97435897435898</v>
      </c>
      <c r="AE37" s="72">
        <f t="shared" si="5"/>
        <v>170.1</v>
      </c>
      <c r="AF37" s="72">
        <f t="shared" si="6"/>
        <v>108.69999999999999</v>
      </c>
      <c r="AG37" s="11">
        <f t="shared" si="1"/>
        <v>63.903586125808346</v>
      </c>
      <c r="AH37" s="72">
        <f t="shared" si="7"/>
        <v>61.400000000000006</v>
      </c>
      <c r="AI37" s="18">
        <f t="shared" si="8"/>
        <v>43.900000000000006</v>
      </c>
    </row>
    <row r="38" spans="1:35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28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20"/>
        <v>128.88888888888889</v>
      </c>
      <c r="M38" s="89">
        <f t="shared" si="3"/>
        <v>24.9</v>
      </c>
      <c r="N38" s="89">
        <f t="shared" si="4"/>
        <v>19.7</v>
      </c>
      <c r="O38" s="11">
        <f t="shared" si="2"/>
        <v>79.11646586345383</v>
      </c>
      <c r="P38" s="44">
        <v>12</v>
      </c>
      <c r="Q38" s="44">
        <v>5.6</v>
      </c>
      <c r="R38" s="11">
        <f t="shared" si="21"/>
        <v>46.666666666666664</v>
      </c>
      <c r="S38" s="44">
        <v>5.6</v>
      </c>
      <c r="T38" s="44">
        <v>12.4</v>
      </c>
      <c r="U38" s="11">
        <f t="shared" si="22"/>
        <v>221.42857142857144</v>
      </c>
      <c r="V38" s="44">
        <v>9.8</v>
      </c>
      <c r="W38" s="44">
        <v>6.7</v>
      </c>
      <c r="X38" s="11">
        <f t="shared" si="23"/>
        <v>68.36734693877551</v>
      </c>
      <c r="Y38" s="89">
        <f t="shared" si="24"/>
        <v>27.400000000000002</v>
      </c>
      <c r="Z38" s="89">
        <f t="shared" si="25"/>
        <v>24.7</v>
      </c>
      <c r="AA38" s="11">
        <f t="shared" si="26"/>
        <v>90.14598540145985</v>
      </c>
      <c r="AB38" s="44">
        <v>8.8</v>
      </c>
      <c r="AC38" s="44">
        <v>5.7</v>
      </c>
      <c r="AD38" s="11">
        <f t="shared" si="27"/>
        <v>64.77272727272727</v>
      </c>
      <c r="AE38" s="72">
        <f t="shared" si="5"/>
        <v>61.099999999999994</v>
      </c>
      <c r="AF38" s="72">
        <f t="shared" si="6"/>
        <v>50.1</v>
      </c>
      <c r="AG38" s="11">
        <f t="shared" si="1"/>
        <v>81.99672667757774</v>
      </c>
      <c r="AH38" s="72">
        <f t="shared" si="7"/>
        <v>10.999999999999993</v>
      </c>
      <c r="AI38" s="18">
        <f t="shared" si="8"/>
        <v>6.199999999999996</v>
      </c>
    </row>
    <row r="39" spans="1:35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28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20"/>
        <v>170.58823529411765</v>
      </c>
      <c r="M39" s="89">
        <f t="shared" si="3"/>
        <v>14.5</v>
      </c>
      <c r="N39" s="89">
        <f t="shared" si="4"/>
        <v>12.899999999999999</v>
      </c>
      <c r="O39" s="11">
        <f t="shared" si="2"/>
        <v>88.9655172413793</v>
      </c>
      <c r="P39" s="44">
        <v>5.9</v>
      </c>
      <c r="Q39" s="44">
        <v>2.9</v>
      </c>
      <c r="R39" s="140">
        <f t="shared" si="21"/>
        <v>49.15254237288135</v>
      </c>
      <c r="S39" s="44">
        <v>6.1</v>
      </c>
      <c r="T39" s="44">
        <v>9.7</v>
      </c>
      <c r="U39" s="140">
        <f t="shared" si="22"/>
        <v>159.01639344262296</v>
      </c>
      <c r="V39" s="44">
        <v>7</v>
      </c>
      <c r="W39" s="44">
        <v>6.6</v>
      </c>
      <c r="X39" s="140">
        <f t="shared" si="23"/>
        <v>94.28571428571428</v>
      </c>
      <c r="Y39" s="89">
        <f t="shared" si="24"/>
        <v>19</v>
      </c>
      <c r="Z39" s="89">
        <f t="shared" si="25"/>
        <v>19.2</v>
      </c>
      <c r="AA39" s="11">
        <f t="shared" si="26"/>
        <v>101.05263157894737</v>
      </c>
      <c r="AB39" s="44">
        <v>5.9</v>
      </c>
      <c r="AC39" s="44">
        <v>2.7</v>
      </c>
      <c r="AD39" s="140">
        <f t="shared" si="27"/>
        <v>45.76271186440678</v>
      </c>
      <c r="AE39" s="72">
        <f t="shared" si="5"/>
        <v>39.4</v>
      </c>
      <c r="AF39" s="72">
        <f t="shared" si="6"/>
        <v>34.8</v>
      </c>
      <c r="AG39" s="11">
        <f t="shared" si="1"/>
        <v>88.3248730964467</v>
      </c>
      <c r="AH39" s="72">
        <f t="shared" si="7"/>
        <v>4.600000000000001</v>
      </c>
      <c r="AI39" s="18">
        <f t="shared" si="8"/>
        <v>2.3999999999999986</v>
      </c>
    </row>
    <row r="40" spans="1:35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28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20"/>
        <v>133.40707964601768</v>
      </c>
      <c r="M40" s="89">
        <f t="shared" si="3"/>
        <v>138</v>
      </c>
      <c r="N40" s="89">
        <f t="shared" si="4"/>
        <v>118.1</v>
      </c>
      <c r="O40" s="11">
        <f t="shared" si="2"/>
        <v>85.57971014492753</v>
      </c>
      <c r="P40" s="44">
        <v>52.3</v>
      </c>
      <c r="Q40" s="44">
        <v>83.8</v>
      </c>
      <c r="R40" s="140">
        <f t="shared" si="21"/>
        <v>160.22944550669217</v>
      </c>
      <c r="S40" s="44">
        <v>47.2</v>
      </c>
      <c r="T40" s="44">
        <v>8.5</v>
      </c>
      <c r="U40" s="140">
        <f t="shared" si="22"/>
        <v>18.008474576271187</v>
      </c>
      <c r="V40" s="44">
        <v>75.4</v>
      </c>
      <c r="W40" s="44">
        <v>7.8</v>
      </c>
      <c r="X40" s="140">
        <f t="shared" si="23"/>
        <v>10.344827586206895</v>
      </c>
      <c r="Y40" s="89">
        <f t="shared" si="24"/>
        <v>174.9</v>
      </c>
      <c r="Z40" s="89">
        <f t="shared" si="25"/>
        <v>100.1</v>
      </c>
      <c r="AA40" s="11">
        <f t="shared" si="26"/>
        <v>57.23270440251572</v>
      </c>
      <c r="AB40" s="44">
        <v>61.8</v>
      </c>
      <c r="AC40" s="44">
        <v>64.4</v>
      </c>
      <c r="AD40" s="140">
        <f t="shared" si="27"/>
        <v>104.20711974110033</v>
      </c>
      <c r="AE40" s="72">
        <f t="shared" si="5"/>
        <v>374.7</v>
      </c>
      <c r="AF40" s="72">
        <f t="shared" si="6"/>
        <v>282.6</v>
      </c>
      <c r="AG40" s="11">
        <f t="shared" si="1"/>
        <v>75.42033626901522</v>
      </c>
      <c r="AH40" s="72">
        <f t="shared" si="7"/>
        <v>92.09999999999997</v>
      </c>
      <c r="AI40" s="18">
        <f t="shared" si="8"/>
        <v>95.89999999999998</v>
      </c>
    </row>
    <row r="41" spans="1:35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28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20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2"/>
        <v>68.31317999480534</v>
      </c>
      <c r="P41" s="18">
        <f>SUM(P42:P42)</f>
        <v>5794.7</v>
      </c>
      <c r="Q41" s="18">
        <f>SUM(Q42:Q42)</f>
        <v>4724.3</v>
      </c>
      <c r="R41" s="11">
        <f t="shared" si="21"/>
        <v>81.5279479524393</v>
      </c>
      <c r="S41" s="18">
        <f>SUM(S42:S42)</f>
        <v>5503.8</v>
      </c>
      <c r="T41" s="18">
        <f>SUM(T42:T42)</f>
        <v>5497.9</v>
      </c>
      <c r="U41" s="11">
        <f t="shared" si="22"/>
        <v>99.89280133725788</v>
      </c>
      <c r="V41" s="18">
        <f>SUM(V42:V42)</f>
        <v>5490.6</v>
      </c>
      <c r="W41" s="18">
        <f>SUM(W42:W42)</f>
        <v>5359</v>
      </c>
      <c r="X41" s="11">
        <f t="shared" si="23"/>
        <v>97.60317633774086</v>
      </c>
      <c r="Y41" s="18">
        <f>SUM(Y42:Y42)</f>
        <v>16789.1</v>
      </c>
      <c r="Z41" s="18">
        <f>SUM(Z42:Z42)</f>
        <v>15581.2</v>
      </c>
      <c r="AA41" s="11">
        <f t="shared" si="26"/>
        <v>92.80545115580944</v>
      </c>
      <c r="AB41" s="18">
        <f>SUM(AB42:AB42)</f>
        <v>4410.7</v>
      </c>
      <c r="AC41" s="18">
        <f>SUM(AC42:AC42)</f>
        <v>4633.6</v>
      </c>
      <c r="AD41" s="11">
        <f t="shared" si="27"/>
        <v>105.05361960686514</v>
      </c>
      <c r="AE41" s="140">
        <f>AE42</f>
        <v>38525.299999999996</v>
      </c>
      <c r="AF41" s="140">
        <f>AF42</f>
        <v>32050.4</v>
      </c>
      <c r="AG41" s="11">
        <f t="shared" si="1"/>
        <v>83.1931224416163</v>
      </c>
      <c r="AH41" s="18">
        <f>SUM(AH42:AH42)</f>
        <v>6474.899999999994</v>
      </c>
      <c r="AI41" s="18">
        <f>SUM(AI42:AI42)</f>
        <v>5947.299999999996</v>
      </c>
    </row>
    <row r="42" spans="1:35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28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20"/>
        <v>146.63310363283603</v>
      </c>
      <c r="M42" s="89">
        <f t="shared" si="3"/>
        <v>17325.5</v>
      </c>
      <c r="N42" s="89">
        <f t="shared" si="4"/>
        <v>11835.599999999999</v>
      </c>
      <c r="O42" s="11">
        <f t="shared" si="2"/>
        <v>68.31317999480534</v>
      </c>
      <c r="P42" s="44">
        <v>5794.7</v>
      </c>
      <c r="Q42" s="44">
        <v>4724.3</v>
      </c>
      <c r="R42" s="11">
        <f t="shared" si="21"/>
        <v>81.5279479524393</v>
      </c>
      <c r="S42" s="44">
        <v>5503.8</v>
      </c>
      <c r="T42" s="44">
        <v>5497.9</v>
      </c>
      <c r="U42" s="11">
        <f t="shared" si="22"/>
        <v>99.89280133725788</v>
      </c>
      <c r="V42" s="44">
        <v>5490.6</v>
      </c>
      <c r="W42" s="44">
        <v>5359</v>
      </c>
      <c r="X42" s="11">
        <f t="shared" si="23"/>
        <v>97.60317633774086</v>
      </c>
      <c r="Y42" s="89">
        <f>P42+S42+V42</f>
        <v>16789.1</v>
      </c>
      <c r="Z42" s="89">
        <f>Q42+T42+W42</f>
        <v>15581.2</v>
      </c>
      <c r="AA42" s="11">
        <f t="shared" si="26"/>
        <v>92.80545115580944</v>
      </c>
      <c r="AB42" s="44">
        <v>4410.7</v>
      </c>
      <c r="AC42" s="44">
        <v>4633.6</v>
      </c>
      <c r="AD42" s="11">
        <f t="shared" si="27"/>
        <v>105.05361960686514</v>
      </c>
      <c r="AE42" s="72">
        <f>M42+Y42+AB42</f>
        <v>38525.299999999996</v>
      </c>
      <c r="AF42" s="72">
        <f>N42+Z42+AC42</f>
        <v>32050.4</v>
      </c>
      <c r="AG42" s="11">
        <f t="shared" si="1"/>
        <v>83.1931224416163</v>
      </c>
      <c r="AH42" s="72">
        <f t="shared" si="7"/>
        <v>6474.899999999994</v>
      </c>
      <c r="AI42" s="14">
        <f t="shared" si="8"/>
        <v>5947.299999999996</v>
      </c>
    </row>
    <row r="43" spans="1:35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6445.1</v>
      </c>
      <c r="K43" s="18">
        <f>K7+K41</f>
        <v>9526</v>
      </c>
      <c r="L43" s="11">
        <f t="shared" si="20"/>
        <v>147.80220632728737</v>
      </c>
      <c r="M43" s="18">
        <f>M7+M41</f>
        <v>18693.7</v>
      </c>
      <c r="N43" s="18">
        <f>N7+N41</f>
        <v>12872.999999999998</v>
      </c>
      <c r="O43" s="11">
        <f t="shared" si="2"/>
        <v>68.86277194990824</v>
      </c>
      <c r="P43" s="18">
        <f>P7+P41</f>
        <v>6262.8</v>
      </c>
      <c r="Q43" s="18">
        <f>Q7+Q41</f>
        <v>5204.1</v>
      </c>
      <c r="R43" s="11">
        <f t="shared" si="21"/>
        <v>83.09542057865492</v>
      </c>
      <c r="S43" s="18">
        <f>S7+S41</f>
        <v>5970.3</v>
      </c>
      <c r="T43" s="18">
        <f>T7+T41</f>
        <v>5694</v>
      </c>
      <c r="U43" s="11">
        <f t="shared" si="22"/>
        <v>95.37209185468066</v>
      </c>
      <c r="V43" s="18">
        <f>V7+V41</f>
        <v>5975.700000000001</v>
      </c>
      <c r="W43" s="18">
        <f>W7+W41</f>
        <v>5627.5</v>
      </c>
      <c r="X43" s="11">
        <f t="shared" si="23"/>
        <v>94.17306759040781</v>
      </c>
      <c r="Y43" s="18">
        <f>Y7+Y41</f>
        <v>18208.8</v>
      </c>
      <c r="Z43" s="18">
        <f>Z7+Z41</f>
        <v>16525.600000000002</v>
      </c>
      <c r="AA43" s="11">
        <f t="shared" si="26"/>
        <v>90.75611792100524</v>
      </c>
      <c r="AB43" s="18">
        <f>AB7+AB41</f>
        <v>4857</v>
      </c>
      <c r="AC43" s="18">
        <f>AC7+AC41</f>
        <v>4909.900000000001</v>
      </c>
      <c r="AD43" s="11">
        <f t="shared" si="27"/>
        <v>101.08914968087296</v>
      </c>
      <c r="AE43" s="83">
        <f>AE7+AE41</f>
        <v>41759.49999999999</v>
      </c>
      <c r="AF43" s="83">
        <f>AF7+AF41</f>
        <v>34308.5</v>
      </c>
      <c r="AG43" s="11">
        <f>AF43/AE43*100</f>
        <v>82.15735341658785</v>
      </c>
      <c r="AH43" s="18">
        <f>AH7+AH41</f>
        <v>7450.9999999999945</v>
      </c>
      <c r="AI43" s="18">
        <f>AI7+AI41</f>
        <v>6863.999999999995</v>
      </c>
    </row>
    <row r="44" spans="1:47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25"/>
      <c r="AF44" s="25"/>
      <c r="AG44" s="86"/>
      <c r="AH44" s="86"/>
      <c r="AI44" s="85"/>
      <c r="AJ44" s="85"/>
      <c r="AK44" s="85"/>
      <c r="AL44" s="85"/>
      <c r="AM44" s="85"/>
      <c r="AN44" s="85"/>
      <c r="AO44" s="85"/>
      <c r="AP44" s="85"/>
      <c r="AQ44" s="85"/>
      <c r="AR44" s="46"/>
      <c r="AS44" s="46"/>
      <c r="AT44" s="46"/>
      <c r="AU44" s="46"/>
    </row>
    <row r="45" spans="1:47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34"/>
      <c r="AF45" s="34"/>
      <c r="AG45" s="61"/>
      <c r="AH45" s="166" t="s">
        <v>137</v>
      </c>
      <c r="AI45" s="167"/>
      <c r="AJ45" s="28"/>
      <c r="AK45" s="28"/>
      <c r="AL45" s="28"/>
      <c r="AM45" s="28"/>
      <c r="AN45" s="28"/>
      <c r="AO45" s="27"/>
      <c r="AP45" s="6"/>
      <c r="AQ45" s="6"/>
      <c r="AR45" s="29"/>
      <c r="AS45" s="6"/>
      <c r="AU45" s="6"/>
    </row>
    <row r="46" spans="1:47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0"/>
      <c r="AF46" s="40"/>
      <c r="AG46" s="41"/>
      <c r="AH46" s="2"/>
      <c r="AI46" s="4" t="s">
        <v>135</v>
      </c>
      <c r="AJ46" s="28"/>
      <c r="AK46" s="28"/>
      <c r="AL46" s="28"/>
      <c r="AM46" s="28"/>
      <c r="AN46" s="28"/>
      <c r="AO46" s="27"/>
      <c r="AP46" s="6"/>
      <c r="AQ46" s="6"/>
      <c r="AR46" s="29"/>
      <c r="AS46" s="6"/>
      <c r="AU46" s="6"/>
    </row>
    <row r="47" spans="1:47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I47" s="2"/>
      <c r="AJ47" s="28"/>
      <c r="AK47" s="28"/>
      <c r="AL47" s="28"/>
      <c r="AM47" s="28"/>
      <c r="AN47" s="28"/>
      <c r="AO47" s="27"/>
      <c r="AP47" s="6"/>
      <c r="AQ47" s="6"/>
      <c r="AR47" s="29"/>
      <c r="AS47" s="6"/>
      <c r="AU47" s="6"/>
    </row>
    <row r="48" spans="1:47" ht="24.75" customHeight="1">
      <c r="A48" s="2"/>
      <c r="C48" s="31"/>
      <c r="D48" s="21"/>
      <c r="E48" s="21"/>
      <c r="F48" s="28"/>
      <c r="AJ48" s="21"/>
      <c r="AK48" s="21"/>
      <c r="AL48" s="21"/>
      <c r="AM48" s="21"/>
      <c r="AN48" s="21"/>
      <c r="AO48" s="21"/>
      <c r="AP48" s="7"/>
      <c r="AQ48" s="7"/>
      <c r="AR48" s="32"/>
      <c r="AS48" s="7"/>
      <c r="AU48" s="7"/>
    </row>
    <row r="49" spans="1:35" s="38" customFormat="1" ht="58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"/>
      <c r="AF49" s="2"/>
      <c r="AG49" s="12"/>
      <c r="AH49" s="2"/>
      <c r="AI49" s="2"/>
    </row>
    <row r="50" spans="1:35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21"/>
      <c r="AF50" s="21"/>
      <c r="AG50" s="60"/>
      <c r="AH50" s="21"/>
      <c r="AI50" s="21"/>
    </row>
    <row r="51" spans="2:35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21"/>
      <c r="AF51" s="21"/>
      <c r="AG51" s="60"/>
      <c r="AH51" s="21"/>
      <c r="AI51" s="21"/>
    </row>
    <row r="52" spans="2:35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21"/>
      <c r="AF52" s="21"/>
      <c r="AG52" s="60"/>
      <c r="AH52" s="21"/>
      <c r="AI52" s="21"/>
    </row>
    <row r="53" spans="7:35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21"/>
      <c r="AF53" s="21"/>
      <c r="AG53" s="60"/>
      <c r="AH53" s="21"/>
      <c r="AI53" s="21"/>
    </row>
    <row r="54" spans="2:35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21"/>
      <c r="AF54" s="21"/>
      <c r="AG54" s="60"/>
      <c r="AH54" s="21"/>
      <c r="AI54" s="21"/>
    </row>
    <row r="55" spans="2:35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21"/>
      <c r="AF55" s="21"/>
      <c r="AG55" s="60"/>
      <c r="AH55" s="21"/>
      <c r="AI55" s="21"/>
    </row>
    <row r="56" spans="7:35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21"/>
      <c r="AF56" s="21"/>
      <c r="AG56" s="60"/>
      <c r="AH56" s="21"/>
      <c r="AI56" s="21"/>
    </row>
    <row r="57" spans="7:35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21"/>
      <c r="AF57" s="21"/>
      <c r="AG57" s="60"/>
      <c r="AH57" s="21"/>
      <c r="AI57" s="21"/>
    </row>
    <row r="58" spans="7:35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21"/>
      <c r="AF58" s="21"/>
      <c r="AG58" s="60"/>
      <c r="AH58" s="21"/>
      <c r="AI58" s="21"/>
    </row>
    <row r="59" spans="7:35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21"/>
      <c r="AF59" s="21"/>
      <c r="AG59" s="60"/>
      <c r="AH59" s="21"/>
      <c r="AI59" s="21"/>
    </row>
    <row r="60" spans="7:35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21"/>
      <c r="AF60" s="21"/>
      <c r="AG60" s="60"/>
      <c r="AH60" s="21"/>
      <c r="AI60" s="21"/>
    </row>
    <row r="61" spans="7:35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21"/>
      <c r="AF61" s="21"/>
      <c r="AG61" s="60"/>
      <c r="AH61" s="21"/>
      <c r="AI61" s="21"/>
    </row>
    <row r="62" spans="7:35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1"/>
      <c r="AF62" s="21"/>
      <c r="AG62" s="60"/>
      <c r="AH62" s="21"/>
      <c r="AI62" s="21"/>
    </row>
    <row r="63" spans="7:35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21"/>
      <c r="AF63" s="21"/>
      <c r="AG63" s="60"/>
      <c r="AH63" s="21"/>
      <c r="AI63" s="21"/>
    </row>
    <row r="64" spans="7:35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1"/>
      <c r="AF64" s="21"/>
      <c r="AG64" s="60"/>
      <c r="AH64" s="21"/>
      <c r="AI64" s="21"/>
    </row>
    <row r="65" spans="7:35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1"/>
      <c r="AF65" s="21"/>
      <c r="AG65" s="60"/>
      <c r="AH65" s="21"/>
      <c r="AI65" s="21"/>
    </row>
    <row r="66" spans="7:35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21"/>
      <c r="AF66" s="21"/>
      <c r="AG66" s="60"/>
      <c r="AH66" s="21"/>
      <c r="AI66" s="21"/>
    </row>
    <row r="67" spans="7:35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21"/>
      <c r="AF67" s="21"/>
      <c r="AG67" s="60"/>
      <c r="AH67" s="21"/>
      <c r="AI67" s="21"/>
    </row>
    <row r="68" spans="7:35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21"/>
      <c r="AF68" s="21"/>
      <c r="AG68" s="60"/>
      <c r="AH68" s="21"/>
      <c r="AI68" s="21"/>
    </row>
    <row r="69" spans="7:35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21"/>
      <c r="AF69" s="21"/>
      <c r="AG69" s="60"/>
      <c r="AH69" s="21"/>
      <c r="AI69" s="21"/>
    </row>
    <row r="70" spans="7:35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21"/>
      <c r="AF70" s="21"/>
      <c r="AG70" s="60"/>
      <c r="AH70" s="21"/>
      <c r="AI70" s="21"/>
    </row>
    <row r="71" spans="7:35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21"/>
      <c r="AF71" s="21"/>
      <c r="AG71" s="60"/>
      <c r="AH71" s="21"/>
      <c r="AI71" s="21"/>
    </row>
    <row r="72" spans="7:35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21"/>
      <c r="AF72" s="21"/>
      <c r="AG72" s="60"/>
      <c r="AH72" s="21"/>
      <c r="AI72" s="21"/>
    </row>
    <row r="73" spans="7:35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21"/>
      <c r="AF73" s="21"/>
      <c r="AG73" s="60"/>
      <c r="AH73" s="21"/>
      <c r="AI73" s="21"/>
    </row>
    <row r="74" spans="7:35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21"/>
      <c r="AF74" s="21"/>
      <c r="AG74" s="60"/>
      <c r="AH74" s="21"/>
      <c r="AI74" s="21"/>
    </row>
    <row r="75" spans="7:35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21"/>
      <c r="AF75" s="21"/>
      <c r="AG75" s="60"/>
      <c r="AH75" s="21"/>
      <c r="AI75" s="21"/>
    </row>
    <row r="76" spans="7:35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21"/>
      <c r="AF76" s="21"/>
      <c r="AG76" s="60"/>
      <c r="AH76" s="21"/>
      <c r="AI76" s="21"/>
    </row>
    <row r="77" spans="7:35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21"/>
      <c r="AF77" s="21"/>
      <c r="AG77" s="60"/>
      <c r="AH77" s="21"/>
      <c r="AI77" s="21"/>
    </row>
    <row r="78" spans="7:35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21"/>
      <c r="AF78" s="21"/>
      <c r="AG78" s="60"/>
      <c r="AH78" s="21"/>
      <c r="AI78" s="21"/>
    </row>
    <row r="79" spans="7:35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21"/>
      <c r="AF79" s="21"/>
      <c r="AG79" s="60"/>
      <c r="AH79" s="21"/>
      <c r="AI79" s="21"/>
    </row>
    <row r="80" spans="7:35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21"/>
      <c r="AF80" s="21"/>
      <c r="AG80" s="60"/>
      <c r="AH80" s="21"/>
      <c r="AI80" s="21"/>
    </row>
    <row r="81" spans="7:35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21"/>
      <c r="AF81" s="21"/>
      <c r="AG81" s="60"/>
      <c r="AH81" s="21"/>
      <c r="AI81" s="21"/>
    </row>
    <row r="82" spans="7:35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21"/>
      <c r="AF82" s="21"/>
      <c r="AG82" s="60"/>
      <c r="AH82" s="21"/>
      <c r="AI82" s="21"/>
    </row>
    <row r="83" spans="7:35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21"/>
      <c r="AF83" s="21"/>
      <c r="AG83" s="60"/>
      <c r="AH83" s="21"/>
      <c r="AI83" s="21"/>
    </row>
    <row r="84" spans="7:35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21"/>
      <c r="AF84" s="21"/>
      <c r="AG84" s="60"/>
      <c r="AH84" s="21"/>
      <c r="AI84" s="21"/>
    </row>
    <row r="85" spans="7:35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21"/>
      <c r="AF85" s="21"/>
      <c r="AG85" s="60"/>
      <c r="AH85" s="21"/>
      <c r="AI85" s="21"/>
    </row>
    <row r="86" spans="7:35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21"/>
      <c r="AF86" s="21"/>
      <c r="AG86" s="60"/>
      <c r="AH86" s="21"/>
      <c r="AI86" s="21"/>
    </row>
    <row r="87" spans="7:35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21"/>
      <c r="AF87" s="21"/>
      <c r="AG87" s="60"/>
      <c r="AH87" s="21"/>
      <c r="AI87" s="21"/>
    </row>
    <row r="88" spans="7:35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21"/>
      <c r="AF88" s="21"/>
      <c r="AG88" s="60"/>
      <c r="AH88" s="21"/>
      <c r="AI88" s="21"/>
    </row>
    <row r="89" spans="7:35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21"/>
      <c r="AF89" s="21"/>
      <c r="AG89" s="60"/>
      <c r="AH89" s="21"/>
      <c r="AI89" s="21"/>
    </row>
    <row r="90" spans="7:35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21"/>
      <c r="AF90" s="21"/>
      <c r="AG90" s="60"/>
      <c r="AH90" s="21"/>
      <c r="AI90" s="21"/>
    </row>
    <row r="91" spans="7:35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21"/>
      <c r="AF91" s="21"/>
      <c r="AG91" s="60"/>
      <c r="AH91" s="21"/>
      <c r="AI91" s="21"/>
    </row>
    <row r="92" spans="7:35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21"/>
      <c r="AF92" s="21"/>
      <c r="AG92" s="60"/>
      <c r="AH92" s="21"/>
      <c r="AI92" s="21"/>
    </row>
    <row r="93" spans="7:35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21"/>
      <c r="AF93" s="21"/>
      <c r="AG93" s="60"/>
      <c r="AH93" s="21"/>
      <c r="AI93" s="21"/>
    </row>
    <row r="94" spans="7:35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21"/>
      <c r="AF94" s="21"/>
      <c r="AG94" s="60"/>
      <c r="AH94" s="21"/>
      <c r="AI94" s="21"/>
    </row>
    <row r="95" spans="7:35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21"/>
      <c r="AF95" s="21"/>
      <c r="AG95" s="60"/>
      <c r="AH95" s="21"/>
      <c r="AI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19">
    <mergeCell ref="P5:R5"/>
    <mergeCell ref="AE5:AG5"/>
    <mergeCell ref="AH5:AH6"/>
    <mergeCell ref="AI5:AI6"/>
    <mergeCell ref="M5:O5"/>
    <mergeCell ref="AH45:AI45"/>
    <mergeCell ref="V5:X5"/>
    <mergeCell ref="Y5:AA5"/>
    <mergeCell ref="AB5:AD5"/>
    <mergeCell ref="A50:B50"/>
    <mergeCell ref="B4:F4"/>
    <mergeCell ref="B49:F49"/>
    <mergeCell ref="J5:L5"/>
    <mergeCell ref="I1:AI1"/>
    <mergeCell ref="B2:AI2"/>
    <mergeCell ref="B3:AI3"/>
    <mergeCell ref="D5:F5"/>
    <mergeCell ref="G5:I5"/>
    <mergeCell ref="S5: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U95"/>
  <sheetViews>
    <sheetView view="pageBreakPreview" zoomScale="75" zoomScaleNormal="50" zoomScaleSheetLayoutView="75" zoomScalePageLayoutView="0" workbookViewId="0" topLeftCell="A1">
      <pane xSplit="6" ySplit="8" topLeftCell="M3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F29" sqref="AF29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customWidth="1"/>
    <col min="29" max="29" width="14.25390625" style="12" customWidth="1"/>
    <col min="30" max="30" width="11.125" style="12" customWidth="1"/>
    <col min="31" max="32" width="14.75390625" style="2" customWidth="1"/>
    <col min="33" max="33" width="11.125" style="12" customWidth="1"/>
    <col min="34" max="34" width="16.75390625" style="2" customWidth="1"/>
    <col min="35" max="35" width="18.25390625" style="2" customWidth="1"/>
    <col min="36" max="36" width="13.625" style="2" customWidth="1"/>
    <col min="37" max="37" width="9.875" style="2" customWidth="1"/>
    <col min="38" max="16384" width="6.75390625" style="2" customWidth="1"/>
  </cols>
  <sheetData>
    <row r="1" spans="9:35" ht="19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s="63" customFormat="1" ht="42" customHeight="1">
      <c r="A2" s="62"/>
      <c r="B2" s="151" t="s">
        <v>130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63" customFormat="1" ht="42" customHeight="1">
      <c r="A3" s="62"/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8.75">
      <c r="B4" s="152"/>
      <c r="C4" s="152"/>
      <c r="D4" s="152"/>
      <c r="E4" s="152"/>
      <c r="F4" s="152"/>
      <c r="AI4" s="5" t="s">
        <v>7</v>
      </c>
    </row>
    <row r="5" spans="1:35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154</v>
      </c>
      <c r="Z5" s="147"/>
      <c r="AA5" s="148"/>
      <c r="AB5" s="146" t="s">
        <v>155</v>
      </c>
      <c r="AC5" s="147"/>
      <c r="AD5" s="148"/>
      <c r="AE5" s="158" t="s">
        <v>144</v>
      </c>
      <c r="AF5" s="159"/>
      <c r="AG5" s="160"/>
      <c r="AH5" s="161" t="s">
        <v>156</v>
      </c>
      <c r="AI5" s="161" t="s">
        <v>157</v>
      </c>
    </row>
    <row r="6" spans="1:3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145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162"/>
      <c r="AI6" s="162"/>
    </row>
    <row r="7" spans="1:37" s="12" customFormat="1" ht="36" customHeight="1">
      <c r="A7" s="8"/>
      <c r="B7" s="9" t="s">
        <v>89</v>
      </c>
      <c r="C7" s="67">
        <f>SUM(C8:C40)</f>
        <v>-10.600000000000023</v>
      </c>
      <c r="D7" s="11">
        <f>SUM(D8:D40)</f>
        <v>1506.1000000000006</v>
      </c>
      <c r="E7" s="11">
        <f>SUM(E8:E40)</f>
        <v>447.1000000000001</v>
      </c>
      <c r="F7" s="11">
        <f aca="true" t="shared" si="0" ref="F7:F12">E7/D7*100</f>
        <v>29.68594382843104</v>
      </c>
      <c r="G7" s="11">
        <f>SUM(G8:G40)</f>
        <v>1472.5</v>
      </c>
      <c r="H7" s="11">
        <f>SUM(H8:H40)</f>
        <v>1704.9</v>
      </c>
      <c r="I7" s="11">
        <f aca="true" t="shared" si="1" ref="I7:I43">H7/G7*100</f>
        <v>115.78268251273344</v>
      </c>
      <c r="J7" s="11">
        <f>SUM(J8:J40)</f>
        <v>1629.9</v>
      </c>
      <c r="K7" s="11">
        <f>SUM(K8:K40)</f>
        <v>1837.5</v>
      </c>
      <c r="L7" s="11">
        <f aca="true" t="shared" si="2" ref="L7:L28">K7/J7*100</f>
        <v>112.736977728695</v>
      </c>
      <c r="M7" s="11">
        <f>SUM(M8:M40)</f>
        <v>4608.500000000001</v>
      </c>
      <c r="N7" s="11">
        <f>SUM(N8:N40)</f>
        <v>3989.5</v>
      </c>
      <c r="O7" s="11">
        <f>N7/M7*100</f>
        <v>86.56829771075185</v>
      </c>
      <c r="P7" s="11">
        <f>SUM(P8:P40)</f>
        <v>1637.2</v>
      </c>
      <c r="Q7" s="11">
        <f>SUM(Q8:Q40)</f>
        <v>1581.2</v>
      </c>
      <c r="R7" s="11">
        <f aca="true" t="shared" si="3" ref="R7:R28">Q7/P7*100</f>
        <v>96.5795260200342</v>
      </c>
      <c r="S7" s="11">
        <f>SUM(S8:S40)</f>
        <v>1514.0000000000002</v>
      </c>
      <c r="T7" s="11">
        <f>SUM(T8:T40)</f>
        <v>1651.3000000000004</v>
      </c>
      <c r="U7" s="11">
        <f aca="true" t="shared" si="4" ref="U7:U28">T7/S7*100</f>
        <v>109.06869220607662</v>
      </c>
      <c r="V7" s="11">
        <f>SUM(V8:V40)</f>
        <v>1542.2</v>
      </c>
      <c r="W7" s="11">
        <f>SUM(W8:W40)</f>
        <v>1620.6000000000004</v>
      </c>
      <c r="X7" s="11">
        <f aca="true" t="shared" si="5" ref="X7:X28">W7/V7*100</f>
        <v>105.08364673842566</v>
      </c>
      <c r="Y7" s="11">
        <f>SUM(Y8:Y40)</f>
        <v>4693.4</v>
      </c>
      <c r="Z7" s="11">
        <f>SUM(Z8:Z40)</f>
        <v>4853.100000000001</v>
      </c>
      <c r="AA7" s="11">
        <f>Z7/Y7*100</f>
        <v>103.40265053053228</v>
      </c>
      <c r="AB7" s="11">
        <f>SUM(AB8:AB40)</f>
        <v>1511.4000000000003</v>
      </c>
      <c r="AC7" s="11">
        <f>SUM(AC8:AC40)</f>
        <v>1661</v>
      </c>
      <c r="AD7" s="11">
        <f aca="true" t="shared" si="6" ref="AD7:AD28">AC7/AB7*100</f>
        <v>109.89810771470158</v>
      </c>
      <c r="AE7" s="67">
        <f>SUM(AE8:AE40)</f>
        <v>10813.3</v>
      </c>
      <c r="AF7" s="67">
        <f>SUM(AF8:AF40)</f>
        <v>10503.599999999999</v>
      </c>
      <c r="AG7" s="11">
        <f aca="true" t="shared" si="7" ref="AG7:AG42">AF7/AE7*100</f>
        <v>97.13593445109264</v>
      </c>
      <c r="AH7" s="67">
        <f>SUM(AH8:AH40)</f>
        <v>309.69999999999993</v>
      </c>
      <c r="AI7" s="67">
        <f>SUM(AI8:AI40)</f>
        <v>299.0999999999999</v>
      </c>
      <c r="AJ7" s="27">
        <f>SUM(AH8:AH40)</f>
        <v>309.69999999999993</v>
      </c>
      <c r="AK7" s="27">
        <f>SUM(AI8:AI40)</f>
        <v>299.0999999999999</v>
      </c>
    </row>
    <row r="8" spans="1:35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8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44">
        <f>22.2+76.2</f>
        <v>98.4</v>
      </c>
      <c r="T8" s="44">
        <f>23.7+76.2</f>
        <v>99.9</v>
      </c>
      <c r="U8" s="11">
        <f t="shared" si="4"/>
        <v>101.52439024390243</v>
      </c>
      <c r="V8" s="44">
        <f>25.2+79.8</f>
        <v>105</v>
      </c>
      <c r="W8" s="44">
        <f>23.7+82</f>
        <v>105.7</v>
      </c>
      <c r="X8" s="11">
        <f t="shared" si="5"/>
        <v>100.66666666666666</v>
      </c>
      <c r="Y8" s="89">
        <f>P8+S8+V8</f>
        <v>324.8</v>
      </c>
      <c r="Z8" s="89">
        <f>Q8+T8+W8</f>
        <v>324.1</v>
      </c>
      <c r="AA8" s="11">
        <f aca="true" t="shared" si="9" ref="AA8:AA28">Z8/Y8*100</f>
        <v>99.7844827586207</v>
      </c>
      <c r="AB8" s="44">
        <f>24.3+81.1</f>
        <v>105.39999999999999</v>
      </c>
      <c r="AC8" s="44">
        <f>18.3+80.8</f>
        <v>99.1</v>
      </c>
      <c r="AD8" s="11">
        <f t="shared" si="6"/>
        <v>94.02277039848198</v>
      </c>
      <c r="AE8" s="72">
        <f>M8+Y8+AB8</f>
        <v>784.4</v>
      </c>
      <c r="AF8" s="72">
        <f>N8+Z8+AC8</f>
        <v>777.4000000000001</v>
      </c>
      <c r="AG8" s="11">
        <f t="shared" si="7"/>
        <v>99.10759816420195</v>
      </c>
      <c r="AH8" s="72">
        <f>AE8-AF8</f>
        <v>6.999999999999886</v>
      </c>
      <c r="AI8" s="18">
        <f aca="true" t="shared" si="10" ref="AI8:AI28">C8+AE8-AF8</f>
        <v>5.599999999999909</v>
      </c>
    </row>
    <row r="9" spans="1:35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11" ref="M9:M42">D9+G9+J9</f>
        <v>100.6</v>
      </c>
      <c r="N9" s="89">
        <f aca="true" t="shared" si="12" ref="N9:N42">E9+H9+K9</f>
        <v>79.5</v>
      </c>
      <c r="O9" s="11">
        <f t="shared" si="8"/>
        <v>79.0258449304175</v>
      </c>
      <c r="P9" s="44">
        <v>33.1</v>
      </c>
      <c r="Q9" s="44">
        <v>29.9</v>
      </c>
      <c r="R9" s="11">
        <f t="shared" si="3"/>
        <v>90.33232628398791</v>
      </c>
      <c r="S9" s="44">
        <v>33.1</v>
      </c>
      <c r="T9" s="44">
        <v>34.5</v>
      </c>
      <c r="U9" s="11">
        <f t="shared" si="4"/>
        <v>104.22960725075528</v>
      </c>
      <c r="V9" s="44">
        <v>33.8</v>
      </c>
      <c r="W9" s="44">
        <v>30.6</v>
      </c>
      <c r="X9" s="11">
        <f t="shared" si="5"/>
        <v>90.53254437869823</v>
      </c>
      <c r="Y9" s="89">
        <f aca="true" t="shared" si="13" ref="Y9:Y28">P9+S9+V9</f>
        <v>100</v>
      </c>
      <c r="Z9" s="89">
        <f aca="true" t="shared" si="14" ref="Z9:Z28">Q9+T9+W9</f>
        <v>95</v>
      </c>
      <c r="AA9" s="11">
        <f t="shared" si="9"/>
        <v>95</v>
      </c>
      <c r="AB9" s="44">
        <v>32.8</v>
      </c>
      <c r="AC9" s="44">
        <v>34.8</v>
      </c>
      <c r="AD9" s="11">
        <f t="shared" si="6"/>
        <v>106.09756097560977</v>
      </c>
      <c r="AE9" s="72">
        <f aca="true" t="shared" si="15" ref="AE9:AE40">M9+Y9+AB9</f>
        <v>233.39999999999998</v>
      </c>
      <c r="AF9" s="72">
        <f aca="true" t="shared" si="16" ref="AF9:AF40">N9+Z9+AC9</f>
        <v>209.3</v>
      </c>
      <c r="AG9" s="11">
        <f t="shared" si="7"/>
        <v>89.6743787489289</v>
      </c>
      <c r="AH9" s="72">
        <f aca="true" t="shared" si="17" ref="AH9:AH42">AE9-AF9</f>
        <v>24.099999999999966</v>
      </c>
      <c r="AI9" s="18">
        <f t="shared" si="10"/>
        <v>1.2999999999999545</v>
      </c>
    </row>
    <row r="10" spans="1:35" ht="24.75" customHeight="1">
      <c r="A10" s="13" t="s">
        <v>15</v>
      </c>
      <c r="B10" s="15" t="s">
        <v>133</v>
      </c>
      <c r="C10" s="108">
        <v>0</v>
      </c>
      <c r="D10" s="44">
        <v>3.6</v>
      </c>
      <c r="E10" s="44">
        <v>3.6</v>
      </c>
      <c r="F10" s="11">
        <f t="shared" si="0"/>
        <v>100</v>
      </c>
      <c r="G10" s="44">
        <v>4.3</v>
      </c>
      <c r="H10" s="44">
        <v>4.3</v>
      </c>
      <c r="I10" s="75">
        <f t="shared" si="1"/>
        <v>100</v>
      </c>
      <c r="J10" s="44">
        <v>0</v>
      </c>
      <c r="K10" s="44">
        <v>0</v>
      </c>
      <c r="L10" s="11" t="e">
        <f t="shared" si="2"/>
        <v>#DIV/0!</v>
      </c>
      <c r="M10" s="89">
        <f t="shared" si="11"/>
        <v>7.9</v>
      </c>
      <c r="N10" s="89">
        <f t="shared" si="12"/>
        <v>7.9</v>
      </c>
      <c r="O10" s="11">
        <f t="shared" si="8"/>
        <v>100</v>
      </c>
      <c r="P10" s="44">
        <v>0</v>
      </c>
      <c r="Q10" s="44">
        <v>0</v>
      </c>
      <c r="R10" s="111" t="e">
        <f t="shared" si="3"/>
        <v>#DIV/0!</v>
      </c>
      <c r="S10" s="44">
        <v>0</v>
      </c>
      <c r="T10" s="44">
        <v>0</v>
      </c>
      <c r="U10" s="111" t="e">
        <f t="shared" si="4"/>
        <v>#DIV/0!</v>
      </c>
      <c r="V10" s="44">
        <v>0</v>
      </c>
      <c r="W10" s="44">
        <v>0</v>
      </c>
      <c r="X10" s="11" t="e">
        <f t="shared" si="5"/>
        <v>#DIV/0!</v>
      </c>
      <c r="Y10" s="89">
        <f t="shared" si="13"/>
        <v>0</v>
      </c>
      <c r="Z10" s="89">
        <f t="shared" si="14"/>
        <v>0</v>
      </c>
      <c r="AA10" s="171">
        <v>0</v>
      </c>
      <c r="AB10" s="44">
        <v>0</v>
      </c>
      <c r="AC10" s="44">
        <v>0</v>
      </c>
      <c r="AD10" s="11">
        <v>0</v>
      </c>
      <c r="AE10" s="72">
        <f t="shared" si="15"/>
        <v>7.9</v>
      </c>
      <c r="AF10" s="72">
        <f t="shared" si="16"/>
        <v>7.9</v>
      </c>
      <c r="AG10" s="11">
        <f t="shared" si="7"/>
        <v>100</v>
      </c>
      <c r="AH10" s="72">
        <f t="shared" si="17"/>
        <v>0</v>
      </c>
      <c r="AI10" s="18">
        <f t="shared" si="10"/>
        <v>0</v>
      </c>
    </row>
    <row r="11" spans="1:35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11"/>
        <v>464.5</v>
      </c>
      <c r="N11" s="89">
        <f t="shared" si="12"/>
        <v>346.7</v>
      </c>
      <c r="O11" s="11">
        <f t="shared" si="8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44">
        <f>9+50.5</f>
        <v>59.5</v>
      </c>
      <c r="T11" s="44">
        <f>7.6+48.7</f>
        <v>56.300000000000004</v>
      </c>
      <c r="U11" s="11">
        <f t="shared" si="4"/>
        <v>94.6218487394958</v>
      </c>
      <c r="V11" s="44">
        <f>8.6+67.6</f>
        <v>76.19999999999999</v>
      </c>
      <c r="W11" s="44">
        <f>7+223.5</f>
        <v>230.5</v>
      </c>
      <c r="X11" s="11">
        <f t="shared" si="5"/>
        <v>302.49343832021003</v>
      </c>
      <c r="Y11" s="89">
        <f t="shared" si="13"/>
        <v>217.5</v>
      </c>
      <c r="Z11" s="89">
        <f t="shared" si="14"/>
        <v>337.9</v>
      </c>
      <c r="AA11" s="11">
        <f t="shared" si="9"/>
        <v>155.35632183908046</v>
      </c>
      <c r="AB11" s="44">
        <f>6.6+62.2</f>
        <v>68.8</v>
      </c>
      <c r="AC11" s="44">
        <f>7.1+60.6</f>
        <v>67.7</v>
      </c>
      <c r="AD11" s="11">
        <f t="shared" si="6"/>
        <v>98.40116279069768</v>
      </c>
      <c r="AE11" s="72">
        <f t="shared" si="15"/>
        <v>750.8</v>
      </c>
      <c r="AF11" s="72">
        <f t="shared" si="16"/>
        <v>752.3</v>
      </c>
      <c r="AG11" s="11">
        <f t="shared" si="7"/>
        <v>100.19978689397975</v>
      </c>
      <c r="AH11" s="72">
        <f t="shared" si="17"/>
        <v>-1.5</v>
      </c>
      <c r="AI11" s="18">
        <f t="shared" si="10"/>
        <v>0.6000000000000227</v>
      </c>
    </row>
    <row r="12" spans="1:35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11"/>
        <v>130.2</v>
      </c>
      <c r="N12" s="89">
        <f t="shared" si="12"/>
        <v>120.4</v>
      </c>
      <c r="O12" s="11">
        <f t="shared" si="8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44">
        <v>71.4</v>
      </c>
      <c r="T12" s="44">
        <v>71.4</v>
      </c>
      <c r="U12" s="11">
        <f t="shared" si="4"/>
        <v>100</v>
      </c>
      <c r="V12" s="44">
        <v>62.3</v>
      </c>
      <c r="W12" s="44">
        <v>62.3</v>
      </c>
      <c r="X12" s="11">
        <f t="shared" si="5"/>
        <v>100</v>
      </c>
      <c r="Y12" s="89">
        <f t="shared" si="13"/>
        <v>267.2</v>
      </c>
      <c r="Z12" s="89">
        <f t="shared" si="14"/>
        <v>277</v>
      </c>
      <c r="AA12" s="11">
        <f t="shared" si="9"/>
        <v>103.6676646706587</v>
      </c>
      <c r="AB12" s="44">
        <v>78.4</v>
      </c>
      <c r="AC12" s="44">
        <v>78.4</v>
      </c>
      <c r="AD12" s="11">
        <f t="shared" si="6"/>
        <v>100</v>
      </c>
      <c r="AE12" s="72">
        <f t="shared" si="15"/>
        <v>475.79999999999995</v>
      </c>
      <c r="AF12" s="72">
        <f t="shared" si="16"/>
        <v>475.79999999999995</v>
      </c>
      <c r="AG12" s="11">
        <f t="shared" si="7"/>
        <v>100</v>
      </c>
      <c r="AH12" s="72">
        <f t="shared" si="17"/>
        <v>0</v>
      </c>
      <c r="AI12" s="18">
        <f t="shared" si="10"/>
        <v>-1.1999999999999886</v>
      </c>
    </row>
    <row r="13" spans="1:35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18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11"/>
        <v>144.5</v>
      </c>
      <c r="N13" s="89">
        <f t="shared" si="12"/>
        <v>146.9</v>
      </c>
      <c r="O13" s="11">
        <f t="shared" si="8"/>
        <v>101.66089965397924</v>
      </c>
      <c r="P13" s="44">
        <v>55.3</v>
      </c>
      <c r="Q13" s="44">
        <v>54.3</v>
      </c>
      <c r="R13" s="140">
        <f t="shared" si="3"/>
        <v>98.19168173598554</v>
      </c>
      <c r="S13" s="44">
        <v>50.9</v>
      </c>
      <c r="T13" s="44">
        <v>51.6</v>
      </c>
      <c r="U13" s="140">
        <f t="shared" si="4"/>
        <v>101.37524557956779</v>
      </c>
      <c r="V13" s="44">
        <v>49.5</v>
      </c>
      <c r="W13" s="44">
        <v>48.2</v>
      </c>
      <c r="X13" s="11">
        <f t="shared" si="5"/>
        <v>97.37373737373738</v>
      </c>
      <c r="Y13" s="89">
        <f t="shared" si="13"/>
        <v>155.7</v>
      </c>
      <c r="Z13" s="89">
        <f t="shared" si="14"/>
        <v>154.10000000000002</v>
      </c>
      <c r="AA13" s="11">
        <f t="shared" si="9"/>
        <v>98.9723827874117</v>
      </c>
      <c r="AB13" s="44">
        <v>56</v>
      </c>
      <c r="AC13" s="44">
        <v>52.1</v>
      </c>
      <c r="AD13" s="11">
        <f t="shared" si="6"/>
        <v>93.03571428571429</v>
      </c>
      <c r="AE13" s="72">
        <f t="shared" si="15"/>
        <v>356.2</v>
      </c>
      <c r="AF13" s="72">
        <f t="shared" si="16"/>
        <v>353.1</v>
      </c>
      <c r="AG13" s="11">
        <f t="shared" si="7"/>
        <v>99.12970241437395</v>
      </c>
      <c r="AH13" s="72">
        <f t="shared" si="17"/>
        <v>3.099999999999966</v>
      </c>
      <c r="AI13" s="18">
        <f t="shared" si="10"/>
        <v>3.3999999999999773</v>
      </c>
    </row>
    <row r="14" spans="1:35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18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11"/>
        <v>71.4</v>
      </c>
      <c r="N14" s="89">
        <f t="shared" si="12"/>
        <v>4.3</v>
      </c>
      <c r="O14" s="11">
        <f t="shared" si="8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44">
        <v>22.6</v>
      </c>
      <c r="T14" s="44">
        <v>24.3</v>
      </c>
      <c r="U14" s="11">
        <f t="shared" si="4"/>
        <v>107.52212389380531</v>
      </c>
      <c r="V14" s="44">
        <v>19.3</v>
      </c>
      <c r="W14" s="44">
        <v>18</v>
      </c>
      <c r="X14" s="11">
        <f t="shared" si="5"/>
        <v>93.26424870466322</v>
      </c>
      <c r="Y14" s="89">
        <f t="shared" si="13"/>
        <v>67.2</v>
      </c>
      <c r="Z14" s="89">
        <f t="shared" si="14"/>
        <v>64.4</v>
      </c>
      <c r="AA14" s="11">
        <f t="shared" si="9"/>
        <v>95.83333333333334</v>
      </c>
      <c r="AB14" s="44">
        <v>18.6</v>
      </c>
      <c r="AC14" s="44">
        <v>19.9</v>
      </c>
      <c r="AD14" s="11">
        <f t="shared" si="6"/>
        <v>106.98924731182795</v>
      </c>
      <c r="AE14" s="72">
        <f t="shared" si="15"/>
        <v>157.20000000000002</v>
      </c>
      <c r="AF14" s="72">
        <f t="shared" si="16"/>
        <v>88.6</v>
      </c>
      <c r="AG14" s="11">
        <f t="shared" si="7"/>
        <v>56.36132315521628</v>
      </c>
      <c r="AH14" s="72">
        <f t="shared" si="17"/>
        <v>68.60000000000002</v>
      </c>
      <c r="AI14" s="18">
        <f t="shared" si="10"/>
        <v>-2.09999999999998</v>
      </c>
    </row>
    <row r="15" spans="1:35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18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11"/>
        <v>299.7</v>
      </c>
      <c r="N15" s="89">
        <f t="shared" si="12"/>
        <v>297.8</v>
      </c>
      <c r="O15" s="11">
        <f t="shared" si="8"/>
        <v>99.36603269936603</v>
      </c>
      <c r="P15" s="44">
        <f>63.4+39</f>
        <v>102.4</v>
      </c>
      <c r="Q15" s="44">
        <f>60.3+36.2</f>
        <v>96.5</v>
      </c>
      <c r="R15" s="140">
        <f t="shared" si="3"/>
        <v>94.23828125</v>
      </c>
      <c r="S15" s="44">
        <f>99.6</f>
        <v>99.6</v>
      </c>
      <c r="T15" s="44">
        <f>119.3</f>
        <v>119.3</v>
      </c>
      <c r="U15" s="140">
        <f t="shared" si="4"/>
        <v>119.77911646586345</v>
      </c>
      <c r="V15" s="44">
        <v>93.8</v>
      </c>
      <c r="W15" s="44">
        <v>62.2</v>
      </c>
      <c r="X15" s="11">
        <f t="shared" si="5"/>
        <v>66.31130063965885</v>
      </c>
      <c r="Y15" s="89">
        <f t="shared" si="13"/>
        <v>295.8</v>
      </c>
      <c r="Z15" s="89">
        <f t="shared" si="14"/>
        <v>278</v>
      </c>
      <c r="AA15" s="11">
        <f t="shared" si="9"/>
        <v>93.98242055442867</v>
      </c>
      <c r="AB15" s="44">
        <v>31.4</v>
      </c>
      <c r="AC15" s="44">
        <v>48</v>
      </c>
      <c r="AD15" s="11">
        <f t="shared" si="6"/>
        <v>152.86624203821657</v>
      </c>
      <c r="AE15" s="72">
        <f t="shared" si="15"/>
        <v>626.9</v>
      </c>
      <c r="AF15" s="72">
        <f t="shared" si="16"/>
        <v>623.8</v>
      </c>
      <c r="AG15" s="11">
        <f t="shared" si="7"/>
        <v>99.50550327005901</v>
      </c>
      <c r="AH15" s="72">
        <f t="shared" si="17"/>
        <v>3.1000000000000227</v>
      </c>
      <c r="AI15" s="18">
        <f t="shared" si="10"/>
        <v>2.7000000000000455</v>
      </c>
    </row>
    <row r="16" spans="1:35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18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11"/>
        <v>14.8</v>
      </c>
      <c r="N16" s="89">
        <f t="shared" si="12"/>
        <v>14.5</v>
      </c>
      <c r="O16" s="11">
        <f t="shared" si="8"/>
        <v>97.97297297297297</v>
      </c>
      <c r="P16" s="44">
        <v>4.4</v>
      </c>
      <c r="Q16" s="44">
        <v>4.5</v>
      </c>
      <c r="R16" s="11">
        <f t="shared" si="3"/>
        <v>102.27272727272727</v>
      </c>
      <c r="S16" s="44">
        <v>3.9</v>
      </c>
      <c r="T16" s="44">
        <v>3.9</v>
      </c>
      <c r="U16" s="11">
        <f t="shared" si="4"/>
        <v>100</v>
      </c>
      <c r="V16" s="44">
        <v>3.8</v>
      </c>
      <c r="W16" s="44">
        <v>3.8</v>
      </c>
      <c r="X16" s="11">
        <f t="shared" si="5"/>
        <v>100</v>
      </c>
      <c r="Y16" s="89">
        <f t="shared" si="13"/>
        <v>12.100000000000001</v>
      </c>
      <c r="Z16" s="89">
        <f t="shared" si="14"/>
        <v>12.2</v>
      </c>
      <c r="AA16" s="11">
        <f t="shared" si="9"/>
        <v>100.82644628099172</v>
      </c>
      <c r="AB16" s="44">
        <v>4.3</v>
      </c>
      <c r="AC16" s="44">
        <v>4.3</v>
      </c>
      <c r="AD16" s="11">
        <f t="shared" si="6"/>
        <v>100</v>
      </c>
      <c r="AE16" s="72">
        <f t="shared" si="15"/>
        <v>31.200000000000003</v>
      </c>
      <c r="AF16" s="72">
        <f t="shared" si="16"/>
        <v>31</v>
      </c>
      <c r="AG16" s="11">
        <f t="shared" si="7"/>
        <v>99.35897435897435</v>
      </c>
      <c r="AH16" s="72">
        <f t="shared" si="17"/>
        <v>0.20000000000000284</v>
      </c>
      <c r="AI16" s="18">
        <f t="shared" si="10"/>
        <v>-5.599999999999998</v>
      </c>
    </row>
    <row r="17" spans="1:35" ht="24.75" customHeight="1">
      <c r="A17" s="13" t="s">
        <v>22</v>
      </c>
      <c r="B17" s="15" t="s">
        <v>99</v>
      </c>
      <c r="C17" s="117">
        <f>10.7</f>
        <v>10.7</v>
      </c>
      <c r="D17" s="44">
        <f>0.4+12.7</f>
        <v>13.1</v>
      </c>
      <c r="E17" s="44">
        <v>0.4</v>
      </c>
      <c r="F17" s="11">
        <f t="shared" si="18"/>
        <v>3.053435114503817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14.1+33.3</f>
        <v>47.4</v>
      </c>
      <c r="K17" s="44">
        <f>20.1+33.3</f>
        <v>53.4</v>
      </c>
      <c r="L17" s="11">
        <f t="shared" si="2"/>
        <v>112.65822784810126</v>
      </c>
      <c r="M17" s="89">
        <f t="shared" si="11"/>
        <v>97</v>
      </c>
      <c r="N17" s="89">
        <f t="shared" si="12"/>
        <v>82.19999999999999</v>
      </c>
      <c r="O17" s="11">
        <f t="shared" si="8"/>
        <v>84.7422680412371</v>
      </c>
      <c r="P17" s="44">
        <f>29.1+15.6</f>
        <v>44.7</v>
      </c>
      <c r="Q17" s="44">
        <f>29.1+13.8</f>
        <v>42.900000000000006</v>
      </c>
      <c r="R17" s="11">
        <f t="shared" si="3"/>
        <v>95.97315436241611</v>
      </c>
      <c r="S17" s="44">
        <f>15+34.9</f>
        <v>49.9</v>
      </c>
      <c r="T17" s="44">
        <f>13.8+34.9</f>
        <v>48.7</v>
      </c>
      <c r="U17" s="11">
        <f t="shared" si="4"/>
        <v>97.59519038076154</v>
      </c>
      <c r="V17" s="44">
        <f>14.3+27.4</f>
        <v>41.7</v>
      </c>
      <c r="W17" s="44">
        <f>16.4+27.4</f>
        <v>43.8</v>
      </c>
      <c r="X17" s="11">
        <f t="shared" si="5"/>
        <v>105.03597122302158</v>
      </c>
      <c r="Y17" s="89">
        <f t="shared" si="13"/>
        <v>136.3</v>
      </c>
      <c r="Z17" s="89">
        <f t="shared" si="14"/>
        <v>135.4</v>
      </c>
      <c r="AA17" s="11">
        <f t="shared" si="9"/>
        <v>99.33969185619955</v>
      </c>
      <c r="AB17" s="44">
        <f>3.7+72</f>
        <v>75.7</v>
      </c>
      <c r="AC17" s="44">
        <f>13+72</f>
        <v>85</v>
      </c>
      <c r="AD17" s="11">
        <f t="shared" si="6"/>
        <v>112.28533685601056</v>
      </c>
      <c r="AE17" s="72">
        <f t="shared" si="15"/>
        <v>309</v>
      </c>
      <c r="AF17" s="72">
        <f t="shared" si="16"/>
        <v>302.6</v>
      </c>
      <c r="AG17" s="11">
        <f t="shared" si="7"/>
        <v>97.92880258899676</v>
      </c>
      <c r="AH17" s="72">
        <f t="shared" si="17"/>
        <v>6.399999999999977</v>
      </c>
      <c r="AI17" s="18">
        <f t="shared" si="10"/>
        <v>17.099999999999966</v>
      </c>
    </row>
    <row r="18" spans="1:35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18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11"/>
        <v>112.2</v>
      </c>
      <c r="N18" s="89">
        <f t="shared" si="12"/>
        <v>112.2</v>
      </c>
      <c r="O18" s="11">
        <f t="shared" si="8"/>
        <v>100</v>
      </c>
      <c r="P18" s="44">
        <v>33.5</v>
      </c>
      <c r="Q18" s="44">
        <v>33.5</v>
      </c>
      <c r="R18" s="11">
        <f t="shared" si="3"/>
        <v>100</v>
      </c>
      <c r="S18" s="44">
        <v>32.9</v>
      </c>
      <c r="T18" s="44">
        <v>34.5</v>
      </c>
      <c r="U18" s="11">
        <f t="shared" si="4"/>
        <v>104.86322188449849</v>
      </c>
      <c r="V18" s="44">
        <v>45</v>
      </c>
      <c r="W18" s="44">
        <v>45.1</v>
      </c>
      <c r="X18" s="11">
        <f t="shared" si="5"/>
        <v>100.22222222222223</v>
      </c>
      <c r="Y18" s="89">
        <f t="shared" si="13"/>
        <v>111.4</v>
      </c>
      <c r="Z18" s="89">
        <f t="shared" si="14"/>
        <v>113.1</v>
      </c>
      <c r="AA18" s="11">
        <f t="shared" si="9"/>
        <v>101.52603231597845</v>
      </c>
      <c r="AB18" s="44">
        <v>40.6</v>
      </c>
      <c r="AC18" s="44">
        <v>35</v>
      </c>
      <c r="AD18" s="11">
        <f t="shared" si="6"/>
        <v>86.20689655172413</v>
      </c>
      <c r="AE18" s="72">
        <f t="shared" si="15"/>
        <v>264.20000000000005</v>
      </c>
      <c r="AF18" s="72">
        <f t="shared" si="16"/>
        <v>260.3</v>
      </c>
      <c r="AG18" s="11">
        <f t="shared" si="7"/>
        <v>98.52384557153671</v>
      </c>
      <c r="AH18" s="72">
        <f t="shared" si="17"/>
        <v>3.900000000000034</v>
      </c>
      <c r="AI18" s="18">
        <f t="shared" si="10"/>
        <v>5.500000000000057</v>
      </c>
    </row>
    <row r="19" spans="1:35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18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11"/>
        <v>177.8</v>
      </c>
      <c r="N19" s="89">
        <f t="shared" si="12"/>
        <v>183.29999999999998</v>
      </c>
      <c r="O19" s="11">
        <f t="shared" si="8"/>
        <v>103.09336332958378</v>
      </c>
      <c r="P19" s="44">
        <v>61.4</v>
      </c>
      <c r="Q19" s="44">
        <v>61.1</v>
      </c>
      <c r="R19" s="140">
        <f t="shared" si="3"/>
        <v>99.51140065146579</v>
      </c>
      <c r="S19" s="44">
        <v>78.3</v>
      </c>
      <c r="T19" s="44">
        <v>78.6</v>
      </c>
      <c r="U19" s="140">
        <f t="shared" si="4"/>
        <v>100.38314176245211</v>
      </c>
      <c r="V19" s="44">
        <v>80</v>
      </c>
      <c r="W19" s="44">
        <v>79.6</v>
      </c>
      <c r="X19" s="11">
        <f t="shared" si="5"/>
        <v>99.49999999999999</v>
      </c>
      <c r="Y19" s="89">
        <f t="shared" si="13"/>
        <v>219.7</v>
      </c>
      <c r="Z19" s="89">
        <f t="shared" si="14"/>
        <v>219.29999999999998</v>
      </c>
      <c r="AA19" s="11">
        <f t="shared" si="9"/>
        <v>99.8179335457442</v>
      </c>
      <c r="AB19" s="44">
        <v>75</v>
      </c>
      <c r="AC19" s="44">
        <v>75.7</v>
      </c>
      <c r="AD19" s="11">
        <f t="shared" si="6"/>
        <v>100.93333333333334</v>
      </c>
      <c r="AE19" s="72">
        <f t="shared" si="15"/>
        <v>472.5</v>
      </c>
      <c r="AF19" s="72">
        <f t="shared" si="16"/>
        <v>478.29999999999995</v>
      </c>
      <c r="AG19" s="11">
        <f t="shared" si="7"/>
        <v>101.22751322751323</v>
      </c>
      <c r="AH19" s="72">
        <f t="shared" si="17"/>
        <v>-5.7999999999999545</v>
      </c>
      <c r="AI19" s="18">
        <f t="shared" si="10"/>
        <v>0</v>
      </c>
    </row>
    <row r="20" spans="1:35" ht="24.75" customHeight="1">
      <c r="A20" s="13" t="s">
        <v>25</v>
      </c>
      <c r="B20" s="15" t="s">
        <v>102</v>
      </c>
      <c r="C20" s="118">
        <v>0</v>
      </c>
      <c r="D20" s="44">
        <v>2.7</v>
      </c>
      <c r="E20" s="44">
        <v>0</v>
      </c>
      <c r="F20" s="11">
        <f t="shared" si="18"/>
        <v>0</v>
      </c>
      <c r="G20" s="44">
        <v>12.2</v>
      </c>
      <c r="H20" s="44">
        <v>14.9</v>
      </c>
      <c r="I20" s="75">
        <f t="shared" si="1"/>
        <v>122.13114754098362</v>
      </c>
      <c r="J20" s="44">
        <v>18.1</v>
      </c>
      <c r="K20" s="44">
        <v>23.6</v>
      </c>
      <c r="L20" s="75">
        <f t="shared" si="2"/>
        <v>130.38674033149172</v>
      </c>
      <c r="M20" s="89">
        <f t="shared" si="11"/>
        <v>33</v>
      </c>
      <c r="N20" s="89">
        <f t="shared" si="12"/>
        <v>38.5</v>
      </c>
      <c r="O20" s="11">
        <f t="shared" si="8"/>
        <v>116.66666666666667</v>
      </c>
      <c r="P20" s="44">
        <v>18</v>
      </c>
      <c r="Q20" s="44">
        <v>10.7</v>
      </c>
      <c r="R20" s="140">
        <f t="shared" si="3"/>
        <v>59.44444444444444</v>
      </c>
      <c r="S20" s="44">
        <v>25.2</v>
      </c>
      <c r="T20" s="44">
        <v>35.3</v>
      </c>
      <c r="U20" s="140">
        <f t="shared" si="4"/>
        <v>140.07936507936506</v>
      </c>
      <c r="V20" s="44">
        <v>55.6</v>
      </c>
      <c r="W20" s="44">
        <v>55.6</v>
      </c>
      <c r="X20" s="11">
        <f t="shared" si="5"/>
        <v>100</v>
      </c>
      <c r="Y20" s="89">
        <f t="shared" si="13"/>
        <v>98.80000000000001</v>
      </c>
      <c r="Z20" s="89">
        <f t="shared" si="14"/>
        <v>101.6</v>
      </c>
      <c r="AA20" s="11">
        <f t="shared" si="9"/>
        <v>102.83400809716599</v>
      </c>
      <c r="AB20" s="44">
        <v>67.1</v>
      </c>
      <c r="AC20" s="44">
        <v>67.1</v>
      </c>
      <c r="AD20" s="11">
        <f t="shared" si="6"/>
        <v>100</v>
      </c>
      <c r="AE20" s="72">
        <f t="shared" si="15"/>
        <v>198.9</v>
      </c>
      <c r="AF20" s="72">
        <f t="shared" si="16"/>
        <v>207.2</v>
      </c>
      <c r="AG20" s="11">
        <f t="shared" si="7"/>
        <v>104.17295123177475</v>
      </c>
      <c r="AH20" s="72">
        <f t="shared" si="17"/>
        <v>-8.299999999999983</v>
      </c>
      <c r="AI20" s="18">
        <f t="shared" si="10"/>
        <v>-8.299999999999983</v>
      </c>
    </row>
    <row r="21" spans="1:35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18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11"/>
        <v>4.8</v>
      </c>
      <c r="N21" s="89">
        <f t="shared" si="12"/>
        <v>4.800000000000001</v>
      </c>
      <c r="O21" s="11">
        <f t="shared" si="8"/>
        <v>100.00000000000003</v>
      </c>
      <c r="P21" s="44">
        <v>1.9</v>
      </c>
      <c r="Q21" s="44">
        <v>1.9</v>
      </c>
      <c r="R21" s="140">
        <f t="shared" si="3"/>
        <v>100</v>
      </c>
      <c r="S21" s="44">
        <v>2.5</v>
      </c>
      <c r="T21" s="44">
        <v>2.5</v>
      </c>
      <c r="U21" s="140">
        <f t="shared" si="4"/>
        <v>100</v>
      </c>
      <c r="V21" s="44">
        <v>2.5</v>
      </c>
      <c r="W21" s="44">
        <v>2.5</v>
      </c>
      <c r="X21" s="11">
        <f t="shared" si="5"/>
        <v>100</v>
      </c>
      <c r="Y21" s="89">
        <f t="shared" si="13"/>
        <v>6.9</v>
      </c>
      <c r="Z21" s="89">
        <f t="shared" si="14"/>
        <v>6.9</v>
      </c>
      <c r="AA21" s="11">
        <f t="shared" si="9"/>
        <v>100</v>
      </c>
      <c r="AB21" s="44">
        <v>1.1</v>
      </c>
      <c r="AC21" s="44">
        <v>1.1</v>
      </c>
      <c r="AD21" s="11">
        <f t="shared" si="6"/>
        <v>100</v>
      </c>
      <c r="AE21" s="72">
        <f t="shared" si="15"/>
        <v>12.799999999999999</v>
      </c>
      <c r="AF21" s="72">
        <f t="shared" si="16"/>
        <v>12.8</v>
      </c>
      <c r="AG21" s="11">
        <f t="shared" si="7"/>
        <v>100.00000000000003</v>
      </c>
      <c r="AH21" s="72">
        <f t="shared" si="17"/>
        <v>0</v>
      </c>
      <c r="AI21" s="18">
        <f t="shared" si="10"/>
        <v>0</v>
      </c>
    </row>
    <row r="22" spans="1:35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18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11"/>
        <v>22.1</v>
      </c>
      <c r="N22" s="89">
        <f t="shared" si="12"/>
        <v>22.1</v>
      </c>
      <c r="O22" s="11">
        <f t="shared" si="8"/>
        <v>100</v>
      </c>
      <c r="P22" s="44">
        <v>17.9</v>
      </c>
      <c r="Q22" s="44">
        <v>17.9</v>
      </c>
      <c r="R22" s="140">
        <f t="shared" si="3"/>
        <v>100</v>
      </c>
      <c r="S22" s="44">
        <v>8.7</v>
      </c>
      <c r="T22" s="44">
        <v>8.7</v>
      </c>
      <c r="U22" s="140">
        <f t="shared" si="4"/>
        <v>100</v>
      </c>
      <c r="V22" s="44">
        <v>0.6</v>
      </c>
      <c r="W22" s="44">
        <v>0.2</v>
      </c>
      <c r="X22" s="11">
        <f t="shared" si="5"/>
        <v>33.333333333333336</v>
      </c>
      <c r="Y22" s="89">
        <f t="shared" si="13"/>
        <v>27.2</v>
      </c>
      <c r="Z22" s="89">
        <f t="shared" si="14"/>
        <v>26.799999999999997</v>
      </c>
      <c r="AA22" s="11">
        <f t="shared" si="9"/>
        <v>98.52941176470587</v>
      </c>
      <c r="AB22" s="44">
        <v>5.2</v>
      </c>
      <c r="AC22" s="44">
        <v>4.9</v>
      </c>
      <c r="AD22" s="11">
        <f t="shared" si="6"/>
        <v>94.23076923076923</v>
      </c>
      <c r="AE22" s="72">
        <f t="shared" si="15"/>
        <v>54.5</v>
      </c>
      <c r="AF22" s="72">
        <f t="shared" si="16"/>
        <v>53.8</v>
      </c>
      <c r="AG22" s="11">
        <f t="shared" si="7"/>
        <v>98.71559633027522</v>
      </c>
      <c r="AH22" s="72">
        <f t="shared" si="17"/>
        <v>0.7000000000000028</v>
      </c>
      <c r="AI22" s="18">
        <f t="shared" si="10"/>
        <v>0.7000000000000028</v>
      </c>
    </row>
    <row r="23" spans="1:35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18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11"/>
        <v>7.6</v>
      </c>
      <c r="N23" s="89">
        <f t="shared" si="12"/>
        <v>6.199999999999999</v>
      </c>
      <c r="O23" s="11">
        <f t="shared" si="8"/>
        <v>81.57894736842105</v>
      </c>
      <c r="P23" s="44">
        <v>2.9</v>
      </c>
      <c r="Q23" s="44">
        <v>2.9</v>
      </c>
      <c r="R23" s="11">
        <f t="shared" si="3"/>
        <v>100</v>
      </c>
      <c r="S23" s="44">
        <v>2.4</v>
      </c>
      <c r="T23" s="44">
        <v>2.6</v>
      </c>
      <c r="U23" s="11">
        <f t="shared" si="4"/>
        <v>108.33333333333334</v>
      </c>
      <c r="V23" s="44">
        <v>3</v>
      </c>
      <c r="W23" s="44">
        <v>2.7</v>
      </c>
      <c r="X23" s="11">
        <f t="shared" si="5"/>
        <v>90</v>
      </c>
      <c r="Y23" s="89">
        <f t="shared" si="13"/>
        <v>8.3</v>
      </c>
      <c r="Z23" s="89">
        <f t="shared" si="14"/>
        <v>8.2</v>
      </c>
      <c r="AA23" s="11">
        <f t="shared" si="9"/>
        <v>98.79518072289156</v>
      </c>
      <c r="AB23" s="44">
        <v>2</v>
      </c>
      <c r="AC23" s="44">
        <v>3</v>
      </c>
      <c r="AD23" s="11">
        <f t="shared" si="6"/>
        <v>150</v>
      </c>
      <c r="AE23" s="72">
        <f t="shared" si="15"/>
        <v>17.9</v>
      </c>
      <c r="AF23" s="72">
        <f t="shared" si="16"/>
        <v>17.4</v>
      </c>
      <c r="AG23" s="11">
        <f t="shared" si="7"/>
        <v>97.20670391061452</v>
      </c>
      <c r="AH23" s="72">
        <f t="shared" si="17"/>
        <v>0.5</v>
      </c>
      <c r="AI23" s="18">
        <f t="shared" si="10"/>
        <v>2.3000000000000007</v>
      </c>
    </row>
    <row r="24" spans="1:35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11"/>
        <v>187.8</v>
      </c>
      <c r="N24" s="89">
        <f t="shared" si="12"/>
        <v>187.8</v>
      </c>
      <c r="O24" s="11">
        <f t="shared" si="8"/>
        <v>100</v>
      </c>
      <c r="P24" s="44">
        <v>64</v>
      </c>
      <c r="Q24" s="44">
        <v>64</v>
      </c>
      <c r="R24" s="11">
        <f t="shared" si="3"/>
        <v>100</v>
      </c>
      <c r="S24" s="44">
        <v>60.7</v>
      </c>
      <c r="T24" s="44">
        <v>60.7</v>
      </c>
      <c r="U24" s="11">
        <f t="shared" si="4"/>
        <v>100</v>
      </c>
      <c r="V24" s="44">
        <v>8.2</v>
      </c>
      <c r="W24" s="44">
        <v>8.2</v>
      </c>
      <c r="X24" s="11">
        <f t="shared" si="5"/>
        <v>100</v>
      </c>
      <c r="Y24" s="89">
        <f t="shared" si="13"/>
        <v>132.9</v>
      </c>
      <c r="Z24" s="89">
        <f t="shared" si="14"/>
        <v>132.9</v>
      </c>
      <c r="AA24" s="11">
        <f t="shared" si="9"/>
        <v>100</v>
      </c>
      <c r="AB24" s="44">
        <v>49.6</v>
      </c>
      <c r="AC24" s="44">
        <v>49.3</v>
      </c>
      <c r="AD24" s="11">
        <f t="shared" si="6"/>
        <v>99.39516129032258</v>
      </c>
      <c r="AE24" s="72">
        <f t="shared" si="15"/>
        <v>370.30000000000007</v>
      </c>
      <c r="AF24" s="72">
        <f t="shared" si="16"/>
        <v>370.00000000000006</v>
      </c>
      <c r="AG24" s="11">
        <f t="shared" si="7"/>
        <v>99.91898460707534</v>
      </c>
      <c r="AH24" s="72">
        <f t="shared" si="17"/>
        <v>0.30000000000001137</v>
      </c>
      <c r="AI24" s="18">
        <f t="shared" si="10"/>
        <v>0.30000000000001137</v>
      </c>
    </row>
    <row r="25" spans="1:35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11"/>
        <v>151.5</v>
      </c>
      <c r="N25" s="89">
        <f t="shared" si="12"/>
        <v>115.4</v>
      </c>
      <c r="O25" s="11">
        <f t="shared" si="8"/>
        <v>76.17161716171617</v>
      </c>
      <c r="P25" s="44">
        <v>50</v>
      </c>
      <c r="Q25" s="44">
        <v>50.3</v>
      </c>
      <c r="R25" s="11">
        <f t="shared" si="3"/>
        <v>100.6</v>
      </c>
      <c r="S25" s="44">
        <v>58.7</v>
      </c>
      <c r="T25" s="44">
        <v>50.1</v>
      </c>
      <c r="U25" s="11">
        <f t="shared" si="4"/>
        <v>85.34923339011925</v>
      </c>
      <c r="V25" s="44">
        <v>49.3</v>
      </c>
      <c r="W25" s="44">
        <v>51.6</v>
      </c>
      <c r="X25" s="11">
        <f t="shared" si="5"/>
        <v>104.66531440162272</v>
      </c>
      <c r="Y25" s="89">
        <f t="shared" si="13"/>
        <v>158</v>
      </c>
      <c r="Z25" s="89">
        <f t="shared" si="14"/>
        <v>152</v>
      </c>
      <c r="AA25" s="11">
        <f t="shared" si="9"/>
        <v>96.20253164556962</v>
      </c>
      <c r="AB25" s="44">
        <v>38.7</v>
      </c>
      <c r="AC25" s="44">
        <v>47.9</v>
      </c>
      <c r="AD25" s="11">
        <f t="shared" si="6"/>
        <v>123.77260981912144</v>
      </c>
      <c r="AE25" s="72">
        <f t="shared" si="15"/>
        <v>348.2</v>
      </c>
      <c r="AF25" s="72">
        <f t="shared" si="16"/>
        <v>315.29999999999995</v>
      </c>
      <c r="AG25" s="11">
        <f t="shared" si="7"/>
        <v>90.55140723721998</v>
      </c>
      <c r="AH25" s="72">
        <f t="shared" si="17"/>
        <v>32.900000000000034</v>
      </c>
      <c r="AI25" s="18">
        <f t="shared" si="10"/>
        <v>32.80000000000001</v>
      </c>
    </row>
    <row r="26" spans="1:35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11"/>
        <v>1.7</v>
      </c>
      <c r="N26" s="89">
        <f t="shared" si="12"/>
        <v>1.6</v>
      </c>
      <c r="O26" s="11">
        <f t="shared" si="8"/>
        <v>94.11764705882354</v>
      </c>
      <c r="P26" s="44">
        <v>0.7</v>
      </c>
      <c r="Q26" s="44">
        <v>0.7</v>
      </c>
      <c r="R26" s="11">
        <f t="shared" si="3"/>
        <v>100</v>
      </c>
      <c r="S26" s="44">
        <v>0.5</v>
      </c>
      <c r="T26" s="44">
        <v>0.6</v>
      </c>
      <c r="U26" s="11">
        <f t="shared" si="4"/>
        <v>120</v>
      </c>
      <c r="V26" s="44">
        <v>0.5</v>
      </c>
      <c r="W26" s="44">
        <v>0.5</v>
      </c>
      <c r="X26" s="11">
        <f t="shared" si="5"/>
        <v>100</v>
      </c>
      <c r="Y26" s="89">
        <f t="shared" si="13"/>
        <v>1.7</v>
      </c>
      <c r="Z26" s="89">
        <f t="shared" si="14"/>
        <v>1.7999999999999998</v>
      </c>
      <c r="AA26" s="11">
        <f t="shared" si="9"/>
        <v>105.88235294117648</v>
      </c>
      <c r="AB26" s="44">
        <v>0.2</v>
      </c>
      <c r="AC26" s="44">
        <v>0.2</v>
      </c>
      <c r="AD26" s="11">
        <f t="shared" si="6"/>
        <v>100</v>
      </c>
      <c r="AE26" s="72">
        <f t="shared" si="15"/>
        <v>3.6</v>
      </c>
      <c r="AF26" s="72">
        <f t="shared" si="16"/>
        <v>3.6</v>
      </c>
      <c r="AG26" s="11">
        <f t="shared" si="7"/>
        <v>100</v>
      </c>
      <c r="AH26" s="72">
        <f t="shared" si="17"/>
        <v>0</v>
      </c>
      <c r="AI26" s="18">
        <f t="shared" si="10"/>
        <v>0</v>
      </c>
    </row>
    <row r="27" spans="1:35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11"/>
        <v>57.4</v>
      </c>
      <c r="N27" s="89">
        <f t="shared" si="12"/>
        <v>35</v>
      </c>
      <c r="O27" s="11">
        <f t="shared" si="8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44">
        <v>20.1</v>
      </c>
      <c r="T27" s="44">
        <v>19.7</v>
      </c>
      <c r="U27" s="11">
        <f t="shared" si="4"/>
        <v>98.00995024875621</v>
      </c>
      <c r="V27" s="44">
        <v>22.3</v>
      </c>
      <c r="W27" s="44">
        <v>22.6</v>
      </c>
      <c r="X27" s="11">
        <f t="shared" si="5"/>
        <v>101.34529147982063</v>
      </c>
      <c r="Y27" s="89">
        <f t="shared" si="13"/>
        <v>63.900000000000006</v>
      </c>
      <c r="Z27" s="89">
        <f t="shared" si="14"/>
        <v>86.1</v>
      </c>
      <c r="AA27" s="11">
        <f t="shared" si="9"/>
        <v>134.74178403755866</v>
      </c>
      <c r="AB27" s="44">
        <v>11.6</v>
      </c>
      <c r="AC27" s="44">
        <v>1.2</v>
      </c>
      <c r="AD27" s="11">
        <f t="shared" si="6"/>
        <v>10.344827586206897</v>
      </c>
      <c r="AE27" s="72">
        <f t="shared" si="15"/>
        <v>132.9</v>
      </c>
      <c r="AF27" s="72">
        <f t="shared" si="16"/>
        <v>122.3</v>
      </c>
      <c r="AG27" s="11">
        <f t="shared" si="7"/>
        <v>92.02407825432655</v>
      </c>
      <c r="AH27" s="72">
        <f t="shared" si="17"/>
        <v>10.600000000000009</v>
      </c>
      <c r="AI27" s="18">
        <f t="shared" si="10"/>
        <v>10.600000000000009</v>
      </c>
    </row>
    <row r="28" spans="1:35" ht="24.75" customHeight="1">
      <c r="A28" s="13" t="s">
        <v>33</v>
      </c>
      <c r="B28" s="47" t="s">
        <v>109</v>
      </c>
      <c r="C28" s="118">
        <v>0</v>
      </c>
      <c r="D28" s="44">
        <v>53.1</v>
      </c>
      <c r="E28" s="44">
        <v>5.2</v>
      </c>
      <c r="F28" s="94">
        <f>E28/D28*100</f>
        <v>9.792843691148775</v>
      </c>
      <c r="G28" s="44">
        <v>56.4</v>
      </c>
      <c r="H28" s="44">
        <v>101.6</v>
      </c>
      <c r="I28" s="11">
        <f t="shared" si="1"/>
        <v>180.1418439716312</v>
      </c>
      <c r="J28" s="44">
        <v>53.1</v>
      </c>
      <c r="K28" s="44">
        <v>35.6</v>
      </c>
      <c r="L28" s="11">
        <f t="shared" si="2"/>
        <v>67.04331450094162</v>
      </c>
      <c r="M28" s="89">
        <f t="shared" si="11"/>
        <v>162.6</v>
      </c>
      <c r="N28" s="89">
        <f t="shared" si="12"/>
        <v>142.4</v>
      </c>
      <c r="O28" s="11">
        <f t="shared" si="8"/>
        <v>87.57687576875769</v>
      </c>
      <c r="P28" s="44">
        <v>49.3</v>
      </c>
      <c r="Q28" s="44">
        <v>38.3</v>
      </c>
      <c r="R28" s="11">
        <f t="shared" si="3"/>
        <v>77.68762677484787</v>
      </c>
      <c r="S28" s="44">
        <v>52.9</v>
      </c>
      <c r="T28" s="44">
        <v>59</v>
      </c>
      <c r="U28" s="11">
        <f t="shared" si="4"/>
        <v>111.531190926276</v>
      </c>
      <c r="V28" s="44">
        <v>69</v>
      </c>
      <c r="W28" s="44">
        <v>73.6</v>
      </c>
      <c r="X28" s="11">
        <f t="shared" si="5"/>
        <v>106.66666666666667</v>
      </c>
      <c r="Y28" s="89">
        <f t="shared" si="13"/>
        <v>171.2</v>
      </c>
      <c r="Z28" s="89">
        <f t="shared" si="14"/>
        <v>170.89999999999998</v>
      </c>
      <c r="AA28" s="11">
        <f t="shared" si="9"/>
        <v>99.82476635514018</v>
      </c>
      <c r="AB28" s="44">
        <v>41</v>
      </c>
      <c r="AC28" s="44">
        <v>46.7</v>
      </c>
      <c r="AD28" s="11">
        <f t="shared" si="6"/>
        <v>113.90243902439026</v>
      </c>
      <c r="AE28" s="72">
        <f t="shared" si="15"/>
        <v>374.79999999999995</v>
      </c>
      <c r="AF28" s="72">
        <f t="shared" si="16"/>
        <v>359.99999999999994</v>
      </c>
      <c r="AG28" s="11">
        <f t="shared" si="7"/>
        <v>96.05122732123799</v>
      </c>
      <c r="AH28" s="72">
        <f t="shared" si="17"/>
        <v>14.800000000000011</v>
      </c>
      <c r="AI28" s="18">
        <f t="shared" si="10"/>
        <v>14.800000000000011</v>
      </c>
    </row>
    <row r="29" spans="1:35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72"/>
      <c r="AF29" s="72"/>
      <c r="AG29" s="77"/>
      <c r="AH29" s="77"/>
      <c r="AI29" s="77"/>
    </row>
    <row r="30" spans="1:35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19" ref="L30:L43">K30/J30*100</f>
        <v>131.74603174603175</v>
      </c>
      <c r="M30" s="89">
        <f t="shared" si="11"/>
        <v>35.599999999999994</v>
      </c>
      <c r="N30" s="89">
        <f t="shared" si="12"/>
        <v>35.599999999999994</v>
      </c>
      <c r="O30" s="11">
        <f t="shared" si="8"/>
        <v>100</v>
      </c>
      <c r="P30" s="44">
        <v>20.2</v>
      </c>
      <c r="Q30" s="44">
        <v>20.2</v>
      </c>
      <c r="R30" s="140">
        <f aca="true" t="shared" si="20" ref="R30:R41">Q30/P30*100</f>
        <v>100</v>
      </c>
      <c r="S30" s="44">
        <v>21.6</v>
      </c>
      <c r="T30" s="44">
        <v>21.6</v>
      </c>
      <c r="U30" s="140">
        <f aca="true" t="shared" si="21" ref="U30:U41">T30/S30*100</f>
        <v>100</v>
      </c>
      <c r="V30" s="44">
        <v>16.7</v>
      </c>
      <c r="W30" s="44">
        <v>16.7</v>
      </c>
      <c r="X30" s="140">
        <f aca="true" t="shared" si="22" ref="X30:X41">W30/V30*100</f>
        <v>100</v>
      </c>
      <c r="Y30" s="89">
        <f aca="true" t="shared" si="23" ref="Y30:Y40">P30+S30+V30</f>
        <v>58.5</v>
      </c>
      <c r="Z30" s="89">
        <f aca="true" t="shared" si="24" ref="Z30:Z40">Q30+T30+W30</f>
        <v>58.5</v>
      </c>
      <c r="AA30" s="11">
        <f aca="true" t="shared" si="25" ref="AA30:AA43">Z30/Y30*100</f>
        <v>100</v>
      </c>
      <c r="AB30" s="44">
        <v>16.4</v>
      </c>
      <c r="AC30" s="44">
        <v>16.4</v>
      </c>
      <c r="AD30" s="140">
        <f aca="true" t="shared" si="26" ref="AD30:AD41">AC30/AB30*100</f>
        <v>100</v>
      </c>
      <c r="AE30" s="72">
        <f t="shared" si="15"/>
        <v>110.5</v>
      </c>
      <c r="AF30" s="72">
        <f t="shared" si="16"/>
        <v>110.5</v>
      </c>
      <c r="AG30" s="11">
        <f t="shared" si="7"/>
        <v>100</v>
      </c>
      <c r="AH30" s="72">
        <f t="shared" si="17"/>
        <v>0</v>
      </c>
      <c r="AI30" s="18">
        <f aca="true" t="shared" si="27" ref="AI30:AI40">C30+AE30-AF30</f>
        <v>0</v>
      </c>
    </row>
    <row r="31" spans="1:35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19"/>
        <v>101.10497237569061</v>
      </c>
      <c r="M31" s="89">
        <f t="shared" si="11"/>
        <v>53.5</v>
      </c>
      <c r="N31" s="89">
        <f t="shared" si="12"/>
        <v>50.7</v>
      </c>
      <c r="O31" s="11">
        <f t="shared" si="8"/>
        <v>94.76635514018692</v>
      </c>
      <c r="P31" s="44">
        <v>20.4</v>
      </c>
      <c r="Q31" s="44">
        <v>19.5</v>
      </c>
      <c r="R31" s="11">
        <f t="shared" si="20"/>
        <v>95.58823529411765</v>
      </c>
      <c r="S31" s="44">
        <v>25.5</v>
      </c>
      <c r="T31" s="44">
        <v>24.9</v>
      </c>
      <c r="U31" s="11">
        <f t="shared" si="21"/>
        <v>97.6470588235294</v>
      </c>
      <c r="V31" s="44">
        <v>22.7</v>
      </c>
      <c r="W31" s="44">
        <v>21.2</v>
      </c>
      <c r="X31" s="11">
        <f t="shared" si="22"/>
        <v>93.3920704845815</v>
      </c>
      <c r="Y31" s="89">
        <f t="shared" si="23"/>
        <v>68.6</v>
      </c>
      <c r="Z31" s="89">
        <f t="shared" si="24"/>
        <v>65.6</v>
      </c>
      <c r="AA31" s="11">
        <f t="shared" si="25"/>
        <v>95.6268221574344</v>
      </c>
      <c r="AB31" s="44">
        <v>20.3</v>
      </c>
      <c r="AC31" s="44">
        <v>20.2</v>
      </c>
      <c r="AD31" s="11">
        <f t="shared" si="26"/>
        <v>99.50738916256157</v>
      </c>
      <c r="AE31" s="72">
        <f t="shared" si="15"/>
        <v>142.4</v>
      </c>
      <c r="AF31" s="72">
        <f t="shared" si="16"/>
        <v>136.5</v>
      </c>
      <c r="AG31" s="11">
        <f t="shared" si="7"/>
        <v>95.8567415730337</v>
      </c>
      <c r="AH31" s="72">
        <f t="shared" si="17"/>
        <v>5.900000000000006</v>
      </c>
      <c r="AI31" s="18">
        <f t="shared" si="27"/>
        <v>5.200000000000017</v>
      </c>
    </row>
    <row r="32" spans="1:35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19"/>
        <v>250.2049180327869</v>
      </c>
      <c r="M32" s="89">
        <f t="shared" si="11"/>
        <v>149.5</v>
      </c>
      <c r="N32" s="89">
        <f t="shared" si="12"/>
        <v>162.39999999999998</v>
      </c>
      <c r="O32" s="11">
        <f t="shared" si="8"/>
        <v>108.628762541806</v>
      </c>
      <c r="P32" s="44">
        <f>20+27.7</f>
        <v>47.7</v>
      </c>
      <c r="Q32" s="44">
        <f>19+30.5</f>
        <v>49.5</v>
      </c>
      <c r="R32" s="11">
        <f t="shared" si="20"/>
        <v>103.77358490566037</v>
      </c>
      <c r="S32" s="44">
        <f>24.3+24.7</f>
        <v>49</v>
      </c>
      <c r="T32" s="44">
        <f>19.5+36.7</f>
        <v>56.2</v>
      </c>
      <c r="U32" s="11">
        <f t="shared" si="21"/>
        <v>114.6938775510204</v>
      </c>
      <c r="V32" s="44">
        <f>30.3+24.2</f>
        <v>54.5</v>
      </c>
      <c r="W32" s="44">
        <f>16.2+24.7</f>
        <v>40.9</v>
      </c>
      <c r="X32" s="11">
        <f t="shared" si="22"/>
        <v>75.04587155963303</v>
      </c>
      <c r="Y32" s="89">
        <f t="shared" si="23"/>
        <v>151.2</v>
      </c>
      <c r="Z32" s="89">
        <f t="shared" si="24"/>
        <v>146.6</v>
      </c>
      <c r="AA32" s="11">
        <f t="shared" si="25"/>
        <v>96.95767195767196</v>
      </c>
      <c r="AB32" s="44">
        <f>38.2+17</f>
        <v>55.2</v>
      </c>
      <c r="AC32" s="44">
        <f>27.4+24.2</f>
        <v>51.599999999999994</v>
      </c>
      <c r="AD32" s="11">
        <f t="shared" si="26"/>
        <v>93.4782608695652</v>
      </c>
      <c r="AE32" s="72">
        <f t="shared" si="15"/>
        <v>355.9</v>
      </c>
      <c r="AF32" s="72">
        <f t="shared" si="16"/>
        <v>360.6</v>
      </c>
      <c r="AG32" s="11">
        <f t="shared" si="7"/>
        <v>101.32059567294185</v>
      </c>
      <c r="AH32" s="72">
        <f t="shared" si="17"/>
        <v>-4.7000000000000455</v>
      </c>
      <c r="AI32" s="18">
        <f t="shared" si="27"/>
        <v>44.599999999999966</v>
      </c>
    </row>
    <row r="33" spans="1:35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19"/>
        <v>101.79211469534049</v>
      </c>
      <c r="M33" s="89">
        <f t="shared" si="11"/>
        <v>151.9</v>
      </c>
      <c r="N33" s="89">
        <f t="shared" si="12"/>
        <v>103.1</v>
      </c>
      <c r="O33" s="11">
        <f t="shared" si="8"/>
        <v>67.87360105332455</v>
      </c>
      <c r="P33" s="44">
        <f>63.7+9.4</f>
        <v>73.10000000000001</v>
      </c>
      <c r="Q33" s="44">
        <f>52.9+9.6</f>
        <v>62.5</v>
      </c>
      <c r="R33" s="11">
        <f t="shared" si="20"/>
        <v>85.49931600547195</v>
      </c>
      <c r="S33" s="44">
        <f>56.6+6</f>
        <v>62.6</v>
      </c>
      <c r="T33" s="44">
        <f>63.8+4.2</f>
        <v>68</v>
      </c>
      <c r="U33" s="11">
        <f t="shared" si="21"/>
        <v>108.62619808306708</v>
      </c>
      <c r="V33" s="44">
        <f>67.7+4.7</f>
        <v>72.4</v>
      </c>
      <c r="W33" s="44">
        <f>55.2+4.6</f>
        <v>59.800000000000004</v>
      </c>
      <c r="X33" s="11">
        <f t="shared" si="22"/>
        <v>82.59668508287292</v>
      </c>
      <c r="Y33" s="89">
        <f t="shared" si="23"/>
        <v>208.10000000000002</v>
      </c>
      <c r="Z33" s="89">
        <f t="shared" si="24"/>
        <v>190.3</v>
      </c>
      <c r="AA33" s="11">
        <f t="shared" si="25"/>
        <v>91.44641999038923</v>
      </c>
      <c r="AB33" s="44">
        <f>43.1+4.7</f>
        <v>47.800000000000004</v>
      </c>
      <c r="AC33" s="44">
        <f>61.9+6.1</f>
        <v>68</v>
      </c>
      <c r="AD33" s="11">
        <f t="shared" si="26"/>
        <v>142.2594142259414</v>
      </c>
      <c r="AE33" s="72">
        <f t="shared" si="15"/>
        <v>407.8</v>
      </c>
      <c r="AF33" s="72">
        <f t="shared" si="16"/>
        <v>361.4</v>
      </c>
      <c r="AG33" s="11">
        <f t="shared" si="7"/>
        <v>88.62187346738597</v>
      </c>
      <c r="AH33" s="72">
        <f t="shared" si="17"/>
        <v>46.400000000000034</v>
      </c>
      <c r="AI33" s="18">
        <f t="shared" si="27"/>
        <v>40.80000000000001</v>
      </c>
    </row>
    <row r="34" spans="1:35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19"/>
        <v>100</v>
      </c>
      <c r="M34" s="89">
        <f t="shared" si="11"/>
        <v>37.3</v>
      </c>
      <c r="N34" s="89">
        <f t="shared" si="12"/>
        <v>37.3</v>
      </c>
      <c r="O34" s="11">
        <f t="shared" si="8"/>
        <v>100</v>
      </c>
      <c r="P34" s="44">
        <v>12.7</v>
      </c>
      <c r="Q34" s="44">
        <v>10.7</v>
      </c>
      <c r="R34" s="140">
        <f t="shared" si="20"/>
        <v>84.25196850393701</v>
      </c>
      <c r="S34" s="44">
        <v>11.2</v>
      </c>
      <c r="T34" s="44">
        <v>13.2</v>
      </c>
      <c r="U34" s="140">
        <f t="shared" si="21"/>
        <v>117.85714285714286</v>
      </c>
      <c r="V34" s="44">
        <v>11.7</v>
      </c>
      <c r="W34" s="44">
        <v>11.7</v>
      </c>
      <c r="X34" s="140">
        <f t="shared" si="22"/>
        <v>100</v>
      </c>
      <c r="Y34" s="89">
        <f t="shared" si="23"/>
        <v>35.599999999999994</v>
      </c>
      <c r="Z34" s="89">
        <f t="shared" si="24"/>
        <v>35.599999999999994</v>
      </c>
      <c r="AA34" s="11">
        <f t="shared" si="25"/>
        <v>100</v>
      </c>
      <c r="AB34" s="44">
        <v>10.2</v>
      </c>
      <c r="AC34" s="44">
        <v>10</v>
      </c>
      <c r="AD34" s="140">
        <f t="shared" si="26"/>
        <v>98.03921568627452</v>
      </c>
      <c r="AE34" s="72">
        <f t="shared" si="15"/>
        <v>83.1</v>
      </c>
      <c r="AF34" s="72">
        <f t="shared" si="16"/>
        <v>82.89999999999999</v>
      </c>
      <c r="AG34" s="11">
        <f t="shared" si="7"/>
        <v>99.75932611311671</v>
      </c>
      <c r="AH34" s="72">
        <f t="shared" si="17"/>
        <v>0.20000000000000284</v>
      </c>
      <c r="AI34" s="18">
        <f t="shared" si="27"/>
        <v>0</v>
      </c>
    </row>
    <row r="35" spans="1:35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28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19"/>
        <v>31.862745098039213</v>
      </c>
      <c r="M35" s="89">
        <f t="shared" si="11"/>
        <v>251.70000000000005</v>
      </c>
      <c r="N35" s="89">
        <f t="shared" si="12"/>
        <v>142.6</v>
      </c>
      <c r="O35" s="11">
        <f t="shared" si="8"/>
        <v>56.654747715534356</v>
      </c>
      <c r="P35" s="44">
        <f>79+11.8</f>
        <v>90.8</v>
      </c>
      <c r="Q35" s="44">
        <f>71.3+11.7</f>
        <v>83</v>
      </c>
      <c r="R35" s="11">
        <f t="shared" si="20"/>
        <v>91.40969162995594</v>
      </c>
      <c r="S35" s="44">
        <f>107.8+12.8</f>
        <v>120.6</v>
      </c>
      <c r="T35" s="44">
        <f>114.7+12.7</f>
        <v>127.4</v>
      </c>
      <c r="U35" s="11">
        <f t="shared" si="21"/>
        <v>105.63847429519073</v>
      </c>
      <c r="V35" s="44">
        <f>107.9+12.6</f>
        <v>120.5</v>
      </c>
      <c r="W35" s="44">
        <f>106.9+12.6</f>
        <v>119.5</v>
      </c>
      <c r="X35" s="11">
        <f t="shared" si="22"/>
        <v>99.1701244813278</v>
      </c>
      <c r="Y35" s="89">
        <f t="shared" si="23"/>
        <v>331.9</v>
      </c>
      <c r="Z35" s="89">
        <f t="shared" si="24"/>
        <v>329.9</v>
      </c>
      <c r="AA35" s="11">
        <f t="shared" si="25"/>
        <v>99.39740885808979</v>
      </c>
      <c r="AB35" s="44">
        <f>76.8+8.3</f>
        <v>85.1</v>
      </c>
      <c r="AC35" s="44">
        <f>152.3+8.3</f>
        <v>160.60000000000002</v>
      </c>
      <c r="AD35" s="11">
        <f t="shared" si="26"/>
        <v>188.71915393654527</v>
      </c>
      <c r="AE35" s="72">
        <f t="shared" si="15"/>
        <v>668.7</v>
      </c>
      <c r="AF35" s="72">
        <f t="shared" si="16"/>
        <v>633.1</v>
      </c>
      <c r="AG35" s="11">
        <f t="shared" si="7"/>
        <v>94.67623747569911</v>
      </c>
      <c r="AH35" s="72">
        <f t="shared" si="17"/>
        <v>35.60000000000002</v>
      </c>
      <c r="AI35" s="18">
        <f t="shared" si="27"/>
        <v>33.10000000000002</v>
      </c>
    </row>
    <row r="36" spans="1:35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28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19"/>
        <v>95.503746877602</v>
      </c>
      <c r="M36" s="89">
        <f t="shared" si="11"/>
        <v>364</v>
      </c>
      <c r="N36" s="89">
        <f t="shared" si="12"/>
        <v>357</v>
      </c>
      <c r="O36" s="11">
        <f t="shared" si="8"/>
        <v>98.07692307692307</v>
      </c>
      <c r="P36" s="44">
        <f>110.3+3.4+1.6</f>
        <v>115.3</v>
      </c>
      <c r="Q36" s="44">
        <f>114.1+3.4+4</f>
        <v>121.5</v>
      </c>
      <c r="R36" s="11">
        <f t="shared" si="20"/>
        <v>105.37727666955767</v>
      </c>
      <c r="S36" s="44">
        <f>99.6+3.2+1.9</f>
        <v>104.7</v>
      </c>
      <c r="T36" s="44">
        <f>99.8+3.2+0.1</f>
        <v>103.1</v>
      </c>
      <c r="U36" s="11">
        <f t="shared" si="21"/>
        <v>98.47182425978987</v>
      </c>
      <c r="V36" s="44">
        <f>115.3+3.4+1.8</f>
        <v>120.5</v>
      </c>
      <c r="W36" s="44">
        <f>115.2+3.4+1.9</f>
        <v>120.50000000000001</v>
      </c>
      <c r="X36" s="11">
        <f t="shared" si="22"/>
        <v>100.00000000000003</v>
      </c>
      <c r="Y36" s="89">
        <f t="shared" si="23"/>
        <v>340.5</v>
      </c>
      <c r="Z36" s="89">
        <f t="shared" si="24"/>
        <v>345.1</v>
      </c>
      <c r="AA36" s="11">
        <f t="shared" si="25"/>
        <v>101.35095447870779</v>
      </c>
      <c r="AB36" s="44">
        <f>1.9+111.2+2.9</f>
        <v>116.00000000000001</v>
      </c>
      <c r="AC36" s="44">
        <f>3.5+111.3+2.8</f>
        <v>117.6</v>
      </c>
      <c r="AD36" s="11">
        <f t="shared" si="26"/>
        <v>101.37931034482757</v>
      </c>
      <c r="AE36" s="72">
        <f t="shared" si="15"/>
        <v>820.5</v>
      </c>
      <c r="AF36" s="72">
        <f t="shared" si="16"/>
        <v>819.7</v>
      </c>
      <c r="AG36" s="11">
        <f t="shared" si="7"/>
        <v>99.90249847653871</v>
      </c>
      <c r="AH36" s="72">
        <f t="shared" si="17"/>
        <v>0.7999999999999545</v>
      </c>
      <c r="AI36" s="18">
        <f t="shared" si="27"/>
        <v>0.8999999999999773</v>
      </c>
    </row>
    <row r="37" spans="1:35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28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19"/>
        <v>228.07613868116928</v>
      </c>
      <c r="M37" s="89">
        <f t="shared" si="11"/>
        <v>481.6</v>
      </c>
      <c r="N37" s="89">
        <f t="shared" si="12"/>
        <v>426.8</v>
      </c>
      <c r="O37" s="11">
        <f t="shared" si="8"/>
        <v>88.62126245847176</v>
      </c>
      <c r="P37" s="44">
        <f>156.4+2.5</f>
        <v>158.9</v>
      </c>
      <c r="Q37" s="44">
        <f>137.2+1.6</f>
        <v>138.79999999999998</v>
      </c>
      <c r="R37" s="11">
        <f t="shared" si="20"/>
        <v>87.35053492762742</v>
      </c>
      <c r="S37" s="44">
        <f>139.9+2</f>
        <v>141.9</v>
      </c>
      <c r="T37" s="44">
        <f>215.9+3.6</f>
        <v>219.5</v>
      </c>
      <c r="U37" s="11">
        <f t="shared" si="21"/>
        <v>154.68639887244538</v>
      </c>
      <c r="V37" s="44">
        <f>137+1.8</f>
        <v>138.8</v>
      </c>
      <c r="W37" s="44">
        <f>147.2+1</f>
        <v>148.2</v>
      </c>
      <c r="X37" s="11">
        <f t="shared" si="22"/>
        <v>106.7723342939481</v>
      </c>
      <c r="Y37" s="89">
        <f t="shared" si="23"/>
        <v>439.6</v>
      </c>
      <c r="Z37" s="89">
        <f t="shared" si="24"/>
        <v>506.49999999999994</v>
      </c>
      <c r="AA37" s="11">
        <f t="shared" si="25"/>
        <v>115.21838034576885</v>
      </c>
      <c r="AB37" s="44">
        <f>223.7+2.5</f>
        <v>226.2</v>
      </c>
      <c r="AC37" s="44">
        <f>218.8+2.3</f>
        <v>221.10000000000002</v>
      </c>
      <c r="AD37" s="11">
        <f t="shared" si="26"/>
        <v>97.7453580901857</v>
      </c>
      <c r="AE37" s="72">
        <f t="shared" si="15"/>
        <v>1147.4</v>
      </c>
      <c r="AF37" s="72">
        <f t="shared" si="16"/>
        <v>1154.4</v>
      </c>
      <c r="AG37" s="11">
        <f t="shared" si="7"/>
        <v>100.61007495206553</v>
      </c>
      <c r="AH37" s="72">
        <f t="shared" si="17"/>
        <v>-7</v>
      </c>
      <c r="AI37" s="18">
        <f t="shared" si="27"/>
        <v>-5.2000000000000455</v>
      </c>
    </row>
    <row r="38" spans="1:35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28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19"/>
        <v>100</v>
      </c>
      <c r="M38" s="89">
        <f t="shared" si="11"/>
        <v>113.30000000000001</v>
      </c>
      <c r="N38" s="89">
        <f t="shared" si="12"/>
        <v>81.4</v>
      </c>
      <c r="O38" s="11">
        <f t="shared" si="8"/>
        <v>71.84466019417476</v>
      </c>
      <c r="P38" s="44">
        <v>48.5</v>
      </c>
      <c r="Q38" s="44">
        <v>44.1</v>
      </c>
      <c r="R38" s="11">
        <f t="shared" si="20"/>
        <v>90.9278350515464</v>
      </c>
      <c r="S38" s="44">
        <v>42.6</v>
      </c>
      <c r="T38" s="44">
        <v>44.7</v>
      </c>
      <c r="U38" s="11">
        <f t="shared" si="21"/>
        <v>104.92957746478872</v>
      </c>
      <c r="V38" s="44">
        <v>47</v>
      </c>
      <c r="W38" s="44">
        <v>45.3</v>
      </c>
      <c r="X38" s="11">
        <f t="shared" si="22"/>
        <v>96.38297872340425</v>
      </c>
      <c r="Y38" s="89">
        <f t="shared" si="23"/>
        <v>138.1</v>
      </c>
      <c r="Z38" s="89">
        <f t="shared" si="24"/>
        <v>134.10000000000002</v>
      </c>
      <c r="AA38" s="11">
        <f t="shared" si="25"/>
        <v>97.10354815351197</v>
      </c>
      <c r="AB38" s="44">
        <v>30.8</v>
      </c>
      <c r="AC38" s="44">
        <v>41.3</v>
      </c>
      <c r="AD38" s="11">
        <f t="shared" si="26"/>
        <v>134.0909090909091</v>
      </c>
      <c r="AE38" s="72">
        <f t="shared" si="15"/>
        <v>282.2</v>
      </c>
      <c r="AF38" s="72">
        <f t="shared" si="16"/>
        <v>256.8</v>
      </c>
      <c r="AG38" s="11">
        <f t="shared" si="7"/>
        <v>90.99929128277819</v>
      </c>
      <c r="AH38" s="72">
        <f t="shared" si="17"/>
        <v>25.399999999999977</v>
      </c>
      <c r="AI38" s="18">
        <f t="shared" si="27"/>
        <v>62.19999999999999</v>
      </c>
    </row>
    <row r="39" spans="1:35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28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19"/>
        <v>99.45130315500685</v>
      </c>
      <c r="M39" s="89">
        <f t="shared" si="11"/>
        <v>215.5</v>
      </c>
      <c r="N39" s="89">
        <f t="shared" si="12"/>
        <v>184.39999999999998</v>
      </c>
      <c r="O39" s="11">
        <f t="shared" si="8"/>
        <v>85.56844547563804</v>
      </c>
      <c r="P39" s="44">
        <v>71.8</v>
      </c>
      <c r="Q39" s="44">
        <v>94.5</v>
      </c>
      <c r="R39" s="140">
        <f t="shared" si="20"/>
        <v>131.61559888579387</v>
      </c>
      <c r="S39" s="44">
        <v>56.4</v>
      </c>
      <c r="T39" s="44">
        <v>56.8</v>
      </c>
      <c r="U39" s="140">
        <f t="shared" si="21"/>
        <v>100.70921985815602</v>
      </c>
      <c r="V39" s="44">
        <v>67.6</v>
      </c>
      <c r="W39" s="44">
        <v>42.8</v>
      </c>
      <c r="X39" s="140">
        <f t="shared" si="22"/>
        <v>63.31360946745562</v>
      </c>
      <c r="Y39" s="89">
        <f t="shared" si="23"/>
        <v>195.79999999999998</v>
      </c>
      <c r="Z39" s="89">
        <f t="shared" si="24"/>
        <v>194.10000000000002</v>
      </c>
      <c r="AA39" s="11">
        <f t="shared" si="25"/>
        <v>99.13176710929523</v>
      </c>
      <c r="AB39" s="44">
        <v>59.5</v>
      </c>
      <c r="AC39" s="44">
        <v>84.5</v>
      </c>
      <c r="AD39" s="140">
        <f t="shared" si="26"/>
        <v>142.01680672268907</v>
      </c>
      <c r="AE39" s="72">
        <f t="shared" si="15"/>
        <v>470.79999999999995</v>
      </c>
      <c r="AF39" s="72">
        <f t="shared" si="16"/>
        <v>463</v>
      </c>
      <c r="AG39" s="11">
        <f t="shared" si="7"/>
        <v>98.34324553950722</v>
      </c>
      <c r="AH39" s="72">
        <f t="shared" si="17"/>
        <v>7.7999999999999545</v>
      </c>
      <c r="AI39" s="18">
        <f t="shared" si="27"/>
        <v>-0.7000000000000455</v>
      </c>
    </row>
    <row r="40" spans="1:35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28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19"/>
        <v>113.15240083507308</v>
      </c>
      <c r="M40" s="89">
        <f t="shared" si="11"/>
        <v>151.3</v>
      </c>
      <c r="N40" s="89">
        <f t="shared" si="12"/>
        <v>104.5</v>
      </c>
      <c r="O40" s="11">
        <f t="shared" si="8"/>
        <v>69.0680766688698</v>
      </c>
      <c r="P40" s="44">
        <f>26.4+28.4</f>
        <v>54.8</v>
      </c>
      <c r="Q40" s="44">
        <f>23.5+25.2</f>
        <v>48.7</v>
      </c>
      <c r="R40" s="140">
        <f t="shared" si="20"/>
        <v>88.86861313868614</v>
      </c>
      <c r="S40" s="44">
        <f>18.8+26.9</f>
        <v>45.7</v>
      </c>
      <c r="T40" s="44">
        <f>26.5+27.2</f>
        <v>53.7</v>
      </c>
      <c r="U40" s="140">
        <f t="shared" si="21"/>
        <v>117.5054704595186</v>
      </c>
      <c r="V40" s="44">
        <f>19.5+28.9</f>
        <v>48.4</v>
      </c>
      <c r="W40" s="44">
        <f>18.9+27.8</f>
        <v>46.7</v>
      </c>
      <c r="X40" s="140">
        <f t="shared" si="22"/>
        <v>96.48760330578513</v>
      </c>
      <c r="Y40" s="89">
        <f t="shared" si="23"/>
        <v>148.9</v>
      </c>
      <c r="Z40" s="89">
        <f t="shared" si="24"/>
        <v>149.10000000000002</v>
      </c>
      <c r="AA40" s="11">
        <f t="shared" si="25"/>
        <v>100.13431833445266</v>
      </c>
      <c r="AB40" s="44">
        <f>14.5+25.9</f>
        <v>40.4</v>
      </c>
      <c r="AC40" s="44">
        <f>19.2+29.1</f>
        <v>48.3</v>
      </c>
      <c r="AD40" s="140">
        <f t="shared" si="26"/>
        <v>119.55445544554455</v>
      </c>
      <c r="AE40" s="72">
        <f t="shared" si="15"/>
        <v>340.6</v>
      </c>
      <c r="AF40" s="72">
        <f t="shared" si="16"/>
        <v>301.90000000000003</v>
      </c>
      <c r="AG40" s="11">
        <f t="shared" si="7"/>
        <v>88.63769817968291</v>
      </c>
      <c r="AH40" s="72">
        <f t="shared" si="17"/>
        <v>38.69999999999999</v>
      </c>
      <c r="AI40" s="18">
        <f t="shared" si="27"/>
        <v>37.69999999999999</v>
      </c>
    </row>
    <row r="41" spans="1:35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28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19"/>
        <v>126.20772946859904</v>
      </c>
      <c r="M41" s="18">
        <f>SUM(M42:M42)</f>
        <v>5769.9</v>
      </c>
      <c r="N41" s="18">
        <f>SUM(N42:N42)</f>
        <v>4478.6</v>
      </c>
      <c r="O41" s="11">
        <f t="shared" si="8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20"/>
        <v>89.97149002150752</v>
      </c>
      <c r="S41" s="18">
        <f>SUM(S42:S42)</f>
        <v>1846.5</v>
      </c>
      <c r="T41" s="18">
        <f>SUM(T42:T42)</f>
        <v>1917.3</v>
      </c>
      <c r="U41" s="11">
        <f t="shared" si="21"/>
        <v>103.83428107229895</v>
      </c>
      <c r="V41" s="18">
        <f>SUM(V42:V42)</f>
        <v>1765.2</v>
      </c>
      <c r="W41" s="18">
        <f>SUM(W42:W42)</f>
        <v>1819.1000000000001</v>
      </c>
      <c r="X41" s="11">
        <f t="shared" si="22"/>
        <v>103.05347835939271</v>
      </c>
      <c r="Y41" s="18">
        <f>SUM(Y42:Y42)</f>
        <v>5611</v>
      </c>
      <c r="Z41" s="18">
        <f>SUM(Z42:Z42)</f>
        <v>5535.2</v>
      </c>
      <c r="AA41" s="11">
        <f t="shared" si="25"/>
        <v>98.64908216004277</v>
      </c>
      <c r="AB41" s="18">
        <f>SUM(AB42:AB42)</f>
        <v>1390.1</v>
      </c>
      <c r="AC41" s="18">
        <f>SUM(AC42:AC42)</f>
        <v>1718.4</v>
      </c>
      <c r="AD41" s="11">
        <f t="shared" si="26"/>
        <v>123.61700597079349</v>
      </c>
      <c r="AE41" s="140">
        <f>AE42</f>
        <v>12771</v>
      </c>
      <c r="AF41" s="140">
        <f>AF42</f>
        <v>11732.199999999999</v>
      </c>
      <c r="AG41" s="11">
        <f t="shared" si="7"/>
        <v>91.86594628455093</v>
      </c>
      <c r="AH41" s="18">
        <f>SUM(AH42:AH42)</f>
        <v>1038.800000000001</v>
      </c>
      <c r="AI41" s="18">
        <f>SUM(AI42:AI42)</f>
        <v>743.7000000000007</v>
      </c>
    </row>
    <row r="42" spans="1:35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28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19"/>
        <v>126.20772946859904</v>
      </c>
      <c r="M42" s="89">
        <f t="shared" si="11"/>
        <v>5769.9</v>
      </c>
      <c r="N42" s="89">
        <f t="shared" si="12"/>
        <v>4478.6</v>
      </c>
      <c r="O42" s="11">
        <f t="shared" si="8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44">
        <f>724.6+1121.9</f>
        <v>1846.5</v>
      </c>
      <c r="T42" s="44">
        <f>749.5+1167.8</f>
        <v>1917.3</v>
      </c>
      <c r="U42" s="11">
        <f>944.5+1563.5</f>
        <v>2508</v>
      </c>
      <c r="V42" s="44">
        <f>734.8+1030.4</f>
        <v>1765.2</v>
      </c>
      <c r="W42" s="44">
        <f>759.2+1059.9</f>
        <v>1819.1000000000001</v>
      </c>
      <c r="X42" s="11">
        <f>944.5+1563.5</f>
        <v>2508</v>
      </c>
      <c r="Y42" s="89">
        <f>P42+S42+V42</f>
        <v>5611</v>
      </c>
      <c r="Z42" s="89">
        <f>Q42+T42+W42</f>
        <v>5535.2</v>
      </c>
      <c r="AA42" s="11">
        <f t="shared" si="25"/>
        <v>98.64908216004277</v>
      </c>
      <c r="AB42" s="44">
        <f>614.3+775.8</f>
        <v>1390.1</v>
      </c>
      <c r="AC42" s="44">
        <f>669.1+1049.3</f>
        <v>1718.4</v>
      </c>
      <c r="AD42" s="11">
        <f>944.5+1563.5</f>
        <v>2508</v>
      </c>
      <c r="AE42" s="72">
        <f>M42+Y42+AB42</f>
        <v>12771</v>
      </c>
      <c r="AF42" s="72">
        <f>N42+Z42+AC42</f>
        <v>11732.199999999999</v>
      </c>
      <c r="AG42" s="11">
        <f t="shared" si="7"/>
        <v>91.86594628455093</v>
      </c>
      <c r="AH42" s="72">
        <f t="shared" si="17"/>
        <v>1038.800000000001</v>
      </c>
      <c r="AI42" s="18">
        <f>C42+AE42-AF42</f>
        <v>743.7000000000007</v>
      </c>
    </row>
    <row r="43" spans="1:35" ht="30" customHeight="1">
      <c r="A43" s="13"/>
      <c r="B43" s="16" t="s">
        <v>122</v>
      </c>
      <c r="C43" s="83">
        <f>C41+C7</f>
        <v>-305.70000000000005</v>
      </c>
      <c r="D43" s="18">
        <f>D41+D7</f>
        <v>3361.8</v>
      </c>
      <c r="E43" s="18">
        <f>E41+E7</f>
        <v>727.9000000000001</v>
      </c>
      <c r="F43" s="11">
        <f>E43/D43*100</f>
        <v>21.65209114165031</v>
      </c>
      <c r="G43" s="18">
        <f>G7+G41</f>
        <v>3399.5</v>
      </c>
      <c r="H43" s="18">
        <f>H7+H41</f>
        <v>3394.7</v>
      </c>
      <c r="I43" s="11">
        <f t="shared" si="1"/>
        <v>99.85880276511251</v>
      </c>
      <c r="J43" s="18">
        <f>J7+J41</f>
        <v>3617.1000000000004</v>
      </c>
      <c r="K43" s="18">
        <f>K7+K41</f>
        <v>4345.5</v>
      </c>
      <c r="L43" s="11">
        <f t="shared" si="19"/>
        <v>120.13767935639046</v>
      </c>
      <c r="M43" s="18">
        <f>M7+M41</f>
        <v>10378.400000000001</v>
      </c>
      <c r="N43" s="18">
        <f>N7+N41</f>
        <v>8468.1</v>
      </c>
      <c r="O43" s="11">
        <f t="shared" si="8"/>
        <v>81.59350188853772</v>
      </c>
      <c r="P43" s="18">
        <f>P7+P41</f>
        <v>3636.5</v>
      </c>
      <c r="Q43" s="18">
        <f>Q7+Q41</f>
        <v>3380</v>
      </c>
      <c r="R43" s="11">
        <f>Q43/P43*100</f>
        <v>92.94651450570603</v>
      </c>
      <c r="S43" s="18">
        <f>S7+S41</f>
        <v>3360.5</v>
      </c>
      <c r="T43" s="18">
        <f>T7+T41</f>
        <v>3568.6000000000004</v>
      </c>
      <c r="U43" s="11">
        <f>T43/S43*100</f>
        <v>106.19253087338194</v>
      </c>
      <c r="V43" s="18">
        <f>V7+V41</f>
        <v>3307.4</v>
      </c>
      <c r="W43" s="18">
        <f>W7+W41</f>
        <v>3439.7000000000007</v>
      </c>
      <c r="X43" s="11">
        <f>W43/V43*100</f>
        <v>104.00012094092037</v>
      </c>
      <c r="Y43" s="18">
        <f>Y7+Y41</f>
        <v>10304.4</v>
      </c>
      <c r="Z43" s="18">
        <f>Z7+Z41</f>
        <v>10388.300000000001</v>
      </c>
      <c r="AA43" s="11">
        <f t="shared" si="25"/>
        <v>100.81421528667367</v>
      </c>
      <c r="AB43" s="18">
        <f>AB7+AB41</f>
        <v>2901.5</v>
      </c>
      <c r="AC43" s="18">
        <f>AC7+AC41</f>
        <v>3379.4</v>
      </c>
      <c r="AD43" s="11">
        <f>AC43/AB43*100</f>
        <v>116.47079097018785</v>
      </c>
      <c r="AE43" s="83">
        <f>AE7+AE41</f>
        <v>23584.3</v>
      </c>
      <c r="AF43" s="83">
        <f>AF7+AF41</f>
        <v>22235.799999999996</v>
      </c>
      <c r="AG43" s="11">
        <f>AF43/AE43*100</f>
        <v>94.28221316723412</v>
      </c>
      <c r="AH43" s="18">
        <f>AH7+AH41</f>
        <v>1348.500000000001</v>
      </c>
      <c r="AI43" s="18">
        <f>AI7+AI41</f>
        <v>1042.8000000000006</v>
      </c>
    </row>
    <row r="44" spans="1:47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25"/>
      <c r="AF44" s="25"/>
      <c r="AG44" s="86"/>
      <c r="AH44" s="86"/>
      <c r="AI44" s="85"/>
      <c r="AJ44" s="85"/>
      <c r="AK44" s="85"/>
      <c r="AL44" s="85"/>
      <c r="AM44" s="85"/>
      <c r="AN44" s="85"/>
      <c r="AO44" s="85"/>
      <c r="AP44" s="85"/>
      <c r="AQ44" s="85"/>
      <c r="AR44" s="46"/>
      <c r="AS44" s="46"/>
      <c r="AT44" s="46"/>
      <c r="AU44" s="46"/>
    </row>
    <row r="45" spans="1:47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34"/>
      <c r="AF45" s="34"/>
      <c r="AG45" s="61"/>
      <c r="AH45" s="166" t="s">
        <v>137</v>
      </c>
      <c r="AI45" s="167"/>
      <c r="AJ45" s="28"/>
      <c r="AK45" s="28"/>
      <c r="AL45" s="28"/>
      <c r="AM45" s="28"/>
      <c r="AN45" s="28"/>
      <c r="AO45" s="27"/>
      <c r="AP45" s="6"/>
      <c r="AQ45" s="6"/>
      <c r="AR45" s="29"/>
      <c r="AS45" s="6"/>
      <c r="AU45" s="6"/>
    </row>
    <row r="46" spans="1:47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0"/>
      <c r="AF46" s="40"/>
      <c r="AG46" s="41"/>
      <c r="AH46" s="2"/>
      <c r="AI46" s="4" t="s">
        <v>135</v>
      </c>
      <c r="AJ46" s="28"/>
      <c r="AK46" s="28"/>
      <c r="AL46" s="28"/>
      <c r="AM46" s="28"/>
      <c r="AN46" s="28"/>
      <c r="AO46" s="27"/>
      <c r="AP46" s="6"/>
      <c r="AQ46" s="6"/>
      <c r="AR46" s="29"/>
      <c r="AS46" s="6"/>
      <c r="AU46" s="6"/>
    </row>
    <row r="47" spans="1:47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I47" s="2"/>
      <c r="AJ47" s="28"/>
      <c r="AK47" s="28"/>
      <c r="AL47" s="28"/>
      <c r="AM47" s="28"/>
      <c r="AN47" s="28"/>
      <c r="AO47" s="27"/>
      <c r="AP47" s="6"/>
      <c r="AQ47" s="6"/>
      <c r="AR47" s="29"/>
      <c r="AS47" s="6"/>
      <c r="AU47" s="6"/>
    </row>
    <row r="48" spans="1:47" ht="24.75" customHeight="1">
      <c r="A48" s="2"/>
      <c r="C48" s="31"/>
      <c r="D48" s="21"/>
      <c r="E48" s="21"/>
      <c r="F48" s="28"/>
      <c r="AJ48" s="21"/>
      <c r="AK48" s="21"/>
      <c r="AL48" s="21"/>
      <c r="AM48" s="21"/>
      <c r="AN48" s="21"/>
      <c r="AO48" s="21"/>
      <c r="AP48" s="7"/>
      <c r="AQ48" s="7"/>
      <c r="AR48" s="32"/>
      <c r="AS48" s="7"/>
      <c r="AU48" s="7"/>
    </row>
    <row r="49" spans="1:35" s="38" customFormat="1" ht="63.7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"/>
      <c r="AF49" s="2"/>
      <c r="AG49" s="12"/>
      <c r="AH49" s="2"/>
      <c r="AI49" s="2"/>
    </row>
    <row r="50" spans="1:35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21"/>
      <c r="AF50" s="21"/>
      <c r="AG50" s="60"/>
      <c r="AH50" s="21"/>
      <c r="AI50" s="21"/>
    </row>
    <row r="51" spans="2:35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21"/>
      <c r="AF51" s="21"/>
      <c r="AG51" s="60"/>
      <c r="AH51" s="21"/>
      <c r="AI51" s="21"/>
    </row>
    <row r="52" spans="7:35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21"/>
      <c r="AF52" s="21"/>
      <c r="AG52" s="60"/>
      <c r="AH52" s="21"/>
      <c r="AI52" s="21"/>
    </row>
    <row r="53" spans="2:35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21"/>
      <c r="AF53" s="21"/>
      <c r="AG53" s="60"/>
      <c r="AH53" s="21"/>
      <c r="AI53" s="21"/>
    </row>
    <row r="54" spans="2:35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21"/>
      <c r="AF54" s="21"/>
      <c r="AG54" s="60"/>
      <c r="AH54" s="21"/>
      <c r="AI54" s="21"/>
    </row>
    <row r="55" spans="2:35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21"/>
      <c r="AF55" s="21"/>
      <c r="AG55" s="60"/>
      <c r="AH55" s="21"/>
      <c r="AI55" s="21"/>
    </row>
    <row r="56" spans="7:35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21"/>
      <c r="AF56" s="21"/>
      <c r="AG56" s="60"/>
      <c r="AH56" s="21"/>
      <c r="AI56" s="21"/>
    </row>
    <row r="57" spans="7:35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21"/>
      <c r="AF57" s="21"/>
      <c r="AG57" s="60"/>
      <c r="AH57" s="21"/>
      <c r="AI57" s="21"/>
    </row>
    <row r="58" spans="7:35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21"/>
      <c r="AF58" s="21"/>
      <c r="AG58" s="60"/>
      <c r="AH58" s="21"/>
      <c r="AI58" s="21"/>
    </row>
    <row r="59" spans="7:35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21"/>
      <c r="AF59" s="21"/>
      <c r="AG59" s="60"/>
      <c r="AH59" s="21"/>
      <c r="AI59" s="21"/>
    </row>
    <row r="60" spans="7:35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21"/>
      <c r="AF60" s="21"/>
      <c r="AG60" s="60"/>
      <c r="AH60" s="21"/>
      <c r="AI60" s="21"/>
    </row>
    <row r="61" spans="7:35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21"/>
      <c r="AF61" s="21"/>
      <c r="AG61" s="60"/>
      <c r="AH61" s="21"/>
      <c r="AI61" s="21"/>
    </row>
    <row r="62" spans="7:35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1"/>
      <c r="AF62" s="21"/>
      <c r="AG62" s="60"/>
      <c r="AH62" s="21"/>
      <c r="AI62" s="21"/>
    </row>
    <row r="63" spans="7:35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21"/>
      <c r="AF63" s="21"/>
      <c r="AG63" s="60"/>
      <c r="AH63" s="21"/>
      <c r="AI63" s="21"/>
    </row>
    <row r="64" spans="7:35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1"/>
      <c r="AF64" s="21"/>
      <c r="AG64" s="60"/>
      <c r="AH64" s="21"/>
      <c r="AI64" s="21"/>
    </row>
    <row r="65" spans="7:35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1"/>
      <c r="AF65" s="21"/>
      <c r="AG65" s="60"/>
      <c r="AH65" s="21"/>
      <c r="AI65" s="21"/>
    </row>
    <row r="66" spans="7:35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21"/>
      <c r="AF66" s="21"/>
      <c r="AG66" s="60"/>
      <c r="AH66" s="21"/>
      <c r="AI66" s="21"/>
    </row>
    <row r="67" spans="7:35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21"/>
      <c r="AF67" s="21"/>
      <c r="AG67" s="60"/>
      <c r="AH67" s="21"/>
      <c r="AI67" s="21"/>
    </row>
    <row r="68" spans="7:35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21"/>
      <c r="AF68" s="21"/>
      <c r="AG68" s="60"/>
      <c r="AH68" s="21"/>
      <c r="AI68" s="21"/>
    </row>
    <row r="69" spans="7:35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21"/>
      <c r="AF69" s="21"/>
      <c r="AG69" s="60"/>
      <c r="AH69" s="21"/>
      <c r="AI69" s="21"/>
    </row>
    <row r="70" spans="7:35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21"/>
      <c r="AF70" s="21"/>
      <c r="AG70" s="60"/>
      <c r="AH70" s="21"/>
      <c r="AI70" s="21"/>
    </row>
    <row r="71" spans="7:35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21"/>
      <c r="AF71" s="21"/>
      <c r="AG71" s="60"/>
      <c r="AH71" s="21"/>
      <c r="AI71" s="21"/>
    </row>
    <row r="72" spans="7:35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21"/>
      <c r="AF72" s="21"/>
      <c r="AG72" s="60"/>
      <c r="AH72" s="21"/>
      <c r="AI72" s="21"/>
    </row>
    <row r="73" spans="7:35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21"/>
      <c r="AF73" s="21"/>
      <c r="AG73" s="60"/>
      <c r="AH73" s="21"/>
      <c r="AI73" s="21"/>
    </row>
    <row r="74" spans="7:35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21"/>
      <c r="AF74" s="21"/>
      <c r="AG74" s="60"/>
      <c r="AH74" s="21"/>
      <c r="AI74" s="21"/>
    </row>
    <row r="75" spans="7:35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21"/>
      <c r="AF75" s="21"/>
      <c r="AG75" s="60"/>
      <c r="AH75" s="21"/>
      <c r="AI75" s="21"/>
    </row>
    <row r="76" spans="7:35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21"/>
      <c r="AF76" s="21"/>
      <c r="AG76" s="60"/>
      <c r="AH76" s="21"/>
      <c r="AI76" s="21"/>
    </row>
    <row r="77" spans="7:35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21"/>
      <c r="AF77" s="21"/>
      <c r="AG77" s="60"/>
      <c r="AH77" s="21"/>
      <c r="AI77" s="21"/>
    </row>
    <row r="78" spans="7:35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21"/>
      <c r="AF78" s="21"/>
      <c r="AG78" s="60"/>
      <c r="AH78" s="21"/>
      <c r="AI78" s="21"/>
    </row>
    <row r="79" spans="7:35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21"/>
      <c r="AF79" s="21"/>
      <c r="AG79" s="60"/>
      <c r="AH79" s="21"/>
      <c r="AI79" s="21"/>
    </row>
    <row r="80" spans="7:35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21"/>
      <c r="AF80" s="21"/>
      <c r="AG80" s="60"/>
      <c r="AH80" s="21"/>
      <c r="AI80" s="21"/>
    </row>
    <row r="81" spans="7:35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21"/>
      <c r="AF81" s="21"/>
      <c r="AG81" s="60"/>
      <c r="AH81" s="21"/>
      <c r="AI81" s="21"/>
    </row>
    <row r="82" spans="7:35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21"/>
      <c r="AF82" s="21"/>
      <c r="AG82" s="60"/>
      <c r="AH82" s="21"/>
      <c r="AI82" s="21"/>
    </row>
    <row r="83" spans="7:35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21"/>
      <c r="AF83" s="21"/>
      <c r="AG83" s="60"/>
      <c r="AH83" s="21"/>
      <c r="AI83" s="21"/>
    </row>
    <row r="84" spans="7:35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21"/>
      <c r="AF84" s="21"/>
      <c r="AG84" s="60"/>
      <c r="AH84" s="21"/>
      <c r="AI84" s="21"/>
    </row>
    <row r="85" spans="7:35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21"/>
      <c r="AF85" s="21"/>
      <c r="AG85" s="60"/>
      <c r="AH85" s="21"/>
      <c r="AI85" s="21"/>
    </row>
    <row r="86" spans="7:35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21"/>
      <c r="AF86" s="21"/>
      <c r="AG86" s="60"/>
      <c r="AH86" s="21"/>
      <c r="AI86" s="21"/>
    </row>
    <row r="87" spans="7:35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21"/>
      <c r="AF87" s="21"/>
      <c r="AG87" s="60"/>
      <c r="AH87" s="21"/>
      <c r="AI87" s="21"/>
    </row>
    <row r="88" spans="7:35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21"/>
      <c r="AF88" s="21"/>
      <c r="AG88" s="60"/>
      <c r="AH88" s="21"/>
      <c r="AI88" s="21"/>
    </row>
    <row r="89" spans="7:35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21"/>
      <c r="AF89" s="21"/>
      <c r="AG89" s="60"/>
      <c r="AH89" s="21"/>
      <c r="AI89" s="21"/>
    </row>
    <row r="90" spans="7:35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21"/>
      <c r="AF90" s="21"/>
      <c r="AG90" s="60"/>
      <c r="AH90" s="21"/>
      <c r="AI90" s="21"/>
    </row>
    <row r="91" spans="7:35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21"/>
      <c r="AF91" s="21"/>
      <c r="AG91" s="60"/>
      <c r="AH91" s="21"/>
      <c r="AI91" s="21"/>
    </row>
    <row r="92" spans="7:35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21"/>
      <c r="AF92" s="21"/>
      <c r="AG92" s="60"/>
      <c r="AH92" s="21"/>
      <c r="AI92" s="21"/>
    </row>
    <row r="93" spans="7:35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21"/>
      <c r="AF93" s="21"/>
      <c r="AG93" s="60"/>
      <c r="AH93" s="21"/>
      <c r="AI93" s="21"/>
    </row>
    <row r="94" spans="7:35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21"/>
      <c r="AF94" s="21"/>
      <c r="AG94" s="60"/>
      <c r="AH94" s="21"/>
      <c r="AI94" s="21"/>
    </row>
    <row r="95" spans="7:35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21"/>
      <c r="AF95" s="21"/>
      <c r="AG95" s="60"/>
      <c r="AH95" s="21"/>
      <c r="AI95" s="21"/>
    </row>
  </sheetData>
  <sheetProtection/>
  <mergeCells count="19">
    <mergeCell ref="I1:AI1"/>
    <mergeCell ref="B2:AI2"/>
    <mergeCell ref="B3:AI3"/>
    <mergeCell ref="B4:F4"/>
    <mergeCell ref="AE5:AG5"/>
    <mergeCell ref="AH5:AH6"/>
    <mergeCell ref="AI5:AI6"/>
    <mergeCell ref="J5:L5"/>
    <mergeCell ref="M5:O5"/>
    <mergeCell ref="V5:X5"/>
    <mergeCell ref="AH45:AI45"/>
    <mergeCell ref="A50:B50"/>
    <mergeCell ref="B49:F49"/>
    <mergeCell ref="D5:F5"/>
    <mergeCell ref="G5:I5"/>
    <mergeCell ref="P5:R5"/>
    <mergeCell ref="S5:U5"/>
    <mergeCell ref="Y5:AA5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U95"/>
  <sheetViews>
    <sheetView view="pageBreakPreview" zoomScale="76" zoomScaleNormal="50" zoomScaleSheetLayoutView="76" zoomScalePageLayoutView="0" workbookViewId="0" topLeftCell="A1">
      <pane xSplit="6" ySplit="8" topLeftCell="G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D32" sqref="AD32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customWidth="1"/>
    <col min="31" max="32" width="14.75390625" style="2" customWidth="1"/>
    <col min="33" max="33" width="11.125" style="12" customWidth="1"/>
    <col min="34" max="34" width="16.75390625" style="2" hidden="1" customWidth="1"/>
    <col min="35" max="35" width="18.25390625" style="2" customWidth="1"/>
    <col min="36" max="36" width="14.875" style="2" customWidth="1"/>
    <col min="37" max="37" width="11.625" style="2" customWidth="1"/>
    <col min="38" max="16384" width="6.75390625" style="2" customWidth="1"/>
  </cols>
  <sheetData>
    <row r="1" spans="9:35" ht="14.2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s="63" customFormat="1" ht="42" customHeight="1">
      <c r="A2" s="151" t="s">
        <v>131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63" customFormat="1" ht="42" customHeight="1">
      <c r="A3" s="62"/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8.75">
      <c r="B4" s="152"/>
      <c r="C4" s="152"/>
      <c r="D4" s="152"/>
      <c r="E4" s="152"/>
      <c r="F4" s="152"/>
      <c r="AI4" s="5" t="s">
        <v>7</v>
      </c>
    </row>
    <row r="5" spans="1:35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154</v>
      </c>
      <c r="Z5" s="147"/>
      <c r="AA5" s="148"/>
      <c r="AB5" s="146" t="s">
        <v>155</v>
      </c>
      <c r="AC5" s="147"/>
      <c r="AD5" s="148"/>
      <c r="AE5" s="158" t="s">
        <v>144</v>
      </c>
      <c r="AF5" s="159"/>
      <c r="AG5" s="160"/>
      <c r="AH5" s="161" t="s">
        <v>145</v>
      </c>
      <c r="AI5" s="161" t="s">
        <v>157</v>
      </c>
    </row>
    <row r="6" spans="1:3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162"/>
      <c r="AI6" s="162"/>
    </row>
    <row r="7" spans="1:37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77.19999999999999</v>
      </c>
      <c r="F7" s="11">
        <f>E7/D7*100</f>
        <v>68.99016979445933</v>
      </c>
      <c r="G7" s="11">
        <f>SUM(G8:G40)</f>
        <v>181.2</v>
      </c>
      <c r="H7" s="11">
        <f>SUM(H8:H40)</f>
        <v>147.39999999999998</v>
      </c>
      <c r="I7" s="11">
        <f>H7/G7*100</f>
        <v>81.34657836644591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419.40000000000003</v>
      </c>
      <c r="O7" s="11">
        <f>N7/M7*100</f>
        <v>78.18791946308727</v>
      </c>
      <c r="P7" s="11">
        <f>SUM(P8:P40)</f>
        <v>187.8</v>
      </c>
      <c r="Q7" s="11">
        <f>SUM(Q8:Q40)</f>
        <v>254.80000000000004</v>
      </c>
      <c r="R7" s="11">
        <f>Q7/P7*100</f>
        <v>135.67625133120342</v>
      </c>
      <c r="S7" s="11">
        <f>SUM(S8:S40)</f>
        <v>201.3</v>
      </c>
      <c r="T7" s="11">
        <f>SUM(T8:T40)</f>
        <v>226.69999999999996</v>
      </c>
      <c r="U7" s="11">
        <f>T7/S7*100</f>
        <v>112.61798310978637</v>
      </c>
      <c r="V7" s="11">
        <f>SUM(V8:V40)</f>
        <v>234.7</v>
      </c>
      <c r="W7" s="11">
        <f>SUM(W8:W40)</f>
        <v>231.79999999999998</v>
      </c>
      <c r="X7" s="11">
        <f>W7/V7*100</f>
        <v>98.76438005965062</v>
      </c>
      <c r="Y7" s="11">
        <f>SUM(Y8:Y40)</f>
        <v>623.8</v>
      </c>
      <c r="Z7" s="11">
        <f>SUM(Z8:Z40)</f>
        <v>713.3</v>
      </c>
      <c r="AA7" s="11">
        <f>Z7/Y7*100</f>
        <v>114.34754729079832</v>
      </c>
      <c r="AB7" s="11">
        <f>SUM(AB8:AB40)</f>
        <v>144.20000000000002</v>
      </c>
      <c r="AC7" s="11">
        <f>SUM(AC8:AC40)</f>
        <v>129.1</v>
      </c>
      <c r="AD7" s="11">
        <f>AC7/AB7*100</f>
        <v>89.5284327323162</v>
      </c>
      <c r="AE7" s="67">
        <f>SUM(AE8:AE40)</f>
        <v>1304.3999999999999</v>
      </c>
      <c r="AF7" s="67">
        <f>SUM(AF8:AF40)</f>
        <v>1261.8</v>
      </c>
      <c r="AG7" s="11">
        <f>AF7/AE7*100</f>
        <v>96.73413063477462</v>
      </c>
      <c r="AH7" s="67">
        <f>SUM(AH8:AH40)</f>
        <v>42.60000000000001</v>
      </c>
      <c r="AI7" s="67">
        <f>SUM(AI8:AI40)</f>
        <v>25.700000000000006</v>
      </c>
      <c r="AJ7" s="27">
        <f>SUM(AH8:AH40)</f>
        <v>42.60000000000001</v>
      </c>
      <c r="AK7" s="27">
        <f>SUM(AI8:AI40)</f>
        <v>25.700000000000006</v>
      </c>
    </row>
    <row r="8" spans="1:35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44">
        <v>14.1</v>
      </c>
      <c r="T8" s="44">
        <v>14.2</v>
      </c>
      <c r="U8" s="11">
        <f>T8/S8*100</f>
        <v>100.70921985815602</v>
      </c>
      <c r="V8" s="44">
        <v>7.2</v>
      </c>
      <c r="W8" s="44">
        <v>7.1</v>
      </c>
      <c r="X8" s="11">
        <f>W8/V8*100</f>
        <v>98.6111111111111</v>
      </c>
      <c r="Y8" s="89">
        <f>P8+S8+V8</f>
        <v>35.300000000000004</v>
      </c>
      <c r="Z8" s="89">
        <f>Q8+T8+W8</f>
        <v>35.9</v>
      </c>
      <c r="AA8" s="11">
        <f>Z8/Y8*100</f>
        <v>101.699716713881</v>
      </c>
      <c r="AB8" s="44">
        <v>3.2</v>
      </c>
      <c r="AC8" s="44">
        <v>3.2</v>
      </c>
      <c r="AD8" s="11">
        <f>AC8/AB8*100</f>
        <v>100</v>
      </c>
      <c r="AE8" s="72">
        <f>M8+Y8+AB8</f>
        <v>74.2</v>
      </c>
      <c r="AF8" s="72">
        <f>N8+Z8+AC8</f>
        <v>73.7</v>
      </c>
      <c r="AG8" s="11">
        <f>AF8/AE8*100</f>
        <v>99.32614555256065</v>
      </c>
      <c r="AH8" s="72">
        <f>AE8-AF8</f>
        <v>0.5</v>
      </c>
      <c r="AI8" s="18">
        <f>C8+AE8-AF8</f>
        <v>0.5</v>
      </c>
    </row>
    <row r="9" spans="1:35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44">
        <v>0.6</v>
      </c>
      <c r="T9" s="44">
        <v>0.5</v>
      </c>
      <c r="U9" s="11">
        <f>T9/S9*100</f>
        <v>83.33333333333334</v>
      </c>
      <c r="V9" s="44">
        <v>0.3</v>
      </c>
      <c r="W9" s="44">
        <v>0.5</v>
      </c>
      <c r="X9" s="11">
        <f>W9/V9*100</f>
        <v>166.66666666666669</v>
      </c>
      <c r="Y9" s="89">
        <f>P9+S9+V9</f>
        <v>1.7</v>
      </c>
      <c r="Z9" s="89">
        <f>Q9+T9+W9</f>
        <v>1.5</v>
      </c>
      <c r="AA9" s="11">
        <f>Z9/Y9*100</f>
        <v>88.23529411764706</v>
      </c>
      <c r="AB9" s="44">
        <v>0.7</v>
      </c>
      <c r="AC9" s="44">
        <v>1.1</v>
      </c>
      <c r="AD9" s="11">
        <f>AC9/AB9*100</f>
        <v>157.14285714285717</v>
      </c>
      <c r="AE9" s="72">
        <f>M9+Y9+AB9</f>
        <v>4.7</v>
      </c>
      <c r="AF9" s="72">
        <f>N9+Z9+AC9</f>
        <v>4.4</v>
      </c>
      <c r="AG9" s="11">
        <f>AF9/AE9*100</f>
        <v>93.61702127659575</v>
      </c>
      <c r="AH9" s="72">
        <f>AE9-AF9</f>
        <v>0.2999999999999998</v>
      </c>
      <c r="AI9" s="18">
        <f>C9+AE9-AF9</f>
        <v>-0.10000000000000053</v>
      </c>
    </row>
    <row r="10" spans="1:35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72"/>
      <c r="AF10" s="72"/>
      <c r="AG10" s="111"/>
      <c r="AH10" s="72"/>
      <c r="AI10" s="18"/>
    </row>
    <row r="11" spans="1:35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44">
        <v>7.7</v>
      </c>
      <c r="T11" s="44">
        <v>19.3</v>
      </c>
      <c r="U11" s="11">
        <f>T11/S11*100</f>
        <v>250.64935064935065</v>
      </c>
      <c r="V11" s="44">
        <v>10.2</v>
      </c>
      <c r="W11" s="44">
        <v>9.3</v>
      </c>
      <c r="X11" s="11">
        <f>W11/V11*100</f>
        <v>91.1764705882353</v>
      </c>
      <c r="Y11" s="89">
        <f>P11+S11+V11</f>
        <v>26</v>
      </c>
      <c r="Z11" s="89">
        <f>Q11+T11+W11</f>
        <v>31.6</v>
      </c>
      <c r="AA11" s="11">
        <f>Z11/Y11*100</f>
        <v>121.53846153846155</v>
      </c>
      <c r="AB11" s="44">
        <v>8</v>
      </c>
      <c r="AC11" s="44">
        <v>13.9</v>
      </c>
      <c r="AD11" s="11">
        <f>AC11/AB11*100</f>
        <v>173.75</v>
      </c>
      <c r="AE11" s="72">
        <f>M11+Y11+AB11</f>
        <v>68</v>
      </c>
      <c r="AF11" s="72">
        <f>N11+Z11+AC11</f>
        <v>70.7</v>
      </c>
      <c r="AG11" s="11">
        <f>AF11/AE11*100</f>
        <v>103.97058823529413</v>
      </c>
      <c r="AH11" s="72">
        <f>AE11-AF11</f>
        <v>-2.700000000000003</v>
      </c>
      <c r="AI11" s="18">
        <f>C11+AE11-AF11</f>
        <v>-11</v>
      </c>
    </row>
    <row r="12" spans="1:35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44"/>
      <c r="W12" s="44"/>
      <c r="X12" s="11"/>
      <c r="Y12" s="89"/>
      <c r="Z12" s="89"/>
      <c r="AA12" s="11"/>
      <c r="AB12" s="44"/>
      <c r="AC12" s="44"/>
      <c r="AD12" s="11"/>
      <c r="AE12" s="72"/>
      <c r="AF12" s="72"/>
      <c r="AG12" s="11"/>
      <c r="AH12" s="72"/>
      <c r="AI12" s="18"/>
    </row>
    <row r="13" spans="1:35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44"/>
      <c r="W13" s="44"/>
      <c r="X13" s="75"/>
      <c r="Y13" s="89"/>
      <c r="Z13" s="89"/>
      <c r="AA13" s="11"/>
      <c r="AB13" s="44"/>
      <c r="AC13" s="44"/>
      <c r="AD13" s="75"/>
      <c r="AE13" s="72"/>
      <c r="AF13" s="72"/>
      <c r="AG13" s="11"/>
      <c r="AH13" s="72"/>
      <c r="AI13" s="18"/>
    </row>
    <row r="14" spans="1:35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44">
        <v>0.8</v>
      </c>
      <c r="T14" s="44">
        <v>0.6</v>
      </c>
      <c r="U14" s="11">
        <f>T14/S14*100</f>
        <v>74.99999999999999</v>
      </c>
      <c r="V14" s="44">
        <v>0.9</v>
      </c>
      <c r="W14" s="44">
        <v>0.7</v>
      </c>
      <c r="X14" s="11">
        <f>W14/V14*100</f>
        <v>77.77777777777777</v>
      </c>
      <c r="Y14" s="89">
        <f>P14+S14+V14</f>
        <v>2.6</v>
      </c>
      <c r="Z14" s="89">
        <f>Q14+T14+W14</f>
        <v>1.8</v>
      </c>
      <c r="AA14" s="11">
        <f>Z14/Y14*100</f>
        <v>69.23076923076923</v>
      </c>
      <c r="AB14" s="44">
        <v>0.7</v>
      </c>
      <c r="AC14" s="44">
        <v>0.8</v>
      </c>
      <c r="AD14" s="11">
        <f>AC14/AB14*100</f>
        <v>114.2857142857143</v>
      </c>
      <c r="AE14" s="72">
        <f>M14+Y14+AB14</f>
        <v>5.1000000000000005</v>
      </c>
      <c r="AF14" s="72">
        <f>N14+Z14+AC14</f>
        <v>4.2</v>
      </c>
      <c r="AG14" s="11">
        <f>AF14/AE14*100</f>
        <v>82.35294117647058</v>
      </c>
      <c r="AH14" s="72">
        <f>AE14-AF14</f>
        <v>0.9000000000000004</v>
      </c>
      <c r="AI14" s="18">
        <f>C14+AE14-AF14</f>
        <v>-1.7999999999999998</v>
      </c>
    </row>
    <row r="15" spans="1:35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140">
        <f>Q15/P15*100</f>
        <v>96.69669669669672</v>
      </c>
      <c r="S15" s="44">
        <v>39.5</v>
      </c>
      <c r="T15" s="44">
        <v>39.5</v>
      </c>
      <c r="U15" s="140">
        <f>T15/S15*100</f>
        <v>100</v>
      </c>
      <c r="V15" s="44">
        <v>50.4</v>
      </c>
      <c r="W15" s="44">
        <v>51.2</v>
      </c>
      <c r="X15" s="140">
        <f>W15/V15*100</f>
        <v>101.58730158730161</v>
      </c>
      <c r="Y15" s="89">
        <f>P15+S15+V15</f>
        <v>123.19999999999999</v>
      </c>
      <c r="Z15" s="89">
        <f>Q15+T15+W15</f>
        <v>122.9</v>
      </c>
      <c r="AA15" s="11">
        <f>Z15/Y15*100</f>
        <v>99.75649350649351</v>
      </c>
      <c r="AB15" s="44">
        <v>41.8</v>
      </c>
      <c r="AC15" s="44">
        <v>41.8</v>
      </c>
      <c r="AD15" s="140">
        <f>AC15/AB15*100</f>
        <v>100</v>
      </c>
      <c r="AE15" s="72">
        <f>M15+Y15+AB15</f>
        <v>293.8</v>
      </c>
      <c r="AF15" s="72">
        <f>N15+Z15+AC15</f>
        <v>293.5</v>
      </c>
      <c r="AG15" s="11">
        <f>AF15/AE15*100</f>
        <v>99.89788972089858</v>
      </c>
      <c r="AH15" s="72">
        <f>AE15-AF15</f>
        <v>0.30000000000001137</v>
      </c>
      <c r="AI15" s="18">
        <f>C15+AE15-AF15</f>
        <v>-1.6999999999999886</v>
      </c>
    </row>
    <row r="16" spans="1:35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44"/>
      <c r="W16" s="44"/>
      <c r="X16" s="11"/>
      <c r="Y16" s="89"/>
      <c r="Z16" s="89"/>
      <c r="AA16" s="11"/>
      <c r="AB16" s="44"/>
      <c r="AC16" s="44"/>
      <c r="AD16" s="11"/>
      <c r="AE16" s="72"/>
      <c r="AF16" s="72"/>
      <c r="AG16" s="11"/>
      <c r="AH16" s="72"/>
      <c r="AI16" s="18"/>
    </row>
    <row r="17" spans="1:35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44"/>
      <c r="W17" s="44"/>
      <c r="X17" s="113"/>
      <c r="Y17" s="89"/>
      <c r="Z17" s="89"/>
      <c r="AA17" s="11"/>
      <c r="AB17" s="44"/>
      <c r="AC17" s="44"/>
      <c r="AD17" s="113"/>
      <c r="AE17" s="72"/>
      <c r="AF17" s="72"/>
      <c r="AG17" s="113"/>
      <c r="AH17" s="72"/>
      <c r="AI17" s="18"/>
    </row>
    <row r="18" spans="1:35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44"/>
      <c r="W18" s="44"/>
      <c r="X18" s="113"/>
      <c r="Y18" s="89"/>
      <c r="Z18" s="89"/>
      <c r="AA18" s="11"/>
      <c r="AB18" s="44"/>
      <c r="AC18" s="44"/>
      <c r="AD18" s="113"/>
      <c r="AE18" s="72"/>
      <c r="AF18" s="72"/>
      <c r="AG18" s="11"/>
      <c r="AH18" s="72"/>
      <c r="AI18" s="18"/>
    </row>
    <row r="19" spans="1:35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44"/>
      <c r="W19" s="44"/>
      <c r="X19" s="75"/>
      <c r="Y19" s="89"/>
      <c r="Z19" s="89"/>
      <c r="AA19" s="11"/>
      <c r="AB19" s="44"/>
      <c r="AC19" s="44"/>
      <c r="AD19" s="75"/>
      <c r="AE19" s="72"/>
      <c r="AF19" s="72"/>
      <c r="AG19" s="11"/>
      <c r="AH19" s="72"/>
      <c r="AI19" s="18"/>
    </row>
    <row r="20" spans="1:35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44"/>
      <c r="W20" s="44"/>
      <c r="X20" s="113"/>
      <c r="Y20" s="89"/>
      <c r="Z20" s="89"/>
      <c r="AA20" s="11"/>
      <c r="AB20" s="44"/>
      <c r="AC20" s="44"/>
      <c r="AD20" s="113"/>
      <c r="AE20" s="72"/>
      <c r="AF20" s="72"/>
      <c r="AG20" s="113"/>
      <c r="AH20" s="72"/>
      <c r="AI20" s="18"/>
    </row>
    <row r="21" spans="1:35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44"/>
      <c r="W21" s="44"/>
      <c r="X21" s="113"/>
      <c r="Y21" s="89"/>
      <c r="Z21" s="89"/>
      <c r="AA21" s="11"/>
      <c r="AB21" s="44"/>
      <c r="AC21" s="44"/>
      <c r="AD21" s="113"/>
      <c r="AE21" s="72"/>
      <c r="AF21" s="72"/>
      <c r="AG21" s="11"/>
      <c r="AH21" s="72"/>
      <c r="AI21" s="18"/>
    </row>
    <row r="22" spans="1:35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44"/>
      <c r="W22" s="44"/>
      <c r="X22" s="75"/>
      <c r="Y22" s="89"/>
      <c r="Z22" s="89"/>
      <c r="AA22" s="11"/>
      <c r="AB22" s="44"/>
      <c r="AC22" s="44"/>
      <c r="AD22" s="75"/>
      <c r="AE22" s="72"/>
      <c r="AF22" s="72"/>
      <c r="AG22" s="11"/>
      <c r="AH22" s="72"/>
      <c r="AI22" s="18"/>
    </row>
    <row r="23" spans="1:35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44"/>
      <c r="W23" s="44"/>
      <c r="X23" s="11"/>
      <c r="Y23" s="89"/>
      <c r="Z23" s="89"/>
      <c r="AA23" s="11"/>
      <c r="AB23" s="44"/>
      <c r="AC23" s="44"/>
      <c r="AD23" s="11"/>
      <c r="AE23" s="72"/>
      <c r="AF23" s="72"/>
      <c r="AG23" s="11"/>
      <c r="AH23" s="72"/>
      <c r="AI23" s="18"/>
    </row>
    <row r="24" spans="1:35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44">
        <v>9.2</v>
      </c>
      <c r="T24" s="44">
        <v>12.5</v>
      </c>
      <c r="U24" s="11">
        <f>T24/S24*100</f>
        <v>135.8695652173913</v>
      </c>
      <c r="V24" s="44">
        <v>63.6</v>
      </c>
      <c r="W24" s="44">
        <v>63.6</v>
      </c>
      <c r="X24" s="11">
        <f>W24/V24*100</f>
        <v>100</v>
      </c>
      <c r="Y24" s="89">
        <f>P24+S24+V24</f>
        <v>81.4</v>
      </c>
      <c r="Z24" s="89">
        <f>Q24+T24+W24</f>
        <v>84.7</v>
      </c>
      <c r="AA24" s="11">
        <f>Z24/Y24*100</f>
        <v>104.05405405405406</v>
      </c>
      <c r="AB24" s="44">
        <v>11.8</v>
      </c>
      <c r="AC24" s="44">
        <v>11.8</v>
      </c>
      <c r="AD24" s="11">
        <f>AC24/AB24*100</f>
        <v>100</v>
      </c>
      <c r="AE24" s="72">
        <f>M24+Y24+AB24</f>
        <v>113.8</v>
      </c>
      <c r="AF24" s="72">
        <f>N24+Z24+AC24</f>
        <v>113.8</v>
      </c>
      <c r="AG24" s="11">
        <f>AF24/AE24*100</f>
        <v>100</v>
      </c>
      <c r="AH24" s="72">
        <f>AE24-AF24</f>
        <v>0</v>
      </c>
      <c r="AI24" s="18">
        <f>C24+AE24-AF24</f>
        <v>0</v>
      </c>
    </row>
    <row r="25" spans="1:35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44"/>
      <c r="W25" s="44"/>
      <c r="X25" s="11"/>
      <c r="Y25" s="89"/>
      <c r="Z25" s="89"/>
      <c r="AA25" s="11"/>
      <c r="AB25" s="44"/>
      <c r="AC25" s="44"/>
      <c r="AD25" s="11"/>
      <c r="AE25" s="72"/>
      <c r="AF25" s="72"/>
      <c r="AG25" s="11"/>
      <c r="AH25" s="72"/>
      <c r="AI25" s="18"/>
    </row>
    <row r="26" spans="1:35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44"/>
      <c r="W26" s="44"/>
      <c r="X26" s="11"/>
      <c r="Y26" s="89"/>
      <c r="Z26" s="89"/>
      <c r="AA26" s="11"/>
      <c r="AB26" s="44"/>
      <c r="AC26" s="44"/>
      <c r="AD26" s="11"/>
      <c r="AE26" s="72"/>
      <c r="AF26" s="72"/>
      <c r="AG26" s="11"/>
      <c r="AH26" s="72"/>
      <c r="AI26" s="18"/>
    </row>
    <row r="27" spans="1:35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44"/>
      <c r="W27" s="44"/>
      <c r="X27" s="11"/>
      <c r="Y27" s="89"/>
      <c r="Z27" s="89"/>
      <c r="AA27" s="11"/>
      <c r="AB27" s="44"/>
      <c r="AC27" s="44"/>
      <c r="AD27" s="11"/>
      <c r="AE27" s="72"/>
      <c r="AF27" s="72"/>
      <c r="AG27" s="11"/>
      <c r="AH27" s="72"/>
      <c r="AI27" s="18"/>
    </row>
    <row r="28" spans="1:35" ht="24.75" customHeight="1">
      <c r="A28" s="13" t="s">
        <v>33</v>
      </c>
      <c r="B28" s="47" t="s">
        <v>109</v>
      </c>
      <c r="C28" s="125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44">
        <v>32.6</v>
      </c>
      <c r="T28" s="44">
        <v>32.3</v>
      </c>
      <c r="U28" s="11">
        <f>T28/S28*100</f>
        <v>99.07975460122698</v>
      </c>
      <c r="V28" s="44">
        <v>20.2</v>
      </c>
      <c r="W28" s="44">
        <v>19.4</v>
      </c>
      <c r="X28" s="11">
        <f>W28/V28*100</f>
        <v>96.03960396039604</v>
      </c>
      <c r="Y28" s="89">
        <f>P28+S28+V28</f>
        <v>78.7</v>
      </c>
      <c r="Z28" s="89">
        <f>Q28+T28+W28</f>
        <v>154.9</v>
      </c>
      <c r="AA28" s="11">
        <f>Z28/Y28*100</f>
        <v>196.8233799237611</v>
      </c>
      <c r="AB28" s="44">
        <v>18.7</v>
      </c>
      <c r="AC28" s="44">
        <v>18.3</v>
      </c>
      <c r="AD28" s="11">
        <f>AC28/AB28*100</f>
        <v>97.86096256684492</v>
      </c>
      <c r="AE28" s="72">
        <f>M28+Y28+AB28</f>
        <v>178.5</v>
      </c>
      <c r="AF28" s="72">
        <f>N28+Z28+AC28</f>
        <v>176.50000000000003</v>
      </c>
      <c r="AG28" s="11">
        <f>AF28/AE28*100</f>
        <v>98.87955182072831</v>
      </c>
      <c r="AH28" s="72">
        <f>AE28-AF28</f>
        <v>1.9999999999999716</v>
      </c>
      <c r="AI28" s="18">
        <f>C28+AE28-AF28</f>
        <v>1.9999999999999716</v>
      </c>
    </row>
    <row r="29" spans="1:35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72"/>
      <c r="AF29" s="72"/>
      <c r="AG29" s="77"/>
      <c r="AH29" s="77"/>
      <c r="AI29" s="77"/>
    </row>
    <row r="30" spans="1:35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44"/>
      <c r="W30" s="44"/>
      <c r="X30" s="75"/>
      <c r="Y30" s="89"/>
      <c r="Z30" s="89"/>
      <c r="AA30" s="11"/>
      <c r="AB30" s="44"/>
      <c r="AC30" s="44"/>
      <c r="AD30" s="75"/>
      <c r="AE30" s="72"/>
      <c r="AF30" s="72"/>
      <c r="AG30" s="11"/>
      <c r="AH30" s="72"/>
      <c r="AI30" s="18"/>
    </row>
    <row r="31" spans="1:35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 aca="true" t="shared" si="0" ref="M31:N34">D31+G31+J31</f>
        <v>9</v>
      </c>
      <c r="N31" s="89">
        <f t="shared" si="0"/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44">
        <v>4.5</v>
      </c>
      <c r="T31" s="44">
        <v>4.5</v>
      </c>
      <c r="U31" s="11">
        <f>T31/S31*100</f>
        <v>100</v>
      </c>
      <c r="V31" s="44">
        <v>2.8</v>
      </c>
      <c r="W31" s="44">
        <v>2.8</v>
      </c>
      <c r="X31" s="11">
        <f>W31/V31*100</f>
        <v>100</v>
      </c>
      <c r="Y31" s="89">
        <f aca="true" t="shared" si="1" ref="Y31:Z34">P31+S31+V31</f>
        <v>11.7</v>
      </c>
      <c r="Z31" s="89">
        <f t="shared" si="1"/>
        <v>11.7</v>
      </c>
      <c r="AA31" s="11">
        <f>Z31/Y31*100</f>
        <v>100</v>
      </c>
      <c r="AB31" s="44">
        <v>2.8</v>
      </c>
      <c r="AC31" s="44">
        <v>2.8</v>
      </c>
      <c r="AD31" s="11">
        <f>AC31/AB31*100</f>
        <v>100</v>
      </c>
      <c r="AE31" s="72">
        <f aca="true" t="shared" si="2" ref="AE31:AF34">M31+Y31+AB31</f>
        <v>23.5</v>
      </c>
      <c r="AF31" s="72">
        <f t="shared" si="2"/>
        <v>23.5</v>
      </c>
      <c r="AG31" s="11">
        <f>AF31/AE31*100</f>
        <v>100</v>
      </c>
      <c r="AH31" s="72">
        <f>AE31-AF31</f>
        <v>0</v>
      </c>
      <c r="AI31" s="18">
        <f>C31+AE31-AF31</f>
        <v>0</v>
      </c>
    </row>
    <row r="32" spans="1:35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 t="shared" si="0"/>
        <v>13.6</v>
      </c>
      <c r="N32" s="89">
        <f t="shared" si="0"/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44">
        <v>6.6</v>
      </c>
      <c r="T32" s="44">
        <v>6.5</v>
      </c>
      <c r="U32" s="11">
        <f>T32/S32*100</f>
        <v>98.48484848484848</v>
      </c>
      <c r="V32" s="44">
        <v>8.2</v>
      </c>
      <c r="W32" s="44">
        <v>5.9</v>
      </c>
      <c r="X32" s="11">
        <f>W32/V32*100</f>
        <v>71.95121951219512</v>
      </c>
      <c r="Y32" s="89">
        <f t="shared" si="1"/>
        <v>18</v>
      </c>
      <c r="Z32" s="89">
        <f t="shared" si="1"/>
        <v>17.9</v>
      </c>
      <c r="AA32" s="11">
        <f>Z32/Y32*100</f>
        <v>99.44444444444443</v>
      </c>
      <c r="AB32" s="44">
        <v>2.7</v>
      </c>
      <c r="AC32" s="44">
        <v>4.5</v>
      </c>
      <c r="AD32" s="11">
        <f>AC32/AB32*100</f>
        <v>166.66666666666666</v>
      </c>
      <c r="AE32" s="72">
        <f t="shared" si="2"/>
        <v>34.300000000000004</v>
      </c>
      <c r="AF32" s="72">
        <f t="shared" si="2"/>
        <v>29.4</v>
      </c>
      <c r="AG32" s="11">
        <f>AF32/AE32*100</f>
        <v>85.7142857142857</v>
      </c>
      <c r="AH32" s="72">
        <f>AE32-AF32</f>
        <v>4.900000000000006</v>
      </c>
      <c r="AI32" s="18">
        <f>C32+AE32-AF32</f>
        <v>3.700000000000003</v>
      </c>
    </row>
    <row r="33" spans="1:35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 t="shared" si="0"/>
        <v>90.1</v>
      </c>
      <c r="N33" s="89">
        <f t="shared" si="0"/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44">
        <v>40.7</v>
      </c>
      <c r="T33" s="44">
        <v>40.7</v>
      </c>
      <c r="U33" s="11">
        <f>T33/S33*100</f>
        <v>100</v>
      </c>
      <c r="V33" s="44">
        <v>27.2</v>
      </c>
      <c r="W33" s="44">
        <v>27.2</v>
      </c>
      <c r="X33" s="11">
        <f>W33/V33*100</f>
        <v>100</v>
      </c>
      <c r="Y33" s="89">
        <f t="shared" si="1"/>
        <v>107.00000000000001</v>
      </c>
      <c r="Z33" s="89">
        <f t="shared" si="1"/>
        <v>107.00000000000001</v>
      </c>
      <c r="AA33" s="11">
        <f>Z33/Y33*100</f>
        <v>100</v>
      </c>
      <c r="AB33" s="44">
        <v>10.9</v>
      </c>
      <c r="AC33" s="44">
        <v>10.9</v>
      </c>
      <c r="AD33" s="11">
        <f>AC33/AB33*100</f>
        <v>100</v>
      </c>
      <c r="AE33" s="72">
        <f t="shared" si="2"/>
        <v>208.00000000000003</v>
      </c>
      <c r="AF33" s="72">
        <f t="shared" si="2"/>
        <v>207.9</v>
      </c>
      <c r="AG33" s="11">
        <f>AF33/AE33*100</f>
        <v>99.95192307692307</v>
      </c>
      <c r="AH33" s="72">
        <f>AE33-AF33</f>
        <v>0.10000000000002274</v>
      </c>
      <c r="AI33" s="18">
        <f>C33+AE33-AF33</f>
        <v>0.10000000000002274</v>
      </c>
    </row>
    <row r="34" spans="1:35" ht="24.75" customHeight="1">
      <c r="A34" s="13" t="s">
        <v>39</v>
      </c>
      <c r="B34" s="47" t="s">
        <v>115</v>
      </c>
      <c r="C34" s="128">
        <v>-0.7</v>
      </c>
      <c r="D34" s="44">
        <v>13.1</v>
      </c>
      <c r="E34" s="44">
        <v>12.2</v>
      </c>
      <c r="F34" s="11">
        <f>E34/D34*100</f>
        <v>93.12977099236642</v>
      </c>
      <c r="G34" s="44">
        <v>13.6</v>
      </c>
      <c r="H34" s="44">
        <v>14.4</v>
      </c>
      <c r="I34" s="75">
        <f>H34/G34*100</f>
        <v>105.88235294117648</v>
      </c>
      <c r="J34" s="44">
        <v>10.7</v>
      </c>
      <c r="K34" s="44">
        <v>10.2</v>
      </c>
      <c r="L34" s="75">
        <f>K34/J34*100</f>
        <v>95.32710280373831</v>
      </c>
      <c r="M34" s="89">
        <f t="shared" si="0"/>
        <v>37.4</v>
      </c>
      <c r="N34" s="89">
        <f t="shared" si="0"/>
        <v>36.8</v>
      </c>
      <c r="O34" s="11">
        <f>N34/M34*100</f>
        <v>98.39572192513369</v>
      </c>
      <c r="P34" s="44">
        <v>10.4</v>
      </c>
      <c r="Q34" s="44">
        <v>10.3</v>
      </c>
      <c r="R34" s="140">
        <f>Q34/P34*100</f>
        <v>99.03846153846155</v>
      </c>
      <c r="S34" s="44">
        <v>13.2</v>
      </c>
      <c r="T34" s="44">
        <v>13.2</v>
      </c>
      <c r="U34" s="140">
        <f>T34/S34*100</f>
        <v>100</v>
      </c>
      <c r="V34" s="44">
        <v>13</v>
      </c>
      <c r="W34" s="44">
        <v>12.2</v>
      </c>
      <c r="X34" s="140">
        <f>W34/V34*100</f>
        <v>93.84615384615384</v>
      </c>
      <c r="Y34" s="89">
        <f t="shared" si="1"/>
        <v>36.6</v>
      </c>
      <c r="Z34" s="89">
        <f t="shared" si="1"/>
        <v>35.7</v>
      </c>
      <c r="AA34" s="11">
        <f>Z34/Y34*100</f>
        <v>97.54098360655739</v>
      </c>
      <c r="AB34" s="44">
        <v>23.2</v>
      </c>
      <c r="AC34" s="44">
        <v>1.6</v>
      </c>
      <c r="AD34" s="140">
        <f>AC34/AB34*100</f>
        <v>6.896551724137931</v>
      </c>
      <c r="AE34" s="72">
        <f t="shared" si="2"/>
        <v>97.2</v>
      </c>
      <c r="AF34" s="72">
        <f t="shared" si="2"/>
        <v>74.1</v>
      </c>
      <c r="AG34" s="11">
        <f>AF34/AE34*100</f>
        <v>76.23456790123456</v>
      </c>
      <c r="AH34" s="72">
        <f>AE34-AF34</f>
        <v>23.10000000000001</v>
      </c>
      <c r="AI34" s="18">
        <f>C34+AE34-AF34</f>
        <v>22.400000000000006</v>
      </c>
    </row>
    <row r="35" spans="1:35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44"/>
      <c r="W35" s="44"/>
      <c r="X35" s="11"/>
      <c r="Y35" s="89"/>
      <c r="Z35" s="89"/>
      <c r="AA35" s="11"/>
      <c r="AB35" s="44"/>
      <c r="AC35" s="44"/>
      <c r="AD35" s="11"/>
      <c r="AE35" s="72"/>
      <c r="AF35" s="72"/>
      <c r="AG35" s="11"/>
      <c r="AH35" s="72"/>
      <c r="AI35" s="18"/>
    </row>
    <row r="36" spans="1:35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3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44">
        <v>27.4</v>
      </c>
      <c r="T36" s="44">
        <v>29.1</v>
      </c>
      <c r="U36" s="11">
        <f>T36/S36*100</f>
        <v>106.20437956204381</v>
      </c>
      <c r="V36" s="44">
        <v>27.4</v>
      </c>
      <c r="W36" s="44">
        <v>27.2</v>
      </c>
      <c r="X36" s="11">
        <f>W36/V36*100</f>
        <v>99.27007299270073</v>
      </c>
      <c r="Y36" s="89">
        <f>P36+S36+V36</f>
        <v>86.8</v>
      </c>
      <c r="Z36" s="89">
        <f>Q36+T36+W36</f>
        <v>88.3</v>
      </c>
      <c r="AA36" s="11">
        <f>Z36/Y36*100</f>
        <v>101.72811059907833</v>
      </c>
      <c r="AB36" s="44">
        <v>13.3</v>
      </c>
      <c r="AC36" s="44">
        <v>15.3</v>
      </c>
      <c r="AD36" s="11">
        <f>AC36/AB36*100</f>
        <v>115.0375939849624</v>
      </c>
      <c r="AE36" s="72">
        <f>M36+Y36+AB36</f>
        <v>172.5</v>
      </c>
      <c r="AF36" s="72">
        <f>N36+Z36+AC36</f>
        <v>165.4</v>
      </c>
      <c r="AG36" s="11">
        <f>AF36/AE36*100</f>
        <v>95.88405797101449</v>
      </c>
      <c r="AH36" s="72">
        <f>AE36-AF36</f>
        <v>7.099999999999994</v>
      </c>
      <c r="AI36" s="18">
        <f>C36+AE36-AF36</f>
        <v>7</v>
      </c>
    </row>
    <row r="37" spans="1:35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3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44">
        <v>4.4</v>
      </c>
      <c r="T37" s="44">
        <v>13.8</v>
      </c>
      <c r="U37" s="11">
        <f>T37/S37*100</f>
        <v>313.6363636363636</v>
      </c>
      <c r="V37" s="44">
        <v>3.3</v>
      </c>
      <c r="W37" s="44">
        <v>4.7</v>
      </c>
      <c r="X37" s="11">
        <f>W37/V37*100</f>
        <v>142.42424242424244</v>
      </c>
      <c r="Y37" s="89">
        <f>P37+S37+V37</f>
        <v>14.8</v>
      </c>
      <c r="Z37" s="89">
        <f>Q37+T37+W37</f>
        <v>19.400000000000002</v>
      </c>
      <c r="AA37" s="11">
        <f>Z37/Y37*100</f>
        <v>131.0810810810811</v>
      </c>
      <c r="AB37" s="44">
        <v>6.4</v>
      </c>
      <c r="AC37" s="44">
        <v>3.1</v>
      </c>
      <c r="AD37" s="11">
        <f>AC37/AB37*100</f>
        <v>48.4375</v>
      </c>
      <c r="AE37" s="72">
        <f>M37+Y37+AB37</f>
        <v>30.799999999999997</v>
      </c>
      <c r="AF37" s="72">
        <f>N37+Z37+AC37</f>
        <v>24.700000000000003</v>
      </c>
      <c r="AG37" s="11">
        <f>AF37/AE37*100</f>
        <v>80.19480519480521</v>
      </c>
      <c r="AH37" s="72">
        <f>AE37-AF37</f>
        <v>6.099999999999994</v>
      </c>
      <c r="AI37" s="18">
        <f>C37+AE37-AF37</f>
        <v>4.599999999999994</v>
      </c>
    </row>
    <row r="38" spans="1:35" ht="24.75" customHeight="1">
      <c r="A38" s="13" t="s">
        <v>43</v>
      </c>
      <c r="B38" s="15" t="s">
        <v>126</v>
      </c>
      <c r="C38" s="14"/>
      <c r="D38" s="44"/>
      <c r="E38" s="44"/>
      <c r="F38" s="11"/>
      <c r="G38" s="44"/>
      <c r="H38" s="44"/>
      <c r="I38" s="11"/>
      <c r="J38" s="44"/>
      <c r="K38" s="44"/>
      <c r="L38" s="11"/>
      <c r="M38" s="89"/>
      <c r="N38" s="89"/>
      <c r="O38" s="11"/>
      <c r="P38" s="44"/>
      <c r="Q38" s="44"/>
      <c r="R38" s="11"/>
      <c r="S38" s="44"/>
      <c r="T38" s="44"/>
      <c r="U38" s="11"/>
      <c r="V38" s="44"/>
      <c r="W38" s="44"/>
      <c r="X38" s="11"/>
      <c r="Y38" s="89"/>
      <c r="Z38" s="89"/>
      <c r="AA38" s="11"/>
      <c r="AB38" s="44"/>
      <c r="AC38" s="44"/>
      <c r="AD38" s="11"/>
      <c r="AE38" s="72"/>
      <c r="AF38" s="72"/>
      <c r="AG38" s="11"/>
      <c r="AH38" s="72"/>
      <c r="AI38" s="18"/>
    </row>
    <row r="39" spans="1:35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44"/>
      <c r="W39" s="44"/>
      <c r="X39" s="75"/>
      <c r="Y39" s="89"/>
      <c r="Z39" s="89"/>
      <c r="AA39" s="11"/>
      <c r="AB39" s="44"/>
      <c r="AC39" s="44"/>
      <c r="AD39" s="75"/>
      <c r="AE39" s="72"/>
      <c r="AF39" s="72"/>
      <c r="AG39" s="11"/>
      <c r="AH39" s="72"/>
      <c r="AI39" s="18"/>
    </row>
    <row r="40" spans="1:35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44"/>
      <c r="W40" s="44"/>
      <c r="X40" s="113"/>
      <c r="Y40" s="89"/>
      <c r="Z40" s="89"/>
      <c r="AA40" s="11"/>
      <c r="AB40" s="44"/>
      <c r="AC40" s="44"/>
      <c r="AD40" s="113"/>
      <c r="AE40" s="72"/>
      <c r="AF40" s="72"/>
      <c r="AG40" s="11"/>
      <c r="AH40" s="72"/>
      <c r="AI40" s="18"/>
    </row>
    <row r="41" spans="1:35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3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936.1</v>
      </c>
      <c r="T41" s="18">
        <f>SUM(T42:T42)</f>
        <v>935.6</v>
      </c>
      <c r="U41" s="11">
        <f>T41/S41*100</f>
        <v>99.94658690310865</v>
      </c>
      <c r="V41" s="18">
        <f>SUM(V42:V42)</f>
        <v>855</v>
      </c>
      <c r="W41" s="18">
        <f>SUM(W42:W42)</f>
        <v>982.6</v>
      </c>
      <c r="X41" s="11">
        <f>W41/V41*100</f>
        <v>114.92397660818713</v>
      </c>
      <c r="Y41" s="18">
        <f>SUM(Y42:Y42)</f>
        <v>2770</v>
      </c>
      <c r="Z41" s="18">
        <f>SUM(Z42:Z42)</f>
        <v>2844.4</v>
      </c>
      <c r="AA41" s="11">
        <f>Z41/Y41*100</f>
        <v>102.68592057761734</v>
      </c>
      <c r="AB41" s="18">
        <f>SUM(AB42:AB42)</f>
        <v>839.9</v>
      </c>
      <c r="AC41" s="18">
        <f>SUM(AC42:AC42)</f>
        <v>801</v>
      </c>
      <c r="AD41" s="11">
        <f>AC41/AB41*100</f>
        <v>95.36849624955353</v>
      </c>
      <c r="AE41" s="140">
        <f>AE42</f>
        <v>6399.2</v>
      </c>
      <c r="AF41" s="140">
        <f>AF42</f>
        <v>5787.3</v>
      </c>
      <c r="AG41" s="11">
        <f>AF41/AE41*100</f>
        <v>90.43786723340418</v>
      </c>
      <c r="AH41" s="18">
        <f>SUM(AH42:AH42)</f>
        <v>611.8999999999996</v>
      </c>
      <c r="AI41" s="18">
        <f>SUM(AI42:AI42)</f>
        <v>415.7999999999993</v>
      </c>
    </row>
    <row r="42" spans="1:35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44">
        <v>936.1</v>
      </c>
      <c r="T42" s="44">
        <v>935.6</v>
      </c>
      <c r="U42" s="11">
        <f>T42/S42*100</f>
        <v>99.94658690310865</v>
      </c>
      <c r="V42" s="44">
        <v>855</v>
      </c>
      <c r="W42" s="44">
        <v>982.6</v>
      </c>
      <c r="X42" s="11">
        <f>W42/V42*100</f>
        <v>114.92397660818713</v>
      </c>
      <c r="Y42" s="89">
        <f>P42+S42+V42</f>
        <v>2770</v>
      </c>
      <c r="Z42" s="89">
        <f>Q42+T42+W42</f>
        <v>2844.4</v>
      </c>
      <c r="AA42" s="11">
        <f>Z42/Y42*100</f>
        <v>102.68592057761734</v>
      </c>
      <c r="AB42" s="44">
        <v>839.9</v>
      </c>
      <c r="AC42" s="44">
        <v>801</v>
      </c>
      <c r="AD42" s="11">
        <f>AC42/AB42*100</f>
        <v>95.36849624955353</v>
      </c>
      <c r="AE42" s="72">
        <f>M42+Y42+AB42</f>
        <v>6399.2</v>
      </c>
      <c r="AF42" s="72">
        <f>N42+Z42+AC42</f>
        <v>5787.3</v>
      </c>
      <c r="AG42" s="11">
        <f>AF42/AE42*100</f>
        <v>90.43786723340418</v>
      </c>
      <c r="AH42" s="72">
        <f>AE42-AF42</f>
        <v>611.8999999999996</v>
      </c>
      <c r="AI42" s="18">
        <f>C42+AE42-AF42</f>
        <v>415.7999999999993</v>
      </c>
    </row>
    <row r="43" spans="1:35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93.19999999999999</v>
      </c>
      <c r="F43" s="11">
        <f>E43/D43*100</f>
        <v>9.346169273967107</v>
      </c>
      <c r="G43" s="18">
        <f>G7+G41</f>
        <v>1146.7</v>
      </c>
      <c r="H43" s="18">
        <f>H7+H41</f>
        <v>1030.8</v>
      </c>
      <c r="I43" s="11">
        <f>H43/G43*100</f>
        <v>89.89273567628847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2561.3</v>
      </c>
      <c r="O43" s="11">
        <f>N43/M43*100</f>
        <v>77.01536518627657</v>
      </c>
      <c r="P43" s="18">
        <f>P7+P41</f>
        <v>1166.7</v>
      </c>
      <c r="Q43" s="18">
        <f>Q7+Q41</f>
        <v>1181</v>
      </c>
      <c r="R43" s="11">
        <f>Q43/P43*100</f>
        <v>101.22567926630668</v>
      </c>
      <c r="S43" s="18">
        <f>S7+S41</f>
        <v>1137.4</v>
      </c>
      <c r="T43" s="18">
        <f>T7+T41</f>
        <v>1162.3</v>
      </c>
      <c r="U43" s="11">
        <f>T43/S43*100</f>
        <v>102.18920344645682</v>
      </c>
      <c r="V43" s="18">
        <f>V7+V41</f>
        <v>1089.7</v>
      </c>
      <c r="W43" s="18">
        <f>W7+W41</f>
        <v>1214.4</v>
      </c>
      <c r="X43" s="11">
        <f>W43/V43*100</f>
        <v>111.44351656419198</v>
      </c>
      <c r="Y43" s="18">
        <f>Y7+Y41</f>
        <v>3393.8</v>
      </c>
      <c r="Z43" s="18">
        <f>Z7+Z41</f>
        <v>3557.7</v>
      </c>
      <c r="AA43" s="11">
        <f>Z43/Y43*100</f>
        <v>104.82939477871412</v>
      </c>
      <c r="AB43" s="18">
        <f>AB7+AB41</f>
        <v>984.1</v>
      </c>
      <c r="AC43" s="18">
        <f>AC7+AC41</f>
        <v>930.1</v>
      </c>
      <c r="AD43" s="11">
        <f>AC43/AB43*100</f>
        <v>94.51275276902754</v>
      </c>
      <c r="AE43" s="83">
        <f>AE7+AE41</f>
        <v>7703.599999999999</v>
      </c>
      <c r="AF43" s="83">
        <f>AF7+AF41</f>
        <v>7049.1</v>
      </c>
      <c r="AG43" s="11">
        <f>AF43/AE43*100</f>
        <v>91.50397216885612</v>
      </c>
      <c r="AH43" s="18">
        <f>AH7+AH41</f>
        <v>654.4999999999997</v>
      </c>
      <c r="AI43" s="18">
        <f>AI7+AI41</f>
        <v>441.49999999999926</v>
      </c>
    </row>
    <row r="44" spans="1:47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25"/>
      <c r="AF44" s="25"/>
      <c r="AG44" s="86"/>
      <c r="AH44" s="86"/>
      <c r="AI44" s="85"/>
      <c r="AJ44" s="85"/>
      <c r="AK44" s="85"/>
      <c r="AL44" s="85"/>
      <c r="AM44" s="85"/>
      <c r="AN44" s="85"/>
      <c r="AO44" s="85"/>
      <c r="AP44" s="85"/>
      <c r="AQ44" s="85"/>
      <c r="AR44" s="46"/>
      <c r="AS44" s="46"/>
      <c r="AT44" s="46"/>
      <c r="AU44" s="46"/>
    </row>
    <row r="45" spans="1:47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34"/>
      <c r="AF45" s="34"/>
      <c r="AG45" s="61"/>
      <c r="AH45" s="166" t="s">
        <v>137</v>
      </c>
      <c r="AI45" s="167"/>
      <c r="AJ45" s="28"/>
      <c r="AK45" s="28"/>
      <c r="AL45" s="28"/>
      <c r="AM45" s="28"/>
      <c r="AN45" s="28"/>
      <c r="AO45" s="27"/>
      <c r="AP45" s="6"/>
      <c r="AQ45" s="6"/>
      <c r="AR45" s="29"/>
      <c r="AS45" s="6"/>
      <c r="AU45" s="6"/>
    </row>
    <row r="46" spans="1:47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0"/>
      <c r="AF46" s="40"/>
      <c r="AG46" s="41"/>
      <c r="AH46" s="2"/>
      <c r="AI46" s="4" t="s">
        <v>135</v>
      </c>
      <c r="AJ46" s="28"/>
      <c r="AK46" s="28"/>
      <c r="AL46" s="28"/>
      <c r="AM46" s="28"/>
      <c r="AN46" s="28"/>
      <c r="AO46" s="27"/>
      <c r="AP46" s="6"/>
      <c r="AQ46" s="6"/>
      <c r="AR46" s="29"/>
      <c r="AS46" s="6"/>
      <c r="AU46" s="6"/>
    </row>
    <row r="47" spans="1:47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I47" s="2"/>
      <c r="AJ47" s="28"/>
      <c r="AK47" s="28"/>
      <c r="AL47" s="28"/>
      <c r="AM47" s="28"/>
      <c r="AN47" s="28"/>
      <c r="AO47" s="27"/>
      <c r="AP47" s="6"/>
      <c r="AQ47" s="6"/>
      <c r="AR47" s="29"/>
      <c r="AS47" s="6"/>
      <c r="AU47" s="6"/>
    </row>
    <row r="48" spans="1:47" ht="24.75" customHeight="1">
      <c r="A48" s="2"/>
      <c r="C48" s="31"/>
      <c r="D48" s="21"/>
      <c r="E48" s="21"/>
      <c r="F48" s="28"/>
      <c r="AJ48" s="129"/>
      <c r="AK48" s="21"/>
      <c r="AL48" s="21"/>
      <c r="AM48" s="21"/>
      <c r="AN48" s="21"/>
      <c r="AO48" s="21"/>
      <c r="AP48" s="7"/>
      <c r="AQ48" s="7"/>
      <c r="AR48" s="32"/>
      <c r="AS48" s="7"/>
      <c r="AU48" s="7"/>
    </row>
    <row r="49" spans="1:36" s="38" customFormat="1" ht="49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"/>
      <c r="AF49" s="2"/>
      <c r="AG49" s="12"/>
      <c r="AH49" s="2"/>
      <c r="AI49" s="2"/>
      <c r="AJ49" s="37"/>
    </row>
    <row r="50" spans="1:35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21"/>
      <c r="AF50" s="21"/>
      <c r="AG50" s="60"/>
      <c r="AH50" s="21"/>
      <c r="AI50" s="21"/>
    </row>
    <row r="51" spans="2:35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21"/>
      <c r="AF51" s="21"/>
      <c r="AG51" s="60"/>
      <c r="AH51" s="21"/>
      <c r="AI51" s="21"/>
    </row>
    <row r="52" spans="7:35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21"/>
      <c r="AF52" s="21"/>
      <c r="AG52" s="60"/>
      <c r="AH52" s="21"/>
      <c r="AI52" s="21"/>
    </row>
    <row r="53" spans="2:35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21"/>
      <c r="AF53" s="21"/>
      <c r="AG53" s="60"/>
      <c r="AH53" s="21"/>
      <c r="AI53" s="21"/>
    </row>
    <row r="54" spans="2:35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21"/>
      <c r="AF54" s="21"/>
      <c r="AG54" s="60"/>
      <c r="AH54" s="21"/>
      <c r="AI54" s="21"/>
    </row>
    <row r="55" spans="2:35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21"/>
      <c r="AF55" s="21"/>
      <c r="AG55" s="60"/>
      <c r="AH55" s="21"/>
      <c r="AI55" s="21"/>
    </row>
    <row r="56" spans="2:35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21"/>
      <c r="AF56" s="21"/>
      <c r="AG56" s="60"/>
      <c r="AH56" s="21"/>
      <c r="AI56" s="21"/>
    </row>
    <row r="57" spans="7:35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21"/>
      <c r="AF57" s="21"/>
      <c r="AG57" s="60"/>
      <c r="AH57" s="21"/>
      <c r="AI57" s="21"/>
    </row>
    <row r="58" spans="7:35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21"/>
      <c r="AF58" s="21"/>
      <c r="AG58" s="60"/>
      <c r="AH58" s="21"/>
      <c r="AI58" s="21"/>
    </row>
    <row r="59" spans="7:35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21"/>
      <c r="AF59" s="21"/>
      <c r="AG59" s="60"/>
      <c r="AH59" s="21"/>
      <c r="AI59" s="21"/>
    </row>
    <row r="60" spans="7:35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21"/>
      <c r="AF60" s="21"/>
      <c r="AG60" s="60"/>
      <c r="AH60" s="21"/>
      <c r="AI60" s="21"/>
    </row>
    <row r="61" spans="7:35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21"/>
      <c r="AF61" s="21"/>
      <c r="AG61" s="60"/>
      <c r="AH61" s="21"/>
      <c r="AI61" s="21"/>
    </row>
    <row r="62" spans="7:35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1"/>
      <c r="AF62" s="21"/>
      <c r="AG62" s="60"/>
      <c r="AH62" s="21"/>
      <c r="AI62" s="21"/>
    </row>
    <row r="63" spans="7:35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21"/>
      <c r="AF63" s="21"/>
      <c r="AG63" s="60"/>
      <c r="AH63" s="21"/>
      <c r="AI63" s="21"/>
    </row>
    <row r="64" spans="7:35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1"/>
      <c r="AF64" s="21"/>
      <c r="AG64" s="60"/>
      <c r="AH64" s="21"/>
      <c r="AI64" s="21"/>
    </row>
    <row r="65" spans="7:35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1"/>
      <c r="AF65" s="21"/>
      <c r="AG65" s="60"/>
      <c r="AH65" s="21"/>
      <c r="AI65" s="21"/>
    </row>
    <row r="66" spans="7:35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21"/>
      <c r="AF66" s="21"/>
      <c r="AG66" s="60"/>
      <c r="AH66" s="21"/>
      <c r="AI66" s="21"/>
    </row>
    <row r="67" spans="7:35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21"/>
      <c r="AF67" s="21"/>
      <c r="AG67" s="60"/>
      <c r="AH67" s="21"/>
      <c r="AI67" s="21"/>
    </row>
    <row r="68" spans="7:35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21"/>
      <c r="AF68" s="21"/>
      <c r="AG68" s="60"/>
      <c r="AH68" s="21"/>
      <c r="AI68" s="21"/>
    </row>
    <row r="69" spans="7:35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21"/>
      <c r="AF69" s="21"/>
      <c r="AG69" s="60"/>
      <c r="AH69" s="21"/>
      <c r="AI69" s="21"/>
    </row>
    <row r="70" spans="7:35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21"/>
      <c r="AF70" s="21"/>
      <c r="AG70" s="60"/>
      <c r="AH70" s="21"/>
      <c r="AI70" s="21"/>
    </row>
    <row r="71" spans="7:35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21"/>
      <c r="AF71" s="21"/>
      <c r="AG71" s="60"/>
      <c r="AH71" s="21"/>
      <c r="AI71" s="21"/>
    </row>
    <row r="72" spans="7:35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21"/>
      <c r="AF72" s="21"/>
      <c r="AG72" s="60"/>
      <c r="AH72" s="21"/>
      <c r="AI72" s="21"/>
    </row>
    <row r="73" spans="7:35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21"/>
      <c r="AF73" s="21"/>
      <c r="AG73" s="60"/>
      <c r="AH73" s="21"/>
      <c r="AI73" s="21"/>
    </row>
    <row r="74" spans="7:35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21"/>
      <c r="AF74" s="21"/>
      <c r="AG74" s="60"/>
      <c r="AH74" s="21"/>
      <c r="AI74" s="21"/>
    </row>
    <row r="75" spans="7:35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21"/>
      <c r="AF75" s="21"/>
      <c r="AG75" s="60"/>
      <c r="AH75" s="21"/>
      <c r="AI75" s="21"/>
    </row>
    <row r="76" spans="7:35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21"/>
      <c r="AF76" s="21"/>
      <c r="AG76" s="60"/>
      <c r="AH76" s="21"/>
      <c r="AI76" s="21"/>
    </row>
    <row r="77" spans="7:35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21"/>
      <c r="AF77" s="21"/>
      <c r="AG77" s="60"/>
      <c r="AH77" s="21"/>
      <c r="AI77" s="21"/>
    </row>
    <row r="78" spans="7:35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21"/>
      <c r="AF78" s="21"/>
      <c r="AG78" s="60"/>
      <c r="AH78" s="21"/>
      <c r="AI78" s="21"/>
    </row>
    <row r="79" spans="7:35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21"/>
      <c r="AF79" s="21"/>
      <c r="AG79" s="60"/>
      <c r="AH79" s="21"/>
      <c r="AI79" s="21"/>
    </row>
    <row r="80" spans="7:35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21"/>
      <c r="AF80" s="21"/>
      <c r="AG80" s="60"/>
      <c r="AH80" s="21"/>
      <c r="AI80" s="21"/>
    </row>
    <row r="81" spans="7:35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21"/>
      <c r="AF81" s="21"/>
      <c r="AG81" s="60"/>
      <c r="AH81" s="21"/>
      <c r="AI81" s="21"/>
    </row>
    <row r="82" spans="7:35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21"/>
      <c r="AF82" s="21"/>
      <c r="AG82" s="60"/>
      <c r="AH82" s="21"/>
      <c r="AI82" s="21"/>
    </row>
    <row r="83" spans="7:35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21"/>
      <c r="AF83" s="21"/>
      <c r="AG83" s="60"/>
      <c r="AH83" s="21"/>
      <c r="AI83" s="21"/>
    </row>
    <row r="84" spans="7:35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21"/>
      <c r="AF84" s="21"/>
      <c r="AG84" s="60"/>
      <c r="AH84" s="21"/>
      <c r="AI84" s="21"/>
    </row>
    <row r="85" spans="7:35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21"/>
      <c r="AF85" s="21"/>
      <c r="AG85" s="60"/>
      <c r="AH85" s="21"/>
      <c r="AI85" s="21"/>
    </row>
    <row r="86" spans="7:35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21"/>
      <c r="AF86" s="21"/>
      <c r="AG86" s="60"/>
      <c r="AH86" s="21"/>
      <c r="AI86" s="21"/>
    </row>
    <row r="87" spans="7:35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21"/>
      <c r="AF87" s="21"/>
      <c r="AG87" s="60"/>
      <c r="AH87" s="21"/>
      <c r="AI87" s="21"/>
    </row>
    <row r="88" spans="7:35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21"/>
      <c r="AF88" s="21"/>
      <c r="AG88" s="60"/>
      <c r="AH88" s="21"/>
      <c r="AI88" s="21"/>
    </row>
    <row r="89" spans="7:35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21"/>
      <c r="AF89" s="21"/>
      <c r="AG89" s="60"/>
      <c r="AH89" s="21"/>
      <c r="AI89" s="21"/>
    </row>
    <row r="90" spans="7:35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21"/>
      <c r="AF90" s="21"/>
      <c r="AG90" s="60"/>
      <c r="AH90" s="21"/>
      <c r="AI90" s="21"/>
    </row>
    <row r="91" spans="7:35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21"/>
      <c r="AF91" s="21"/>
      <c r="AG91" s="60"/>
      <c r="AH91" s="21"/>
      <c r="AI91" s="21"/>
    </row>
    <row r="92" spans="7:35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21"/>
      <c r="AF92" s="21"/>
      <c r="AG92" s="60"/>
      <c r="AH92" s="21"/>
      <c r="AI92" s="21"/>
    </row>
    <row r="93" spans="7:35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21"/>
      <c r="AF93" s="21"/>
      <c r="AG93" s="60"/>
      <c r="AH93" s="21"/>
      <c r="AI93" s="21"/>
    </row>
    <row r="94" spans="7:35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21"/>
      <c r="AF94" s="21"/>
      <c r="AG94" s="60"/>
      <c r="AH94" s="21"/>
      <c r="AI94" s="21"/>
    </row>
    <row r="95" spans="7:35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21"/>
      <c r="AF95" s="21"/>
      <c r="AG95" s="60"/>
      <c r="AH95" s="21"/>
      <c r="AI95" s="21"/>
    </row>
  </sheetData>
  <sheetProtection/>
  <mergeCells count="19">
    <mergeCell ref="AH45:AI45"/>
    <mergeCell ref="B49:F49"/>
    <mergeCell ref="D5:F5"/>
    <mergeCell ref="G5:I5"/>
    <mergeCell ref="AE5:AG5"/>
    <mergeCell ref="A50:B50"/>
    <mergeCell ref="M5:O5"/>
    <mergeCell ref="V5:X5"/>
    <mergeCell ref="AB5:AD5"/>
    <mergeCell ref="I1:AI1"/>
    <mergeCell ref="B4:F4"/>
    <mergeCell ref="A2:AI2"/>
    <mergeCell ref="AH5:AH6"/>
    <mergeCell ref="AI5:AI6"/>
    <mergeCell ref="J5:L5"/>
    <mergeCell ref="P5:R5"/>
    <mergeCell ref="B3:AI3"/>
    <mergeCell ref="S5:U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U95"/>
  <sheetViews>
    <sheetView tabSelected="1" view="pageBreakPreview" zoomScale="77" zoomScaleNormal="50" zoomScaleSheetLayoutView="77" zoomScalePageLayoutView="0" workbookViewId="0" topLeftCell="A1">
      <pane xSplit="6" ySplit="8" topLeftCell="M3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F29" sqref="AF29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customWidth="1"/>
    <col min="31" max="32" width="14.75390625" style="2" customWidth="1"/>
    <col min="33" max="33" width="11.125" style="12" customWidth="1"/>
    <col min="34" max="34" width="16.75390625" style="2" customWidth="1"/>
    <col min="35" max="35" width="18.25390625" style="2" customWidth="1"/>
    <col min="36" max="36" width="10.625" style="2" customWidth="1"/>
    <col min="37" max="37" width="12.00390625" style="2" customWidth="1"/>
    <col min="38" max="16384" width="6.75390625" style="2" customWidth="1"/>
  </cols>
  <sheetData>
    <row r="1" spans="9:35" ht="19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s="63" customFormat="1" ht="42" customHeight="1">
      <c r="A2" s="62"/>
      <c r="B2" s="151" t="s">
        <v>132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63" customFormat="1" ht="42" customHeight="1">
      <c r="A3" s="62"/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8.75">
      <c r="B4" s="152"/>
      <c r="C4" s="152"/>
      <c r="D4" s="152"/>
      <c r="E4" s="152"/>
      <c r="F4" s="152"/>
      <c r="AI4" s="5" t="s">
        <v>7</v>
      </c>
    </row>
    <row r="5" spans="1:35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154</v>
      </c>
      <c r="Z5" s="147"/>
      <c r="AA5" s="148"/>
      <c r="AB5" s="146" t="s">
        <v>155</v>
      </c>
      <c r="AC5" s="147"/>
      <c r="AD5" s="148"/>
      <c r="AE5" s="158" t="s">
        <v>144</v>
      </c>
      <c r="AF5" s="159"/>
      <c r="AG5" s="160"/>
      <c r="AH5" s="161" t="s">
        <v>156</v>
      </c>
      <c r="AI5" s="161" t="s">
        <v>157</v>
      </c>
    </row>
    <row r="6" spans="1:35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162"/>
      <c r="AI6" s="162"/>
    </row>
    <row r="7" spans="1:37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</v>
      </c>
      <c r="F7" s="11">
        <f aca="true" t="shared" si="0" ref="F7:F20">E7/D7*100</f>
        <v>88.50588614739559</v>
      </c>
      <c r="G7" s="11">
        <f>SUM(G8:G40)</f>
        <v>2606</v>
      </c>
      <c r="H7" s="11">
        <f>SUM(H8:H40)</f>
        <v>2145.7999999999997</v>
      </c>
      <c r="I7" s="11">
        <f aca="true" t="shared" si="1" ref="I7:I43">H7/G7*100</f>
        <v>82.34075211051419</v>
      </c>
      <c r="J7" s="11">
        <f>SUM(J8:J40)</f>
        <v>2613.6000000000004</v>
      </c>
      <c r="K7" s="11">
        <f>SUM(K8:K40)</f>
        <v>2747.2999999999997</v>
      </c>
      <c r="L7" s="11">
        <f aca="true" t="shared" si="2" ref="L7:L20">K7/J7*100</f>
        <v>105.11554943373123</v>
      </c>
      <c r="M7" s="11">
        <f>SUM(M8:M40)</f>
        <v>7699.999999999999</v>
      </c>
      <c r="N7" s="11">
        <f>SUM(N8:N40)</f>
        <v>7088.4</v>
      </c>
      <c r="O7" s="11">
        <f>N7/M7*100</f>
        <v>92.05714285714286</v>
      </c>
      <c r="P7" s="11">
        <f>SUM(P8:P40)</f>
        <v>2473.7999999999997</v>
      </c>
      <c r="Q7" s="11">
        <f>SUM(Q8:Q40)</f>
        <v>2077.2</v>
      </c>
      <c r="R7" s="11">
        <f aca="true" t="shared" si="3" ref="R7:R20">Q7/P7*100</f>
        <v>83.96798447732235</v>
      </c>
      <c r="S7" s="11">
        <f>SUM(S8:S40)</f>
        <v>2436.2000000000003</v>
      </c>
      <c r="T7" s="11">
        <f>SUM(T8:T40)</f>
        <v>2366.9</v>
      </c>
      <c r="U7" s="11">
        <f aca="true" t="shared" si="4" ref="U7:U20">T7/S7*100</f>
        <v>97.15540596010179</v>
      </c>
      <c r="V7" s="11">
        <f>SUM(V8:V40)</f>
        <v>2535.6000000000004</v>
      </c>
      <c r="W7" s="11">
        <f>SUM(W8:W40)</f>
        <v>2232.7</v>
      </c>
      <c r="X7" s="11">
        <f aca="true" t="shared" si="5" ref="X7:X24">W7/V7*100</f>
        <v>88.05410948099068</v>
      </c>
      <c r="Y7" s="11">
        <f>SUM(Y8:Y40)</f>
        <v>7445.599999999999</v>
      </c>
      <c r="Z7" s="11">
        <f>SUM(Z8:Z40)</f>
        <v>6676.799999999999</v>
      </c>
      <c r="AA7" s="11">
        <f aca="true" t="shared" si="6" ref="AA7:AA20">Z7/Y7*100</f>
        <v>89.67443859460622</v>
      </c>
      <c r="AB7" s="11">
        <f>SUM(AB8:AB40)</f>
        <v>2650.100000000001</v>
      </c>
      <c r="AC7" s="11">
        <f>SUM(AC8:AC40)</f>
        <v>3238.0000000000005</v>
      </c>
      <c r="AD7" s="11">
        <f aca="true" t="shared" si="7" ref="AD7:AD24">AC7/AB7*100</f>
        <v>122.184068525716</v>
      </c>
      <c r="AE7" s="67">
        <f>SUM(AE8:AE40)</f>
        <v>17795.7</v>
      </c>
      <c r="AF7" s="67">
        <f>SUM(AF8:AF40)</f>
        <v>17003.2</v>
      </c>
      <c r="AG7" s="11">
        <f aca="true" t="shared" si="8" ref="AG7:AG42">AF7/AE7*100</f>
        <v>95.54667700624309</v>
      </c>
      <c r="AH7" s="67">
        <f>SUM(AH8:AH40)</f>
        <v>792.5000000000008</v>
      </c>
      <c r="AI7" s="67">
        <f>SUM(AI8:AI40)</f>
        <v>4775.4</v>
      </c>
      <c r="AJ7" s="27">
        <f>SUM(AH8:AH40)</f>
        <v>792.5000000000008</v>
      </c>
      <c r="AK7" s="27">
        <f>SUM(AI8:AI40)</f>
        <v>4775.4</v>
      </c>
    </row>
    <row r="8" spans="1:35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9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44">
        <v>196.7</v>
      </c>
      <c r="T8" s="44">
        <v>173.9</v>
      </c>
      <c r="U8" s="11">
        <f t="shared" si="4"/>
        <v>88.40874428063042</v>
      </c>
      <c r="V8" s="44">
        <v>184.8</v>
      </c>
      <c r="W8" s="44">
        <v>187</v>
      </c>
      <c r="X8" s="11">
        <f t="shared" si="5"/>
        <v>101.19047619047619</v>
      </c>
      <c r="Y8" s="89">
        <f aca="true" t="shared" si="10" ref="Y8:Y20">P8+S8+V8</f>
        <v>543.0999999999999</v>
      </c>
      <c r="Z8" s="89">
        <f aca="true" t="shared" si="11" ref="Z8:Z20">Q8+T8+W8</f>
        <v>522.6</v>
      </c>
      <c r="AA8" s="11">
        <f t="shared" si="6"/>
        <v>96.22537285951024</v>
      </c>
      <c r="AB8" s="44">
        <v>234.6</v>
      </c>
      <c r="AC8" s="44">
        <v>244.8</v>
      </c>
      <c r="AD8" s="11">
        <f t="shared" si="7"/>
        <v>104.34782608695652</v>
      </c>
      <c r="AE8" s="72">
        <f>M8+Y8+AB8</f>
        <v>1299.2999999999997</v>
      </c>
      <c r="AF8" s="72">
        <f>N8+Z8+AC8</f>
        <v>1274.1</v>
      </c>
      <c r="AG8" s="11">
        <f t="shared" si="8"/>
        <v>98.06049411221429</v>
      </c>
      <c r="AH8" s="72">
        <f>AE8-AF8</f>
        <v>25.199999999999818</v>
      </c>
      <c r="AI8" s="18">
        <f>C8+AE8-AF8</f>
        <v>80.29999999999973</v>
      </c>
    </row>
    <row r="9" spans="1:35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12" ref="M9:M42">D9+G9+J9</f>
        <v>30.900000000000002</v>
      </c>
      <c r="N9" s="89">
        <f aca="true" t="shared" si="13" ref="N9:N42">E9+H9+K9</f>
        <v>29</v>
      </c>
      <c r="O9" s="11">
        <f t="shared" si="9"/>
        <v>93.85113268608414</v>
      </c>
      <c r="P9" s="44">
        <v>10.1</v>
      </c>
      <c r="Q9" s="44">
        <v>13</v>
      </c>
      <c r="R9" s="11">
        <f t="shared" si="3"/>
        <v>128.7128712871287</v>
      </c>
      <c r="S9" s="44">
        <v>10.7</v>
      </c>
      <c r="T9" s="44">
        <v>10.4</v>
      </c>
      <c r="U9" s="11">
        <f t="shared" si="4"/>
        <v>97.196261682243</v>
      </c>
      <c r="V9" s="44">
        <v>11.3</v>
      </c>
      <c r="W9" s="44">
        <v>10.2</v>
      </c>
      <c r="X9" s="11">
        <f t="shared" si="5"/>
        <v>90.2654867256637</v>
      </c>
      <c r="Y9" s="89">
        <f t="shared" si="10"/>
        <v>32.099999999999994</v>
      </c>
      <c r="Z9" s="89">
        <f t="shared" si="11"/>
        <v>33.599999999999994</v>
      </c>
      <c r="AA9" s="11">
        <f t="shared" si="6"/>
        <v>104.67289719626169</v>
      </c>
      <c r="AB9" s="44">
        <v>14.4</v>
      </c>
      <c r="AC9" s="44">
        <v>14.2</v>
      </c>
      <c r="AD9" s="11">
        <f t="shared" si="7"/>
        <v>98.6111111111111</v>
      </c>
      <c r="AE9" s="72">
        <f aca="true" t="shared" si="14" ref="AE9:AE40">M9+Y9+AB9</f>
        <v>77.4</v>
      </c>
      <c r="AF9" s="72">
        <f aca="true" t="shared" si="15" ref="AF9:AF40">N9+Z9+AC9</f>
        <v>76.8</v>
      </c>
      <c r="AG9" s="11">
        <f t="shared" si="8"/>
        <v>99.22480620155038</v>
      </c>
      <c r="AH9" s="72">
        <f aca="true" t="shared" si="16" ref="AH9:AH28">AE9-AF9</f>
        <v>0.6000000000000085</v>
      </c>
      <c r="AI9" s="18">
        <f aca="true" t="shared" si="17" ref="AI9:AI28">C9+AE9-AF9</f>
        <v>5.800000000000011</v>
      </c>
    </row>
    <row r="10" spans="1:35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12"/>
        <v>2.8</v>
      </c>
      <c r="N10" s="89">
        <f t="shared" si="13"/>
        <v>2.9</v>
      </c>
      <c r="O10" s="11">
        <f t="shared" si="9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44">
        <v>0.8</v>
      </c>
      <c r="T10" s="44">
        <v>0.7</v>
      </c>
      <c r="U10" s="11">
        <f t="shared" si="4"/>
        <v>87.49999999999999</v>
      </c>
      <c r="V10" s="44">
        <v>2</v>
      </c>
      <c r="W10" s="44">
        <v>1.8</v>
      </c>
      <c r="X10" s="11">
        <f t="shared" si="5"/>
        <v>90</v>
      </c>
      <c r="Y10" s="89">
        <f t="shared" si="10"/>
        <v>3.5</v>
      </c>
      <c r="Z10" s="89">
        <f t="shared" si="11"/>
        <v>3.7</v>
      </c>
      <c r="AA10" s="11">
        <f t="shared" si="6"/>
        <v>105.71428571428572</v>
      </c>
      <c r="AB10" s="44">
        <v>2.6</v>
      </c>
      <c r="AC10" s="44">
        <v>2.5</v>
      </c>
      <c r="AD10" s="11">
        <f t="shared" si="7"/>
        <v>96.15384615384615</v>
      </c>
      <c r="AE10" s="72">
        <f t="shared" si="14"/>
        <v>8.9</v>
      </c>
      <c r="AF10" s="72">
        <f t="shared" si="15"/>
        <v>9.1</v>
      </c>
      <c r="AG10" s="11">
        <f t="shared" si="8"/>
        <v>102.24719101123594</v>
      </c>
      <c r="AH10" s="72">
        <f t="shared" si="16"/>
        <v>-0.1999999999999993</v>
      </c>
      <c r="AI10" s="18">
        <f t="shared" si="17"/>
        <v>0.3000000000000007</v>
      </c>
    </row>
    <row r="11" spans="1:35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12"/>
        <v>239</v>
      </c>
      <c r="N11" s="89">
        <f t="shared" si="13"/>
        <v>204.5</v>
      </c>
      <c r="O11" s="11">
        <f t="shared" si="9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44">
        <v>71.4</v>
      </c>
      <c r="T11" s="44">
        <v>104.7</v>
      </c>
      <c r="U11" s="11">
        <f t="shared" si="4"/>
        <v>146.63865546218486</v>
      </c>
      <c r="V11" s="44">
        <v>95.3</v>
      </c>
      <c r="W11" s="44">
        <v>85.7</v>
      </c>
      <c r="X11" s="11">
        <f t="shared" si="5"/>
        <v>89.92654774396642</v>
      </c>
      <c r="Y11" s="89">
        <f t="shared" si="10"/>
        <v>250</v>
      </c>
      <c r="Z11" s="89">
        <f t="shared" si="11"/>
        <v>296.6</v>
      </c>
      <c r="AA11" s="11">
        <f t="shared" si="6"/>
        <v>118.64000000000001</v>
      </c>
      <c r="AB11" s="44">
        <v>63</v>
      </c>
      <c r="AC11" s="44">
        <v>106.6</v>
      </c>
      <c r="AD11" s="11">
        <f t="shared" si="7"/>
        <v>169.20634920634922</v>
      </c>
      <c r="AE11" s="72">
        <f t="shared" si="14"/>
        <v>552</v>
      </c>
      <c r="AF11" s="72">
        <f t="shared" si="15"/>
        <v>607.7</v>
      </c>
      <c r="AG11" s="11">
        <f t="shared" si="8"/>
        <v>110.09057971014494</v>
      </c>
      <c r="AH11" s="72">
        <f t="shared" si="16"/>
        <v>-55.700000000000045</v>
      </c>
      <c r="AI11" s="18">
        <f t="shared" si="17"/>
        <v>-48.60000000000002</v>
      </c>
    </row>
    <row r="12" spans="1:35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12"/>
        <v>44.7</v>
      </c>
      <c r="N12" s="89">
        <f t="shared" si="13"/>
        <v>44.9</v>
      </c>
      <c r="O12" s="11">
        <f t="shared" si="9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44">
        <v>8.8</v>
      </c>
      <c r="T12" s="44">
        <v>11.9</v>
      </c>
      <c r="U12" s="11">
        <f t="shared" si="4"/>
        <v>135.22727272727272</v>
      </c>
      <c r="V12" s="44">
        <v>11.2</v>
      </c>
      <c r="W12" s="44">
        <v>10.7</v>
      </c>
      <c r="X12" s="11">
        <f t="shared" si="5"/>
        <v>95.53571428571429</v>
      </c>
      <c r="Y12" s="89">
        <f t="shared" si="10"/>
        <v>33.099999999999994</v>
      </c>
      <c r="Z12" s="89">
        <f t="shared" si="11"/>
        <v>30</v>
      </c>
      <c r="AA12" s="11">
        <f t="shared" si="6"/>
        <v>90.63444108761331</v>
      </c>
      <c r="AB12" s="44">
        <v>10.7</v>
      </c>
      <c r="AC12" s="44">
        <v>12.7</v>
      </c>
      <c r="AD12" s="11">
        <f t="shared" si="7"/>
        <v>118.69158878504673</v>
      </c>
      <c r="AE12" s="72">
        <f t="shared" si="14"/>
        <v>88.5</v>
      </c>
      <c r="AF12" s="72">
        <f t="shared" si="15"/>
        <v>87.60000000000001</v>
      </c>
      <c r="AG12" s="11">
        <f t="shared" si="8"/>
        <v>98.98305084745763</v>
      </c>
      <c r="AH12" s="72">
        <f t="shared" si="16"/>
        <v>0.8999999999999915</v>
      </c>
      <c r="AI12" s="18">
        <f t="shared" si="17"/>
        <v>36.19999999999999</v>
      </c>
    </row>
    <row r="13" spans="1:35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12"/>
        <v>98.69999999999999</v>
      </c>
      <c r="N13" s="89">
        <f t="shared" si="13"/>
        <v>92.89999999999999</v>
      </c>
      <c r="O13" s="11">
        <f t="shared" si="9"/>
        <v>94.12360688956434</v>
      </c>
      <c r="P13" s="44">
        <v>30.6</v>
      </c>
      <c r="Q13" s="44">
        <v>39.7</v>
      </c>
      <c r="R13" s="140">
        <f t="shared" si="3"/>
        <v>129.73856209150327</v>
      </c>
      <c r="S13" s="44">
        <v>32.4</v>
      </c>
      <c r="T13" s="44">
        <v>32</v>
      </c>
      <c r="U13" s="140">
        <f t="shared" si="4"/>
        <v>98.76543209876544</v>
      </c>
      <c r="V13" s="44">
        <v>31.8</v>
      </c>
      <c r="W13" s="44">
        <v>31.3</v>
      </c>
      <c r="X13" s="11">
        <f t="shared" si="5"/>
        <v>98.42767295597484</v>
      </c>
      <c r="Y13" s="89">
        <f t="shared" si="10"/>
        <v>94.8</v>
      </c>
      <c r="Z13" s="89">
        <f t="shared" si="11"/>
        <v>103</v>
      </c>
      <c r="AA13" s="11">
        <f t="shared" si="6"/>
        <v>108.64978902953585</v>
      </c>
      <c r="AB13" s="44">
        <v>31.8</v>
      </c>
      <c r="AC13" s="44">
        <v>31.3</v>
      </c>
      <c r="AD13" s="11">
        <f t="shared" si="7"/>
        <v>98.42767295597484</v>
      </c>
      <c r="AE13" s="72">
        <f t="shared" si="14"/>
        <v>225.3</v>
      </c>
      <c r="AF13" s="72">
        <f t="shared" si="15"/>
        <v>227.2</v>
      </c>
      <c r="AG13" s="11">
        <f t="shared" si="8"/>
        <v>100.8433200177541</v>
      </c>
      <c r="AH13" s="72">
        <f t="shared" si="16"/>
        <v>-1.8999999999999773</v>
      </c>
      <c r="AI13" s="18">
        <f t="shared" si="17"/>
        <v>35.200000000000045</v>
      </c>
    </row>
    <row r="14" spans="1:35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12"/>
        <v>15.1</v>
      </c>
      <c r="N14" s="89">
        <f t="shared" si="13"/>
        <v>15.399999999999999</v>
      </c>
      <c r="O14" s="11">
        <f t="shared" si="9"/>
        <v>101.9867549668874</v>
      </c>
      <c r="P14" s="44">
        <v>11.7</v>
      </c>
      <c r="Q14" s="44">
        <v>11.3</v>
      </c>
      <c r="R14" s="11">
        <f t="shared" si="3"/>
        <v>96.5811965811966</v>
      </c>
      <c r="S14" s="44">
        <v>4.3</v>
      </c>
      <c r="T14" s="44">
        <v>4.4</v>
      </c>
      <c r="U14" s="11">
        <f t="shared" si="4"/>
        <v>102.32558139534885</v>
      </c>
      <c r="V14" s="44">
        <v>8.9</v>
      </c>
      <c r="W14" s="44">
        <v>9</v>
      </c>
      <c r="X14" s="11">
        <f t="shared" si="5"/>
        <v>101.12359550561798</v>
      </c>
      <c r="Y14" s="89">
        <f t="shared" si="10"/>
        <v>24.9</v>
      </c>
      <c r="Z14" s="89">
        <f t="shared" si="11"/>
        <v>24.700000000000003</v>
      </c>
      <c r="AA14" s="11">
        <f t="shared" si="6"/>
        <v>99.1967871485944</v>
      </c>
      <c r="AB14" s="44">
        <v>6.4</v>
      </c>
      <c r="AC14" s="44">
        <v>6</v>
      </c>
      <c r="AD14" s="11">
        <f t="shared" si="7"/>
        <v>93.75</v>
      </c>
      <c r="AE14" s="72">
        <f t="shared" si="14"/>
        <v>46.4</v>
      </c>
      <c r="AF14" s="72">
        <f t="shared" si="15"/>
        <v>46.1</v>
      </c>
      <c r="AG14" s="11">
        <f t="shared" si="8"/>
        <v>99.35344827586208</v>
      </c>
      <c r="AH14" s="72">
        <f t="shared" si="16"/>
        <v>0.29999999999999716</v>
      </c>
      <c r="AI14" s="18">
        <f t="shared" si="17"/>
        <v>0</v>
      </c>
    </row>
    <row r="15" spans="1:35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12"/>
        <v>146.1</v>
      </c>
      <c r="N15" s="89">
        <f t="shared" si="13"/>
        <v>160</v>
      </c>
      <c r="O15" s="11">
        <f t="shared" si="9"/>
        <v>109.51403148528405</v>
      </c>
      <c r="P15" s="44">
        <v>51.8</v>
      </c>
      <c r="Q15" s="44">
        <v>70.8</v>
      </c>
      <c r="R15" s="140">
        <f t="shared" si="3"/>
        <v>136.67953667953668</v>
      </c>
      <c r="S15" s="44">
        <v>33.1</v>
      </c>
      <c r="T15" s="44">
        <v>50.5</v>
      </c>
      <c r="U15" s="140">
        <f t="shared" si="4"/>
        <v>152.5679758308157</v>
      </c>
      <c r="V15" s="44">
        <v>45</v>
      </c>
      <c r="W15" s="44">
        <v>43.2</v>
      </c>
      <c r="X15" s="11">
        <f t="shared" si="5"/>
        <v>96.00000000000001</v>
      </c>
      <c r="Y15" s="89">
        <f t="shared" si="10"/>
        <v>129.9</v>
      </c>
      <c r="Z15" s="89">
        <f t="shared" si="11"/>
        <v>164.5</v>
      </c>
      <c r="AA15" s="11">
        <f t="shared" si="6"/>
        <v>126.63587374903771</v>
      </c>
      <c r="AB15" s="44">
        <v>52.6</v>
      </c>
      <c r="AC15" s="44">
        <v>56</v>
      </c>
      <c r="AD15" s="11">
        <f t="shared" si="7"/>
        <v>106.4638783269962</v>
      </c>
      <c r="AE15" s="72">
        <f t="shared" si="14"/>
        <v>328.6</v>
      </c>
      <c r="AF15" s="72">
        <f t="shared" si="15"/>
        <v>380.5</v>
      </c>
      <c r="AG15" s="11">
        <f t="shared" si="8"/>
        <v>115.79427875836883</v>
      </c>
      <c r="AH15" s="72">
        <f t="shared" si="16"/>
        <v>-51.89999999999998</v>
      </c>
      <c r="AI15" s="18">
        <f t="shared" si="17"/>
        <v>54.700000000000045</v>
      </c>
    </row>
    <row r="16" spans="1:35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12"/>
        <v>3.0999999999999996</v>
      </c>
      <c r="N16" s="89">
        <f t="shared" si="13"/>
        <v>3.1</v>
      </c>
      <c r="O16" s="11">
        <f t="shared" si="9"/>
        <v>100.00000000000003</v>
      </c>
      <c r="P16" s="44">
        <v>1.6</v>
      </c>
      <c r="Q16" s="44">
        <v>1.4</v>
      </c>
      <c r="R16" s="11">
        <f t="shared" si="3"/>
        <v>87.49999999999999</v>
      </c>
      <c r="S16" s="44">
        <v>0.9</v>
      </c>
      <c r="T16" s="44">
        <v>1.1</v>
      </c>
      <c r="U16" s="11">
        <f t="shared" si="4"/>
        <v>122.22222222222223</v>
      </c>
      <c r="V16" s="44">
        <v>0.8</v>
      </c>
      <c r="W16" s="44">
        <v>0.5</v>
      </c>
      <c r="X16" s="11">
        <f t="shared" si="5"/>
        <v>62.5</v>
      </c>
      <c r="Y16" s="89">
        <f t="shared" si="10"/>
        <v>3.3</v>
      </c>
      <c r="Z16" s="89">
        <f t="shared" si="11"/>
        <v>3</v>
      </c>
      <c r="AA16" s="11">
        <f t="shared" si="6"/>
        <v>90.90909090909092</v>
      </c>
      <c r="AB16" s="44">
        <v>1.2</v>
      </c>
      <c r="AC16" s="44">
        <v>1</v>
      </c>
      <c r="AD16" s="11">
        <f t="shared" si="7"/>
        <v>83.33333333333334</v>
      </c>
      <c r="AE16" s="72">
        <f t="shared" si="14"/>
        <v>7.6</v>
      </c>
      <c r="AF16" s="72">
        <f t="shared" si="15"/>
        <v>7.1</v>
      </c>
      <c r="AG16" s="11">
        <f t="shared" si="8"/>
        <v>93.42105263157895</v>
      </c>
      <c r="AH16" s="72">
        <f t="shared" si="16"/>
        <v>0.5</v>
      </c>
      <c r="AI16" s="18">
        <f t="shared" si="17"/>
        <v>1.8000000000000007</v>
      </c>
    </row>
    <row r="17" spans="1:35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12"/>
        <v>457.6</v>
      </c>
      <c r="N17" s="89">
        <f t="shared" si="13"/>
        <v>465</v>
      </c>
      <c r="O17" s="11">
        <f t="shared" si="9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44">
        <f>154.4+12.6</f>
        <v>167</v>
      </c>
      <c r="T17" s="44">
        <f>9.8+11.7</f>
        <v>21.5</v>
      </c>
      <c r="U17" s="11">
        <f t="shared" si="4"/>
        <v>12.874251497005988</v>
      </c>
      <c r="V17" s="44">
        <f>147.1+12.4</f>
        <v>159.5</v>
      </c>
      <c r="W17" s="44">
        <f>15.3+11.9</f>
        <v>27.200000000000003</v>
      </c>
      <c r="X17" s="11">
        <f t="shared" si="5"/>
        <v>17.053291536050157</v>
      </c>
      <c r="Y17" s="89">
        <f t="shared" si="10"/>
        <v>491.1</v>
      </c>
      <c r="Z17" s="89">
        <f t="shared" si="11"/>
        <v>169.59999999999997</v>
      </c>
      <c r="AA17" s="11">
        <f t="shared" si="6"/>
        <v>34.53471798004479</v>
      </c>
      <c r="AB17" s="44">
        <f>23</f>
        <v>23</v>
      </c>
      <c r="AC17" s="44">
        <f>34.5+12</f>
        <v>46.5</v>
      </c>
      <c r="AD17" s="11">
        <f t="shared" si="7"/>
        <v>202.17391304347828</v>
      </c>
      <c r="AE17" s="72">
        <f t="shared" si="14"/>
        <v>971.7</v>
      </c>
      <c r="AF17" s="72">
        <f t="shared" si="15"/>
        <v>681.0999999999999</v>
      </c>
      <c r="AG17" s="11">
        <f t="shared" si="8"/>
        <v>70.09365030359163</v>
      </c>
      <c r="AH17" s="72">
        <f t="shared" si="16"/>
        <v>290.60000000000014</v>
      </c>
      <c r="AI17" s="18">
        <f t="shared" si="17"/>
        <v>1893.5</v>
      </c>
    </row>
    <row r="18" spans="1:35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12"/>
        <v>29.3</v>
      </c>
      <c r="N18" s="89">
        <f t="shared" si="13"/>
        <v>31.5</v>
      </c>
      <c r="O18" s="11">
        <f t="shared" si="9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44">
        <v>11</v>
      </c>
      <c r="T18" s="44">
        <v>11.5</v>
      </c>
      <c r="U18" s="11">
        <f t="shared" si="4"/>
        <v>104.54545454545455</v>
      </c>
      <c r="V18" s="44">
        <v>11.4</v>
      </c>
      <c r="W18" s="44">
        <v>6</v>
      </c>
      <c r="X18" s="11">
        <f t="shared" si="5"/>
        <v>52.63157894736842</v>
      </c>
      <c r="Y18" s="89">
        <f t="shared" si="10"/>
        <v>37.3</v>
      </c>
      <c r="Z18" s="89">
        <f t="shared" si="11"/>
        <v>29.9</v>
      </c>
      <c r="AA18" s="11">
        <f t="shared" si="6"/>
        <v>80.16085790884718</v>
      </c>
      <c r="AB18" s="44">
        <v>12.3</v>
      </c>
      <c r="AC18" s="44">
        <v>14.5</v>
      </c>
      <c r="AD18" s="11">
        <f t="shared" si="7"/>
        <v>117.88617886178861</v>
      </c>
      <c r="AE18" s="72">
        <f t="shared" si="14"/>
        <v>78.89999999999999</v>
      </c>
      <c r="AF18" s="72">
        <f t="shared" si="15"/>
        <v>75.9</v>
      </c>
      <c r="AG18" s="11">
        <f t="shared" si="8"/>
        <v>96.19771863117873</v>
      </c>
      <c r="AH18" s="72">
        <f t="shared" si="16"/>
        <v>2.999999999999986</v>
      </c>
      <c r="AI18" s="18">
        <f t="shared" si="17"/>
        <v>8.799999999999983</v>
      </c>
    </row>
    <row r="19" spans="1:35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12"/>
        <v>527.6</v>
      </c>
      <c r="N19" s="89">
        <f t="shared" si="13"/>
        <v>535.1</v>
      </c>
      <c r="O19" s="11">
        <f t="shared" si="9"/>
        <v>101.42153146322971</v>
      </c>
      <c r="P19" s="44">
        <v>112.2</v>
      </c>
      <c r="Q19" s="44">
        <v>173.3</v>
      </c>
      <c r="R19" s="140">
        <f t="shared" si="3"/>
        <v>154.45632798573976</v>
      </c>
      <c r="S19" s="44">
        <v>162</v>
      </c>
      <c r="T19" s="44">
        <v>100.1</v>
      </c>
      <c r="U19" s="140">
        <f t="shared" si="4"/>
        <v>61.79012345679013</v>
      </c>
      <c r="V19" s="44">
        <v>157</v>
      </c>
      <c r="W19" s="44">
        <v>173.8</v>
      </c>
      <c r="X19" s="11">
        <f t="shared" si="5"/>
        <v>110.70063694267516</v>
      </c>
      <c r="Y19" s="89">
        <f t="shared" si="10"/>
        <v>431.2</v>
      </c>
      <c r="Z19" s="89">
        <f t="shared" si="11"/>
        <v>447.2</v>
      </c>
      <c r="AA19" s="11">
        <f t="shared" si="6"/>
        <v>103.71057513914657</v>
      </c>
      <c r="AB19" s="44">
        <v>165.5</v>
      </c>
      <c r="AC19" s="44">
        <v>158.1</v>
      </c>
      <c r="AD19" s="11">
        <f t="shared" si="7"/>
        <v>95.52870090634441</v>
      </c>
      <c r="AE19" s="72">
        <f t="shared" si="14"/>
        <v>1124.3</v>
      </c>
      <c r="AF19" s="72">
        <f t="shared" si="15"/>
        <v>1140.3999999999999</v>
      </c>
      <c r="AG19" s="11">
        <f t="shared" si="8"/>
        <v>101.43200213466157</v>
      </c>
      <c r="AH19" s="72">
        <f t="shared" si="16"/>
        <v>-16.09999999999991</v>
      </c>
      <c r="AI19" s="18">
        <f t="shared" si="17"/>
        <v>195.20000000000005</v>
      </c>
    </row>
    <row r="20" spans="1:35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12"/>
        <v>16</v>
      </c>
      <c r="N20" s="89">
        <f t="shared" si="13"/>
        <v>15.6</v>
      </c>
      <c r="O20" s="11">
        <f t="shared" si="9"/>
        <v>97.5</v>
      </c>
      <c r="P20" s="44">
        <v>4.4</v>
      </c>
      <c r="Q20" s="44">
        <v>4.8</v>
      </c>
      <c r="R20" s="140">
        <f t="shared" si="3"/>
        <v>109.09090909090908</v>
      </c>
      <c r="S20" s="44">
        <v>10.1</v>
      </c>
      <c r="T20" s="44">
        <v>10.8</v>
      </c>
      <c r="U20" s="140">
        <f t="shared" si="4"/>
        <v>106.93069306930694</v>
      </c>
      <c r="V20" s="44">
        <v>8.8</v>
      </c>
      <c r="W20" s="44">
        <v>6.2</v>
      </c>
      <c r="X20" s="11">
        <f t="shared" si="5"/>
        <v>70.45454545454545</v>
      </c>
      <c r="Y20" s="89">
        <f t="shared" si="10"/>
        <v>23.3</v>
      </c>
      <c r="Z20" s="89">
        <f t="shared" si="11"/>
        <v>21.8</v>
      </c>
      <c r="AA20" s="11">
        <f t="shared" si="6"/>
        <v>93.56223175965665</v>
      </c>
      <c r="AB20" s="44">
        <v>9.6</v>
      </c>
      <c r="AC20" s="44">
        <v>9.6</v>
      </c>
      <c r="AD20" s="11">
        <f t="shared" si="7"/>
        <v>100</v>
      </c>
      <c r="AE20" s="72">
        <f t="shared" si="14"/>
        <v>48.9</v>
      </c>
      <c r="AF20" s="72">
        <f t="shared" si="15"/>
        <v>47</v>
      </c>
      <c r="AG20" s="11">
        <f t="shared" si="8"/>
        <v>96.11451942740287</v>
      </c>
      <c r="AH20" s="72">
        <f t="shared" si="16"/>
        <v>1.8999999999999986</v>
      </c>
      <c r="AI20" s="18">
        <f t="shared" si="17"/>
        <v>5</v>
      </c>
    </row>
    <row r="21" spans="1:35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44"/>
      <c r="W21" s="44"/>
      <c r="X21" s="11" t="e">
        <f t="shared" si="5"/>
        <v>#DIV/0!</v>
      </c>
      <c r="Y21" s="89"/>
      <c r="Z21" s="89"/>
      <c r="AA21" s="11"/>
      <c r="AB21" s="44"/>
      <c r="AC21" s="44"/>
      <c r="AD21" s="111" t="e">
        <f t="shared" si="7"/>
        <v>#DIV/0!</v>
      </c>
      <c r="AE21" s="72"/>
      <c r="AF21" s="72"/>
      <c r="AG21" s="11"/>
      <c r="AH21" s="72"/>
      <c r="AI21" s="18"/>
    </row>
    <row r="22" spans="1:35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0">
        <f aca="true" t="shared" si="18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12"/>
        <v>19.2</v>
      </c>
      <c r="N22" s="89">
        <f t="shared" si="13"/>
        <v>15.5</v>
      </c>
      <c r="O22" s="11">
        <f t="shared" si="9"/>
        <v>80.72916666666667</v>
      </c>
      <c r="P22" s="44">
        <v>7.8</v>
      </c>
      <c r="Q22" s="44">
        <v>3.9</v>
      </c>
      <c r="R22" s="140">
        <f>Q22/P22*100</f>
        <v>50</v>
      </c>
      <c r="S22" s="44">
        <v>5.1</v>
      </c>
      <c r="T22" s="44">
        <v>5.3</v>
      </c>
      <c r="U22" s="140">
        <f>T22/S22*100</f>
        <v>103.921568627451</v>
      </c>
      <c r="V22" s="44">
        <v>1.8</v>
      </c>
      <c r="W22" s="44">
        <v>1.7</v>
      </c>
      <c r="X22" s="11">
        <f t="shared" si="5"/>
        <v>94.44444444444444</v>
      </c>
      <c r="Y22" s="89">
        <f aca="true" t="shared" si="19" ref="Y22:Z28">P22+S22+V22</f>
        <v>14.7</v>
      </c>
      <c r="Z22" s="89">
        <f t="shared" si="19"/>
        <v>10.899999999999999</v>
      </c>
      <c r="AA22" s="11">
        <f aca="true" t="shared" si="20" ref="AA22:AA28">Z22/Y22*100</f>
        <v>74.14965986394557</v>
      </c>
      <c r="AB22" s="44">
        <v>2.7</v>
      </c>
      <c r="AC22" s="44">
        <v>4.7</v>
      </c>
      <c r="AD22" s="11">
        <f t="shared" si="7"/>
        <v>174.07407407407408</v>
      </c>
      <c r="AE22" s="72">
        <f t="shared" si="14"/>
        <v>36.6</v>
      </c>
      <c r="AF22" s="72">
        <f t="shared" si="15"/>
        <v>31.099999999999998</v>
      </c>
      <c r="AG22" s="11">
        <f t="shared" si="8"/>
        <v>84.97267759562841</v>
      </c>
      <c r="AH22" s="72">
        <f t="shared" si="16"/>
        <v>5.5000000000000036</v>
      </c>
      <c r="AI22" s="18">
        <f t="shared" si="17"/>
        <v>8.8</v>
      </c>
    </row>
    <row r="23" spans="1:35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18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12"/>
        <v>16.8</v>
      </c>
      <c r="N23" s="89">
        <f t="shared" si="13"/>
        <v>18.3</v>
      </c>
      <c r="O23" s="11">
        <f t="shared" si="9"/>
        <v>108.92857142857142</v>
      </c>
      <c r="P23" s="44">
        <v>6.6</v>
      </c>
      <c r="Q23" s="44">
        <v>3.7</v>
      </c>
      <c r="R23" s="11">
        <f>Q23/P23*100</f>
        <v>56.06060606060607</v>
      </c>
      <c r="S23" s="44">
        <v>8.1</v>
      </c>
      <c r="T23" s="44">
        <v>6.6</v>
      </c>
      <c r="U23" s="11">
        <f>T23/S23*100</f>
        <v>81.48148148148148</v>
      </c>
      <c r="V23" s="44">
        <v>8.6</v>
      </c>
      <c r="W23" s="44">
        <v>8.7</v>
      </c>
      <c r="X23" s="11">
        <f t="shared" si="5"/>
        <v>101.16279069767442</v>
      </c>
      <c r="Y23" s="89">
        <f t="shared" si="19"/>
        <v>23.299999999999997</v>
      </c>
      <c r="Z23" s="89">
        <f t="shared" si="19"/>
        <v>19</v>
      </c>
      <c r="AA23" s="11">
        <f t="shared" si="20"/>
        <v>81.54506437768241</v>
      </c>
      <c r="AB23" s="44">
        <v>6.1</v>
      </c>
      <c r="AC23" s="44">
        <v>9.9</v>
      </c>
      <c r="AD23" s="11">
        <f t="shared" si="7"/>
        <v>162.29508196721315</v>
      </c>
      <c r="AE23" s="72">
        <f t="shared" si="14"/>
        <v>46.199999999999996</v>
      </c>
      <c r="AF23" s="72">
        <f t="shared" si="15"/>
        <v>47.199999999999996</v>
      </c>
      <c r="AG23" s="11">
        <f t="shared" si="8"/>
        <v>102.16450216450217</v>
      </c>
      <c r="AH23" s="72">
        <f t="shared" si="16"/>
        <v>-1</v>
      </c>
      <c r="AI23" s="18">
        <f t="shared" si="17"/>
        <v>6.899999999999999</v>
      </c>
    </row>
    <row r="24" spans="1:35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18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12"/>
        <v>339.79999999999995</v>
      </c>
      <c r="N24" s="89">
        <f t="shared" si="13"/>
        <v>328.1</v>
      </c>
      <c r="O24" s="11">
        <f t="shared" si="9"/>
        <v>96.55679811653916</v>
      </c>
      <c r="P24" s="44">
        <v>113.2</v>
      </c>
      <c r="Q24" s="44">
        <v>99.2</v>
      </c>
      <c r="R24" s="11">
        <f>Q24/P24*100</f>
        <v>87.63250883392226</v>
      </c>
      <c r="S24" s="44">
        <v>105.3</v>
      </c>
      <c r="T24" s="44">
        <v>115.3</v>
      </c>
      <c r="U24" s="11">
        <f>T24/S24*100</f>
        <v>109.49667616334283</v>
      </c>
      <c r="V24" s="44">
        <v>116</v>
      </c>
      <c r="W24" s="44">
        <v>101.7</v>
      </c>
      <c r="X24" s="11">
        <f t="shared" si="5"/>
        <v>87.67241379310346</v>
      </c>
      <c r="Y24" s="89">
        <f t="shared" si="19"/>
        <v>334.5</v>
      </c>
      <c r="Z24" s="89">
        <f t="shared" si="19"/>
        <v>316.2</v>
      </c>
      <c r="AA24" s="11">
        <f t="shared" si="20"/>
        <v>94.52914798206278</v>
      </c>
      <c r="AB24" s="44">
        <v>134.3</v>
      </c>
      <c r="AC24" s="44">
        <v>139.5</v>
      </c>
      <c r="AD24" s="11">
        <f t="shared" si="7"/>
        <v>103.87192851824274</v>
      </c>
      <c r="AE24" s="72">
        <f t="shared" si="14"/>
        <v>808.5999999999999</v>
      </c>
      <c r="AF24" s="72">
        <f t="shared" si="15"/>
        <v>783.8</v>
      </c>
      <c r="AG24" s="11">
        <f t="shared" si="8"/>
        <v>96.93297056641109</v>
      </c>
      <c r="AH24" s="72">
        <f t="shared" si="16"/>
        <v>24.799999999999955</v>
      </c>
      <c r="AI24" s="18">
        <f t="shared" si="17"/>
        <v>26.09999999999991</v>
      </c>
    </row>
    <row r="25" spans="1:35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18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12"/>
        <v>46.3</v>
      </c>
      <c r="N25" s="89">
        <f t="shared" si="13"/>
        <v>42.1</v>
      </c>
      <c r="O25" s="11">
        <f t="shared" si="9"/>
        <v>90.92872570194386</v>
      </c>
      <c r="P25" s="44">
        <v>18</v>
      </c>
      <c r="Q25" s="44">
        <v>18.6</v>
      </c>
      <c r="R25" s="11">
        <f>Q25/P25*100</f>
        <v>103.33333333333334</v>
      </c>
      <c r="S25" s="44">
        <v>20.9</v>
      </c>
      <c r="T25" s="44">
        <v>16</v>
      </c>
      <c r="U25" s="11">
        <f>T25/S25*100</f>
        <v>76.55502392344498</v>
      </c>
      <c r="V25" s="44">
        <v>18.4</v>
      </c>
      <c r="W25" s="44">
        <v>17.3</v>
      </c>
      <c r="X25" s="11">
        <f>W25/V25*100</f>
        <v>94.0217391304348</v>
      </c>
      <c r="Y25" s="89">
        <f t="shared" si="19"/>
        <v>57.3</v>
      </c>
      <c r="Z25" s="89">
        <f t="shared" si="19"/>
        <v>51.900000000000006</v>
      </c>
      <c r="AA25" s="11">
        <f t="shared" si="20"/>
        <v>90.5759162303665</v>
      </c>
      <c r="AB25" s="44">
        <v>23.5</v>
      </c>
      <c r="AC25" s="44">
        <v>18.1</v>
      </c>
      <c r="AD25" s="11">
        <f>AC25/AB25*100</f>
        <v>77.0212765957447</v>
      </c>
      <c r="AE25" s="72">
        <f t="shared" si="14"/>
        <v>127.1</v>
      </c>
      <c r="AF25" s="72">
        <f t="shared" si="15"/>
        <v>112.1</v>
      </c>
      <c r="AG25" s="11">
        <f t="shared" si="8"/>
        <v>88.19826907946499</v>
      </c>
      <c r="AH25" s="72">
        <f t="shared" si="16"/>
        <v>15</v>
      </c>
      <c r="AI25" s="18">
        <f t="shared" si="17"/>
        <v>32.69999999999999</v>
      </c>
    </row>
    <row r="26" spans="1:35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18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12"/>
        <v>0.2</v>
      </c>
      <c r="N26" s="89">
        <f t="shared" si="13"/>
        <v>0.30000000000000004</v>
      </c>
      <c r="O26" s="11">
        <f t="shared" si="9"/>
        <v>150.00000000000003</v>
      </c>
      <c r="P26" s="44">
        <v>0.5</v>
      </c>
      <c r="Q26" s="44">
        <v>0.6</v>
      </c>
      <c r="R26" s="11">
        <v>0</v>
      </c>
      <c r="S26" s="44">
        <v>0.1</v>
      </c>
      <c r="T26" s="44">
        <v>0.1</v>
      </c>
      <c r="U26" s="11">
        <v>0</v>
      </c>
      <c r="V26" s="44">
        <v>0.1</v>
      </c>
      <c r="W26" s="44">
        <v>0.1</v>
      </c>
      <c r="X26" s="11">
        <v>0</v>
      </c>
      <c r="Y26" s="89">
        <f t="shared" si="19"/>
        <v>0.7</v>
      </c>
      <c r="Z26" s="89">
        <f t="shared" si="19"/>
        <v>0.7999999999999999</v>
      </c>
      <c r="AA26" s="11">
        <f t="shared" si="20"/>
        <v>114.28571428571428</v>
      </c>
      <c r="AB26" s="44">
        <v>0</v>
      </c>
      <c r="AC26" s="44">
        <v>0</v>
      </c>
      <c r="AD26" s="11">
        <v>0</v>
      </c>
      <c r="AE26" s="72">
        <f t="shared" si="14"/>
        <v>0.8999999999999999</v>
      </c>
      <c r="AF26" s="72">
        <f t="shared" si="15"/>
        <v>1.1</v>
      </c>
      <c r="AG26" s="11">
        <f t="shared" si="8"/>
        <v>122.22222222222226</v>
      </c>
      <c r="AH26" s="72">
        <f t="shared" si="16"/>
        <v>-0.20000000000000018</v>
      </c>
      <c r="AI26" s="18">
        <f t="shared" si="17"/>
        <v>0.4999999999999998</v>
      </c>
    </row>
    <row r="27" spans="1:35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18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12"/>
        <v>29.5</v>
      </c>
      <c r="N27" s="89">
        <f t="shared" si="13"/>
        <v>29.5</v>
      </c>
      <c r="O27" s="11">
        <f t="shared" si="9"/>
        <v>100</v>
      </c>
      <c r="P27" s="44">
        <v>8.5</v>
      </c>
      <c r="Q27" s="44">
        <v>8.5</v>
      </c>
      <c r="R27" s="11">
        <v>0</v>
      </c>
      <c r="S27" s="44">
        <v>7.1</v>
      </c>
      <c r="T27" s="44">
        <v>7.1</v>
      </c>
      <c r="U27" s="11">
        <v>0</v>
      </c>
      <c r="V27" s="44">
        <v>20</v>
      </c>
      <c r="W27" s="44">
        <v>20</v>
      </c>
      <c r="X27" s="11">
        <v>0</v>
      </c>
      <c r="Y27" s="89">
        <f t="shared" si="19"/>
        <v>35.6</v>
      </c>
      <c r="Z27" s="89">
        <f t="shared" si="19"/>
        <v>35.6</v>
      </c>
      <c r="AA27" s="11">
        <f t="shared" si="20"/>
        <v>100</v>
      </c>
      <c r="AB27" s="44">
        <v>17.4</v>
      </c>
      <c r="AC27" s="44">
        <v>17.4</v>
      </c>
      <c r="AD27" s="11">
        <v>0</v>
      </c>
      <c r="AE27" s="72">
        <f t="shared" si="14"/>
        <v>82.5</v>
      </c>
      <c r="AF27" s="72">
        <f t="shared" si="15"/>
        <v>82.5</v>
      </c>
      <c r="AG27" s="11">
        <f t="shared" si="8"/>
        <v>100</v>
      </c>
      <c r="AH27" s="72">
        <f t="shared" si="16"/>
        <v>0</v>
      </c>
      <c r="AI27" s="18">
        <f t="shared" si="17"/>
        <v>0</v>
      </c>
    </row>
    <row r="28" spans="1:35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18"/>
        <v>116.25207296849086</v>
      </c>
      <c r="G28" s="44">
        <v>44.5</v>
      </c>
      <c r="H28" s="44">
        <v>47</v>
      </c>
      <c r="I28" s="11">
        <v>0</v>
      </c>
      <c r="J28" s="44">
        <v>58.1</v>
      </c>
      <c r="K28" s="44">
        <v>47.2</v>
      </c>
      <c r="L28" s="11">
        <v>0</v>
      </c>
      <c r="M28" s="89">
        <f t="shared" si="12"/>
        <v>162.9</v>
      </c>
      <c r="N28" s="89">
        <f t="shared" si="13"/>
        <v>164.3</v>
      </c>
      <c r="O28" s="11">
        <f t="shared" si="9"/>
        <v>100.85942295887047</v>
      </c>
      <c r="P28" s="44">
        <v>74</v>
      </c>
      <c r="Q28" s="44">
        <v>87</v>
      </c>
      <c r="R28" s="11">
        <v>0</v>
      </c>
      <c r="S28" s="44">
        <v>40.6</v>
      </c>
      <c r="T28" s="44">
        <v>23.8</v>
      </c>
      <c r="U28" s="11">
        <v>0</v>
      </c>
      <c r="V28" s="44">
        <v>90.3</v>
      </c>
      <c r="W28" s="44">
        <v>54.8</v>
      </c>
      <c r="X28" s="11">
        <v>0</v>
      </c>
      <c r="Y28" s="89">
        <f t="shared" si="19"/>
        <v>204.89999999999998</v>
      </c>
      <c r="Z28" s="89">
        <f t="shared" si="19"/>
        <v>165.6</v>
      </c>
      <c r="AA28" s="11">
        <f t="shared" si="20"/>
        <v>80.8199121522694</v>
      </c>
      <c r="AB28" s="44">
        <v>73.2</v>
      </c>
      <c r="AC28" s="44">
        <v>69.1</v>
      </c>
      <c r="AD28" s="11">
        <v>0</v>
      </c>
      <c r="AE28" s="72">
        <f t="shared" si="14"/>
        <v>440.99999999999994</v>
      </c>
      <c r="AF28" s="72">
        <f t="shared" si="15"/>
        <v>399</v>
      </c>
      <c r="AG28" s="11">
        <f t="shared" si="8"/>
        <v>90.47619047619048</v>
      </c>
      <c r="AH28" s="72">
        <f t="shared" si="16"/>
        <v>41.99999999999994</v>
      </c>
      <c r="AI28" s="18">
        <f t="shared" si="17"/>
        <v>107.09999999999991</v>
      </c>
    </row>
    <row r="29" spans="1:35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72"/>
      <c r="AF29" s="72"/>
      <c r="AG29" s="77"/>
      <c r="AH29" s="77"/>
      <c r="AI29" s="77"/>
    </row>
    <row r="30" spans="1:35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21" ref="L30:L42">K30/J30*100</f>
        <v>105.26315789473684</v>
      </c>
      <c r="M30" s="89">
        <f t="shared" si="12"/>
        <v>68.6</v>
      </c>
      <c r="N30" s="89">
        <f t="shared" si="13"/>
        <v>62.7</v>
      </c>
      <c r="O30" s="11">
        <f t="shared" si="9"/>
        <v>91.399416909621</v>
      </c>
      <c r="P30" s="44">
        <v>23.6</v>
      </c>
      <c r="Q30" s="44">
        <v>20</v>
      </c>
      <c r="R30" s="140">
        <f aca="true" t="shared" si="22" ref="R30:R43">Q30/P30*100</f>
        <v>84.7457627118644</v>
      </c>
      <c r="S30" s="44">
        <v>23.1</v>
      </c>
      <c r="T30" s="44">
        <v>22.6</v>
      </c>
      <c r="U30" s="140">
        <f aca="true" t="shared" si="23" ref="U30:U43">T30/S30*100</f>
        <v>97.83549783549783</v>
      </c>
      <c r="V30" s="44">
        <v>20.2</v>
      </c>
      <c r="W30" s="44">
        <v>20.6</v>
      </c>
      <c r="X30" s="140">
        <f aca="true" t="shared" si="24" ref="X30:X43">W30/V30*100</f>
        <v>101.98019801980197</v>
      </c>
      <c r="Y30" s="89">
        <f aca="true" t="shared" si="25" ref="Y30:Y40">P30+S30+V30</f>
        <v>66.9</v>
      </c>
      <c r="Z30" s="89">
        <f aca="true" t="shared" si="26" ref="Z30:Z40">Q30+T30+W30</f>
        <v>63.2</v>
      </c>
      <c r="AA30" s="11">
        <f aca="true" t="shared" si="27" ref="AA30:AA43">Z30/Y30*100</f>
        <v>94.46935724962631</v>
      </c>
      <c r="AB30" s="44">
        <v>25.2</v>
      </c>
      <c r="AC30" s="44">
        <v>33</v>
      </c>
      <c r="AD30" s="140">
        <f aca="true" t="shared" si="28" ref="AD30:AD43">AC30/AB30*100</f>
        <v>130.95238095238096</v>
      </c>
      <c r="AE30" s="72">
        <f t="shared" si="14"/>
        <v>160.7</v>
      </c>
      <c r="AF30" s="72">
        <f t="shared" si="15"/>
        <v>158.9</v>
      </c>
      <c r="AG30" s="11">
        <f t="shared" si="8"/>
        <v>98.87990043559428</v>
      </c>
      <c r="AH30" s="72">
        <f aca="true" t="shared" si="29" ref="AH30:AH42">AE30-AF30</f>
        <v>1.799999999999983</v>
      </c>
      <c r="AI30" s="18">
        <f aca="true" t="shared" si="30" ref="AI30:AI40">C30+AE30-AF30</f>
        <v>2.6999999999999886</v>
      </c>
    </row>
    <row r="31" spans="1:35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21"/>
        <v>121.24999999999999</v>
      </c>
      <c r="M31" s="89">
        <f t="shared" si="12"/>
        <v>23.1</v>
      </c>
      <c r="N31" s="89">
        <f t="shared" si="13"/>
        <v>22.9</v>
      </c>
      <c r="O31" s="11">
        <f t="shared" si="9"/>
        <v>99.13419913419912</v>
      </c>
      <c r="P31" s="44">
        <v>8.7</v>
      </c>
      <c r="Q31" s="44">
        <v>7.3</v>
      </c>
      <c r="R31" s="11">
        <f t="shared" si="22"/>
        <v>83.9080459770115</v>
      </c>
      <c r="S31" s="44">
        <v>8.9</v>
      </c>
      <c r="T31" s="44">
        <v>10.9</v>
      </c>
      <c r="U31" s="11">
        <f t="shared" si="23"/>
        <v>122.47191011235954</v>
      </c>
      <c r="V31" s="44">
        <v>8.7</v>
      </c>
      <c r="W31" s="44">
        <v>6.5</v>
      </c>
      <c r="X31" s="11">
        <f t="shared" si="24"/>
        <v>74.71264367816093</v>
      </c>
      <c r="Y31" s="89">
        <f t="shared" si="25"/>
        <v>26.3</v>
      </c>
      <c r="Z31" s="89">
        <f t="shared" si="26"/>
        <v>24.7</v>
      </c>
      <c r="AA31" s="11">
        <f t="shared" si="27"/>
        <v>93.91634980988593</v>
      </c>
      <c r="AB31" s="44">
        <v>11.4</v>
      </c>
      <c r="AC31" s="44">
        <v>8.6</v>
      </c>
      <c r="AD31" s="11">
        <f t="shared" si="28"/>
        <v>75.43859649122805</v>
      </c>
      <c r="AE31" s="72">
        <f t="shared" si="14"/>
        <v>60.800000000000004</v>
      </c>
      <c r="AF31" s="72">
        <f t="shared" si="15"/>
        <v>56.199999999999996</v>
      </c>
      <c r="AG31" s="11">
        <f t="shared" si="8"/>
        <v>92.43421052631578</v>
      </c>
      <c r="AH31" s="72">
        <f t="shared" si="29"/>
        <v>4.6000000000000085</v>
      </c>
      <c r="AI31" s="18">
        <f t="shared" si="30"/>
        <v>6.70000000000001</v>
      </c>
    </row>
    <row r="32" spans="1:35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21"/>
        <v>153.55648535564853</v>
      </c>
      <c r="M32" s="89">
        <f t="shared" si="12"/>
        <v>495.09999999999997</v>
      </c>
      <c r="N32" s="89">
        <f t="shared" si="13"/>
        <v>374</v>
      </c>
      <c r="O32" s="11">
        <f t="shared" si="9"/>
        <v>75.54029488992123</v>
      </c>
      <c r="P32" s="44">
        <v>197.8</v>
      </c>
      <c r="Q32" s="44">
        <v>103.2</v>
      </c>
      <c r="R32" s="11">
        <f t="shared" si="22"/>
        <v>52.17391304347826</v>
      </c>
      <c r="S32" s="44">
        <v>144.1</v>
      </c>
      <c r="T32" s="44">
        <v>250.9</v>
      </c>
      <c r="U32" s="11">
        <f t="shared" si="23"/>
        <v>174.1151977793199</v>
      </c>
      <c r="V32" s="44">
        <v>172.4</v>
      </c>
      <c r="W32" s="44">
        <v>140.3</v>
      </c>
      <c r="X32" s="11">
        <f t="shared" si="24"/>
        <v>81.38051044083528</v>
      </c>
      <c r="Y32" s="89">
        <f t="shared" si="25"/>
        <v>514.3</v>
      </c>
      <c r="Z32" s="89">
        <f t="shared" si="26"/>
        <v>494.40000000000003</v>
      </c>
      <c r="AA32" s="11">
        <f t="shared" si="27"/>
        <v>96.13066303713788</v>
      </c>
      <c r="AB32" s="44">
        <v>235.9</v>
      </c>
      <c r="AC32" s="44">
        <v>398.5</v>
      </c>
      <c r="AD32" s="11">
        <f t="shared" si="28"/>
        <v>168.927511657482</v>
      </c>
      <c r="AE32" s="72">
        <f t="shared" si="14"/>
        <v>1245.3</v>
      </c>
      <c r="AF32" s="72">
        <f t="shared" si="15"/>
        <v>1266.9</v>
      </c>
      <c r="AG32" s="11">
        <f t="shared" si="8"/>
        <v>101.73452180197545</v>
      </c>
      <c r="AH32" s="72">
        <f t="shared" si="29"/>
        <v>-21.600000000000136</v>
      </c>
      <c r="AI32" s="18">
        <f t="shared" si="30"/>
        <v>356.1999999999998</v>
      </c>
    </row>
    <row r="33" spans="1:35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21"/>
        <v>29.205069124423964</v>
      </c>
      <c r="M33" s="89">
        <f t="shared" si="12"/>
        <v>518.2</v>
      </c>
      <c r="N33" s="89">
        <f t="shared" si="13"/>
        <v>280</v>
      </c>
      <c r="O33" s="11">
        <f t="shared" si="9"/>
        <v>54.033191817830954</v>
      </c>
      <c r="P33" s="44">
        <v>178.3</v>
      </c>
      <c r="Q33" s="44">
        <v>49.1</v>
      </c>
      <c r="R33" s="11">
        <f t="shared" si="22"/>
        <v>27.537857543466064</v>
      </c>
      <c r="S33" s="44">
        <v>169.4</v>
      </c>
      <c r="T33" s="44">
        <v>70.5</v>
      </c>
      <c r="U33" s="11">
        <f t="shared" si="23"/>
        <v>41.61747343565525</v>
      </c>
      <c r="V33" s="44">
        <v>167.4</v>
      </c>
      <c r="W33" s="44">
        <v>78.5</v>
      </c>
      <c r="X33" s="11">
        <f t="shared" si="24"/>
        <v>46.893667861409796</v>
      </c>
      <c r="Y33" s="89">
        <f t="shared" si="25"/>
        <v>515.1</v>
      </c>
      <c r="Z33" s="89">
        <f t="shared" si="26"/>
        <v>198.1</v>
      </c>
      <c r="AA33" s="11">
        <f t="shared" si="27"/>
        <v>38.45855173752669</v>
      </c>
      <c r="AB33" s="44">
        <v>218.4</v>
      </c>
      <c r="AC33" s="44">
        <v>80.4</v>
      </c>
      <c r="AD33" s="11">
        <f t="shared" si="28"/>
        <v>36.81318681318682</v>
      </c>
      <c r="AE33" s="72">
        <f t="shared" si="14"/>
        <v>1251.7000000000003</v>
      </c>
      <c r="AF33" s="72">
        <f t="shared" si="15"/>
        <v>558.5</v>
      </c>
      <c r="AG33" s="11">
        <f t="shared" si="8"/>
        <v>44.61931772789006</v>
      </c>
      <c r="AH33" s="72">
        <f t="shared" si="29"/>
        <v>693.2000000000003</v>
      </c>
      <c r="AI33" s="18">
        <f t="shared" si="30"/>
        <v>869.2000000000003</v>
      </c>
    </row>
    <row r="34" spans="1:35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31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21"/>
        <v>74</v>
      </c>
      <c r="M34" s="89">
        <f t="shared" si="12"/>
        <v>13.2</v>
      </c>
      <c r="N34" s="89">
        <f t="shared" si="13"/>
        <v>14.8</v>
      </c>
      <c r="O34" s="11">
        <f t="shared" si="9"/>
        <v>112.12121212121214</v>
      </c>
      <c r="P34" s="44">
        <v>4.8</v>
      </c>
      <c r="Q34" s="44">
        <v>4.6</v>
      </c>
      <c r="R34" s="140">
        <f t="shared" si="22"/>
        <v>95.83333333333333</v>
      </c>
      <c r="S34" s="44">
        <v>5.9</v>
      </c>
      <c r="T34" s="44">
        <v>5.2</v>
      </c>
      <c r="U34" s="140">
        <f t="shared" si="23"/>
        <v>88.13559322033898</v>
      </c>
      <c r="V34" s="44">
        <v>5.8</v>
      </c>
      <c r="W34" s="44">
        <v>5.2</v>
      </c>
      <c r="X34" s="140">
        <f t="shared" si="24"/>
        <v>89.65517241379311</v>
      </c>
      <c r="Y34" s="89">
        <f t="shared" si="25"/>
        <v>16.5</v>
      </c>
      <c r="Z34" s="89">
        <f t="shared" si="26"/>
        <v>15</v>
      </c>
      <c r="AA34" s="11">
        <f t="shared" si="27"/>
        <v>90.9090909090909</v>
      </c>
      <c r="AB34" s="44">
        <v>9.3</v>
      </c>
      <c r="AC34" s="44">
        <v>6.9</v>
      </c>
      <c r="AD34" s="140">
        <f t="shared" si="28"/>
        <v>74.19354838709677</v>
      </c>
      <c r="AE34" s="72">
        <f t="shared" si="14"/>
        <v>39</v>
      </c>
      <c r="AF34" s="72">
        <f t="shared" si="15"/>
        <v>36.7</v>
      </c>
      <c r="AG34" s="11">
        <f t="shared" si="8"/>
        <v>94.10256410256412</v>
      </c>
      <c r="AH34" s="72">
        <f t="shared" si="29"/>
        <v>2.299999999999997</v>
      </c>
      <c r="AI34" s="18">
        <f t="shared" si="30"/>
        <v>11</v>
      </c>
    </row>
    <row r="35" spans="1:35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31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21"/>
        <v>143.75510204081633</v>
      </c>
      <c r="M35" s="89">
        <f t="shared" si="12"/>
        <v>422.4</v>
      </c>
      <c r="N35" s="89">
        <f t="shared" si="13"/>
        <v>443.70000000000005</v>
      </c>
      <c r="O35" s="11">
        <f t="shared" si="9"/>
        <v>105.04261363636364</v>
      </c>
      <c r="P35" s="44">
        <v>128.5</v>
      </c>
      <c r="Q35" s="44">
        <v>113.2</v>
      </c>
      <c r="R35" s="11">
        <f t="shared" si="22"/>
        <v>88.09338521400778</v>
      </c>
      <c r="S35" s="44">
        <v>168.2</v>
      </c>
      <c r="T35" s="44">
        <v>197</v>
      </c>
      <c r="U35" s="11">
        <f t="shared" si="23"/>
        <v>117.12247324613556</v>
      </c>
      <c r="V35" s="44">
        <v>165.5</v>
      </c>
      <c r="W35" s="44">
        <v>147.1</v>
      </c>
      <c r="X35" s="11">
        <f t="shared" si="24"/>
        <v>88.8821752265861</v>
      </c>
      <c r="Y35" s="89">
        <f t="shared" si="25"/>
        <v>462.2</v>
      </c>
      <c r="Z35" s="89">
        <f t="shared" si="26"/>
        <v>457.29999999999995</v>
      </c>
      <c r="AA35" s="11">
        <f t="shared" si="27"/>
        <v>98.93985287754218</v>
      </c>
      <c r="AB35" s="44">
        <v>155.2</v>
      </c>
      <c r="AC35" s="44">
        <v>181</v>
      </c>
      <c r="AD35" s="11">
        <f t="shared" si="28"/>
        <v>116.6237113402062</v>
      </c>
      <c r="AE35" s="72">
        <f t="shared" si="14"/>
        <v>1039.8</v>
      </c>
      <c r="AF35" s="72">
        <f t="shared" si="15"/>
        <v>1082</v>
      </c>
      <c r="AG35" s="11">
        <f t="shared" si="8"/>
        <v>104.05847278322756</v>
      </c>
      <c r="AH35" s="72">
        <f t="shared" si="29"/>
        <v>-42.200000000000045</v>
      </c>
      <c r="AI35" s="18">
        <f t="shared" si="30"/>
        <v>65.70000000000005</v>
      </c>
    </row>
    <row r="36" spans="1:35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408.9+2.8</f>
        <v>411.7</v>
      </c>
      <c r="F36" s="11">
        <f t="shared" si="31"/>
        <v>66.76938047356471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21"/>
        <v>99.400399733511</v>
      </c>
      <c r="M36" s="89">
        <f t="shared" si="12"/>
        <v>1761.4</v>
      </c>
      <c r="N36" s="89">
        <f t="shared" si="13"/>
        <v>1466.6</v>
      </c>
      <c r="O36" s="11">
        <f t="shared" si="9"/>
        <v>83.26331327353242</v>
      </c>
      <c r="P36" s="44">
        <f>509.5+4.7</f>
        <v>514.2</v>
      </c>
      <c r="Q36" s="44">
        <f>318.3+2.7</f>
        <v>321</v>
      </c>
      <c r="R36" s="11">
        <f t="shared" si="22"/>
        <v>62.427071178529744</v>
      </c>
      <c r="S36" s="44">
        <f>470.9+2.4</f>
        <v>473.29999999999995</v>
      </c>
      <c r="T36" s="44">
        <f>489.3+4.8</f>
        <v>494.1</v>
      </c>
      <c r="U36" s="11">
        <f t="shared" si="23"/>
        <v>104.39467568138603</v>
      </c>
      <c r="V36" s="44">
        <f>502.7+3.5</f>
        <v>506.2</v>
      </c>
      <c r="W36" s="44">
        <f>558.1+1.4</f>
        <v>559.5</v>
      </c>
      <c r="X36" s="11">
        <f t="shared" si="24"/>
        <v>110.52943500592652</v>
      </c>
      <c r="Y36" s="89">
        <f t="shared" si="25"/>
        <v>1493.7</v>
      </c>
      <c r="Z36" s="89">
        <f t="shared" si="26"/>
        <v>1374.6</v>
      </c>
      <c r="AA36" s="11">
        <f t="shared" si="27"/>
        <v>92.02651134766016</v>
      </c>
      <c r="AB36" s="44">
        <f>3.3+496.1</f>
        <v>499.40000000000003</v>
      </c>
      <c r="AC36" s="44">
        <f>4.3+974.9</f>
        <v>979.1999999999999</v>
      </c>
      <c r="AD36" s="11">
        <f t="shared" si="28"/>
        <v>196.0752903484181</v>
      </c>
      <c r="AE36" s="72">
        <f t="shared" si="14"/>
        <v>3754.5000000000005</v>
      </c>
      <c r="AF36" s="72">
        <f t="shared" si="15"/>
        <v>3820.3999999999996</v>
      </c>
      <c r="AG36" s="11">
        <f t="shared" si="8"/>
        <v>101.75522706086029</v>
      </c>
      <c r="AH36" s="72">
        <f t="shared" si="29"/>
        <v>-65.89999999999918</v>
      </c>
      <c r="AI36" s="18">
        <f t="shared" si="30"/>
        <v>404.90000000000055</v>
      </c>
    </row>
    <row r="37" spans="1:35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31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21"/>
        <v>145.16327788046826</v>
      </c>
      <c r="M37" s="89">
        <f t="shared" si="12"/>
        <v>503.8</v>
      </c>
      <c r="N37" s="89">
        <f t="shared" si="13"/>
        <v>621.9</v>
      </c>
      <c r="O37" s="11">
        <f t="shared" si="9"/>
        <v>123.44184200079395</v>
      </c>
      <c r="P37" s="44">
        <v>173.8</v>
      </c>
      <c r="Q37" s="44">
        <v>137</v>
      </c>
      <c r="R37" s="11">
        <f t="shared" si="22"/>
        <v>78.82623705408514</v>
      </c>
      <c r="S37" s="44">
        <v>174.1</v>
      </c>
      <c r="T37" s="44">
        <v>240.8</v>
      </c>
      <c r="U37" s="11">
        <f t="shared" si="23"/>
        <v>138.3113153360138</v>
      </c>
      <c r="V37" s="44">
        <v>183.8</v>
      </c>
      <c r="W37" s="44">
        <v>161.2</v>
      </c>
      <c r="X37" s="11">
        <f t="shared" si="24"/>
        <v>87.70402611534274</v>
      </c>
      <c r="Y37" s="89">
        <f t="shared" si="25"/>
        <v>531.7</v>
      </c>
      <c r="Z37" s="89">
        <f t="shared" si="26"/>
        <v>539</v>
      </c>
      <c r="AA37" s="11">
        <f t="shared" si="27"/>
        <v>101.37295467368817</v>
      </c>
      <c r="AB37" s="44">
        <v>287</v>
      </c>
      <c r="AC37" s="44">
        <v>189.4</v>
      </c>
      <c r="AD37" s="11">
        <f t="shared" si="28"/>
        <v>65.99303135888502</v>
      </c>
      <c r="AE37" s="72">
        <f t="shared" si="14"/>
        <v>1322.5</v>
      </c>
      <c r="AF37" s="72">
        <f t="shared" si="15"/>
        <v>1350.3000000000002</v>
      </c>
      <c r="AG37" s="11">
        <f t="shared" si="8"/>
        <v>102.10207939508508</v>
      </c>
      <c r="AH37" s="72">
        <f t="shared" si="29"/>
        <v>-27.800000000000182</v>
      </c>
      <c r="AI37" s="18">
        <f t="shared" si="30"/>
        <v>287.1999999999998</v>
      </c>
    </row>
    <row r="38" spans="1:35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31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21"/>
        <v>98.82739212007505</v>
      </c>
      <c r="M38" s="89">
        <f t="shared" si="12"/>
        <v>594.4000000000001</v>
      </c>
      <c r="N38" s="89">
        <f t="shared" si="13"/>
        <v>598.0999999999999</v>
      </c>
      <c r="O38" s="11">
        <f t="shared" si="9"/>
        <v>100.62247644683711</v>
      </c>
      <c r="P38" s="44">
        <v>183.1</v>
      </c>
      <c r="Q38" s="44">
        <v>201</v>
      </c>
      <c r="R38" s="11">
        <f t="shared" si="22"/>
        <v>109.77607864554888</v>
      </c>
      <c r="S38" s="44">
        <v>193.3</v>
      </c>
      <c r="T38" s="44">
        <v>213.8</v>
      </c>
      <c r="U38" s="11">
        <f t="shared" si="23"/>
        <v>110.6052767718572</v>
      </c>
      <c r="V38" s="44">
        <v>151.8</v>
      </c>
      <c r="W38" s="44">
        <v>142.1</v>
      </c>
      <c r="X38" s="11">
        <f t="shared" si="24"/>
        <v>93.61001317523055</v>
      </c>
      <c r="Y38" s="89">
        <f t="shared" si="25"/>
        <v>528.2</v>
      </c>
      <c r="Z38" s="89">
        <f t="shared" si="26"/>
        <v>556.9</v>
      </c>
      <c r="AA38" s="11">
        <f t="shared" si="27"/>
        <v>105.43354789852329</v>
      </c>
      <c r="AB38" s="44">
        <v>152</v>
      </c>
      <c r="AC38" s="44">
        <v>192.9</v>
      </c>
      <c r="AD38" s="11">
        <f t="shared" si="28"/>
        <v>126.90789473684212</v>
      </c>
      <c r="AE38" s="72">
        <f t="shared" si="14"/>
        <v>1274.6000000000001</v>
      </c>
      <c r="AF38" s="72">
        <f t="shared" si="15"/>
        <v>1347.9</v>
      </c>
      <c r="AG38" s="11">
        <f t="shared" si="8"/>
        <v>105.75082378785501</v>
      </c>
      <c r="AH38" s="72">
        <f t="shared" si="29"/>
        <v>-73.29999999999995</v>
      </c>
      <c r="AI38" s="18">
        <f t="shared" si="30"/>
        <v>107.70000000000005</v>
      </c>
    </row>
    <row r="39" spans="1:35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31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21"/>
        <v>106.9425901201602</v>
      </c>
      <c r="M39" s="89">
        <f t="shared" si="12"/>
        <v>218.4</v>
      </c>
      <c r="N39" s="89">
        <f t="shared" si="13"/>
        <v>177.39999999999998</v>
      </c>
      <c r="O39" s="11">
        <f t="shared" si="9"/>
        <v>81.22710622710622</v>
      </c>
      <c r="P39" s="44">
        <v>69.1</v>
      </c>
      <c r="Q39" s="44">
        <v>49.2</v>
      </c>
      <c r="R39" s="140">
        <f t="shared" si="22"/>
        <v>71.20115774240232</v>
      </c>
      <c r="S39" s="44">
        <v>64.1</v>
      </c>
      <c r="T39" s="44">
        <v>58.3</v>
      </c>
      <c r="U39" s="140">
        <f t="shared" si="23"/>
        <v>90.95163806552262</v>
      </c>
      <c r="V39" s="44">
        <v>62.5</v>
      </c>
      <c r="W39" s="44">
        <v>59.7</v>
      </c>
      <c r="X39" s="140">
        <f t="shared" si="24"/>
        <v>95.52000000000001</v>
      </c>
      <c r="Y39" s="89">
        <f t="shared" si="25"/>
        <v>195.7</v>
      </c>
      <c r="Z39" s="89">
        <f t="shared" si="26"/>
        <v>167.2</v>
      </c>
      <c r="AA39" s="11">
        <f t="shared" si="27"/>
        <v>85.43689320388349</v>
      </c>
      <c r="AB39" s="44">
        <v>66.1</v>
      </c>
      <c r="AC39" s="44">
        <v>97.6</v>
      </c>
      <c r="AD39" s="140">
        <f t="shared" si="28"/>
        <v>147.65506807866868</v>
      </c>
      <c r="AE39" s="72">
        <f t="shared" si="14"/>
        <v>480.20000000000005</v>
      </c>
      <c r="AF39" s="72">
        <f t="shared" si="15"/>
        <v>442.19999999999993</v>
      </c>
      <c r="AG39" s="11">
        <f t="shared" si="8"/>
        <v>92.08663057059556</v>
      </c>
      <c r="AH39" s="72">
        <f t="shared" si="29"/>
        <v>38.000000000000114</v>
      </c>
      <c r="AI39" s="18">
        <f t="shared" si="30"/>
        <v>77.10000000000014</v>
      </c>
    </row>
    <row r="40" spans="1:35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31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21"/>
        <v>83.34642576590731</v>
      </c>
      <c r="M40" s="89">
        <f t="shared" si="12"/>
        <v>334.2</v>
      </c>
      <c r="N40" s="89">
        <f t="shared" si="13"/>
        <v>321.6</v>
      </c>
      <c r="O40" s="11">
        <f t="shared" si="9"/>
        <v>96.229802513465</v>
      </c>
      <c r="P40" s="44">
        <v>102.7</v>
      </c>
      <c r="Q40" s="44">
        <v>126</v>
      </c>
      <c r="R40" s="140">
        <f t="shared" si="22"/>
        <v>122.68743914313534</v>
      </c>
      <c r="S40" s="44">
        <v>115.4</v>
      </c>
      <c r="T40" s="44">
        <v>95.1</v>
      </c>
      <c r="U40" s="140">
        <f t="shared" si="23"/>
        <v>82.40901213171577</v>
      </c>
      <c r="V40" s="44">
        <v>108.3</v>
      </c>
      <c r="W40" s="44">
        <v>115.1</v>
      </c>
      <c r="X40" s="140">
        <f t="shared" si="24"/>
        <v>106.27885503231764</v>
      </c>
      <c r="Y40" s="89">
        <f t="shared" si="25"/>
        <v>326.40000000000003</v>
      </c>
      <c r="Z40" s="89">
        <f t="shared" si="26"/>
        <v>336.2</v>
      </c>
      <c r="AA40" s="11">
        <f t="shared" si="27"/>
        <v>103.00245098039214</v>
      </c>
      <c r="AB40" s="44">
        <v>105.3</v>
      </c>
      <c r="AC40" s="44">
        <v>108</v>
      </c>
      <c r="AD40" s="140">
        <f t="shared" si="28"/>
        <v>102.56410256410258</v>
      </c>
      <c r="AE40" s="72">
        <f t="shared" si="14"/>
        <v>765.9</v>
      </c>
      <c r="AF40" s="72">
        <f t="shared" si="15"/>
        <v>765.8</v>
      </c>
      <c r="AG40" s="11">
        <f t="shared" si="8"/>
        <v>99.98694346520433</v>
      </c>
      <c r="AH40" s="72">
        <f t="shared" si="29"/>
        <v>0.10000000000002274</v>
      </c>
      <c r="AI40" s="18">
        <f t="shared" si="30"/>
        <v>136.70000000000005</v>
      </c>
    </row>
    <row r="41" spans="1:35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31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9"/>
        <v>47.876646257984746</v>
      </c>
      <c r="P41" s="18">
        <f>SUM(P42:P42)</f>
        <v>27736.2</v>
      </c>
      <c r="Q41" s="18">
        <f>SUM(Q42:Q42)</f>
        <v>17344.9</v>
      </c>
      <c r="R41" s="11">
        <f t="shared" si="22"/>
        <v>62.535242751350225</v>
      </c>
      <c r="S41" s="18">
        <f>SUM(S42:S42)</f>
        <v>24287.1</v>
      </c>
      <c r="T41" s="18">
        <f>SUM(T42:T42)</f>
        <v>32591.9</v>
      </c>
      <c r="U41" s="11">
        <f t="shared" si="23"/>
        <v>134.19428420848928</v>
      </c>
      <c r="V41" s="18">
        <f>SUM(V42:V42)</f>
        <v>23123.9</v>
      </c>
      <c r="W41" s="18">
        <f>SUM(W42:W42)</f>
        <v>12472</v>
      </c>
      <c r="X41" s="11">
        <f t="shared" si="24"/>
        <v>53.93553855534749</v>
      </c>
      <c r="Y41" s="18">
        <f>SUM(Y42:Y42)</f>
        <v>75147.20000000001</v>
      </c>
      <c r="Z41" s="18">
        <f>SUM(Z42:Z42)</f>
        <v>62408.8</v>
      </c>
      <c r="AA41" s="11">
        <f t="shared" si="27"/>
        <v>83.04873634679669</v>
      </c>
      <c r="AB41" s="18">
        <f>SUM(AB42:AB42)</f>
        <v>23073</v>
      </c>
      <c r="AC41" s="18">
        <f>SUM(AC42:AC42)</f>
        <v>12377.1</v>
      </c>
      <c r="AD41" s="11">
        <f t="shared" si="28"/>
        <v>53.64321934728904</v>
      </c>
      <c r="AE41" s="140">
        <f>AE42</f>
        <v>188720.90000000002</v>
      </c>
      <c r="AF41" s="140">
        <f>AF42</f>
        <v>118114.6</v>
      </c>
      <c r="AG41" s="11">
        <f t="shared" si="8"/>
        <v>62.586920685520255</v>
      </c>
      <c r="AH41" s="18">
        <f>SUM(AH42:AH42)</f>
        <v>70606.30000000002</v>
      </c>
      <c r="AI41" s="18">
        <f>SUM(AI42:AI42)</f>
        <v>464475.70000000007</v>
      </c>
    </row>
    <row r="42" spans="1:35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31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21"/>
        <v>59.62011104341099</v>
      </c>
      <c r="M42" s="89">
        <f t="shared" si="12"/>
        <v>90500.7</v>
      </c>
      <c r="N42" s="89">
        <f t="shared" si="13"/>
        <v>43328.7</v>
      </c>
      <c r="O42" s="11">
        <f t="shared" si="9"/>
        <v>47.876646257984746</v>
      </c>
      <c r="P42" s="44">
        <v>27736.2</v>
      </c>
      <c r="Q42" s="44">
        <v>17344.9</v>
      </c>
      <c r="R42" s="11">
        <f t="shared" si="22"/>
        <v>62.535242751350225</v>
      </c>
      <c r="S42" s="44">
        <v>24287.1</v>
      </c>
      <c r="T42" s="44">
        <v>32591.9</v>
      </c>
      <c r="U42" s="11">
        <f t="shared" si="23"/>
        <v>134.19428420848928</v>
      </c>
      <c r="V42" s="44">
        <v>23123.9</v>
      </c>
      <c r="W42" s="44">
        <v>12472</v>
      </c>
      <c r="X42" s="11">
        <f t="shared" si="24"/>
        <v>53.93553855534749</v>
      </c>
      <c r="Y42" s="89">
        <f>P42+S42+V42</f>
        <v>75147.20000000001</v>
      </c>
      <c r="Z42" s="89">
        <f>Q42+T42+W42</f>
        <v>62408.8</v>
      </c>
      <c r="AA42" s="11">
        <f t="shared" si="27"/>
        <v>83.04873634679669</v>
      </c>
      <c r="AB42" s="44">
        <v>23073</v>
      </c>
      <c r="AC42" s="44">
        <v>12377.1</v>
      </c>
      <c r="AD42" s="11">
        <f t="shared" si="28"/>
        <v>53.64321934728904</v>
      </c>
      <c r="AE42" s="72">
        <f>M42+Y42+AB42</f>
        <v>188720.90000000002</v>
      </c>
      <c r="AF42" s="72">
        <f>N42+Z42+AC42</f>
        <v>118114.6</v>
      </c>
      <c r="AG42" s="11">
        <f t="shared" si="8"/>
        <v>62.586920685520255</v>
      </c>
      <c r="AH42" s="72">
        <f t="shared" si="29"/>
        <v>70606.30000000002</v>
      </c>
      <c r="AI42" s="18">
        <f>C42+AE42-AF42</f>
        <v>464475.70000000007</v>
      </c>
    </row>
    <row r="43" spans="1:35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16506.4</v>
      </c>
      <c r="F43" s="11">
        <f>E43/D43*100</f>
        <v>48.62059417839491</v>
      </c>
      <c r="G43" s="18">
        <f>G7+G41</f>
        <v>32423.9</v>
      </c>
      <c r="H43" s="18">
        <f>H7+H41</f>
        <v>13746.099999999999</v>
      </c>
      <c r="I43" s="11">
        <f t="shared" si="1"/>
        <v>42.39496174118474</v>
      </c>
      <c r="J43" s="18">
        <f>J7+J41</f>
        <v>31827.4</v>
      </c>
      <c r="K43" s="18">
        <f>K7+K41</f>
        <v>20164.6</v>
      </c>
      <c r="L43" s="18">
        <f>K43/J43*100</f>
        <v>63.3561019750278</v>
      </c>
      <c r="M43" s="18">
        <f>M7+M41</f>
        <v>98200.7</v>
      </c>
      <c r="N43" s="18">
        <f>N7+N41</f>
        <v>50417.1</v>
      </c>
      <c r="O43" s="11">
        <f t="shared" si="9"/>
        <v>51.34087638886484</v>
      </c>
      <c r="P43" s="18">
        <f>P7+P41</f>
        <v>30210</v>
      </c>
      <c r="Q43" s="18">
        <f>Q7+Q41</f>
        <v>19422.100000000002</v>
      </c>
      <c r="R43" s="11">
        <f t="shared" si="22"/>
        <v>64.29030122476001</v>
      </c>
      <c r="S43" s="18">
        <f>S7+S41</f>
        <v>26723.3</v>
      </c>
      <c r="T43" s="18">
        <f>T7+T41</f>
        <v>34958.8</v>
      </c>
      <c r="U43" s="11">
        <f t="shared" si="23"/>
        <v>130.8176759606785</v>
      </c>
      <c r="V43" s="18">
        <f>V7+V41</f>
        <v>25659.5</v>
      </c>
      <c r="W43" s="18">
        <f>W7+W41</f>
        <v>14704.7</v>
      </c>
      <c r="X43" s="11">
        <f t="shared" si="24"/>
        <v>57.307040277480084</v>
      </c>
      <c r="Y43" s="18">
        <f>Y7+Y41</f>
        <v>82592.80000000002</v>
      </c>
      <c r="Z43" s="18">
        <f>Z7+Z41</f>
        <v>69085.6</v>
      </c>
      <c r="AA43" s="11">
        <f t="shared" si="27"/>
        <v>83.64603209965033</v>
      </c>
      <c r="AB43" s="18">
        <f>AB7+AB41</f>
        <v>25723.100000000002</v>
      </c>
      <c r="AC43" s="18">
        <f>AC7+AC41</f>
        <v>15615.1</v>
      </c>
      <c r="AD43" s="11">
        <f t="shared" si="28"/>
        <v>60.704580707613</v>
      </c>
      <c r="AE43" s="83">
        <f>AE7+AE41</f>
        <v>206516.60000000003</v>
      </c>
      <c r="AF43" s="83">
        <f>AF7+AF41</f>
        <v>135117.80000000002</v>
      </c>
      <c r="AG43" s="11">
        <f>AF43/AE43*100</f>
        <v>65.42708915409222</v>
      </c>
      <c r="AH43" s="18">
        <f>AH7+AH41</f>
        <v>71398.80000000002</v>
      </c>
      <c r="AI43" s="18">
        <f>AI7+AI41</f>
        <v>469251.1000000001</v>
      </c>
    </row>
    <row r="44" spans="1:47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25"/>
      <c r="AF44" s="25"/>
      <c r="AG44" s="86"/>
      <c r="AH44" s="86"/>
      <c r="AI44" s="85"/>
      <c r="AJ44" s="85"/>
      <c r="AK44" s="85"/>
      <c r="AL44" s="85"/>
      <c r="AM44" s="85"/>
      <c r="AN44" s="85"/>
      <c r="AO44" s="85"/>
      <c r="AP44" s="85"/>
      <c r="AQ44" s="85"/>
      <c r="AR44" s="46"/>
      <c r="AS44" s="46"/>
      <c r="AT44" s="46"/>
      <c r="AU44" s="46"/>
    </row>
    <row r="45" spans="1:47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34"/>
      <c r="AF45" s="34"/>
      <c r="AG45" s="61"/>
      <c r="AH45" s="166" t="s">
        <v>137</v>
      </c>
      <c r="AI45" s="167"/>
      <c r="AJ45" s="28"/>
      <c r="AK45" s="28"/>
      <c r="AL45" s="28"/>
      <c r="AM45" s="28"/>
      <c r="AN45" s="28"/>
      <c r="AO45" s="27"/>
      <c r="AP45" s="6"/>
      <c r="AQ45" s="6"/>
      <c r="AR45" s="29"/>
      <c r="AS45" s="6"/>
      <c r="AU45" s="6"/>
    </row>
    <row r="46" spans="1:47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0"/>
      <c r="AF46" s="40"/>
      <c r="AG46" s="41"/>
      <c r="AH46" s="2"/>
      <c r="AI46" s="4" t="s">
        <v>135</v>
      </c>
      <c r="AJ46" s="28"/>
      <c r="AK46" s="28"/>
      <c r="AL46" s="28"/>
      <c r="AM46" s="28"/>
      <c r="AN46" s="28"/>
      <c r="AO46" s="27"/>
      <c r="AP46" s="6"/>
      <c r="AQ46" s="6"/>
      <c r="AR46" s="29"/>
      <c r="AS46" s="6"/>
      <c r="AU46" s="6"/>
    </row>
    <row r="47" spans="1:47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I47" s="2"/>
      <c r="AJ47" s="28"/>
      <c r="AK47" s="28"/>
      <c r="AL47" s="28"/>
      <c r="AM47" s="28"/>
      <c r="AN47" s="28"/>
      <c r="AO47" s="27"/>
      <c r="AP47" s="6"/>
      <c r="AQ47" s="6"/>
      <c r="AR47" s="29"/>
      <c r="AS47" s="6"/>
      <c r="AU47" s="6"/>
    </row>
    <row r="48" spans="1:47" ht="24.75" customHeight="1">
      <c r="A48" s="2"/>
      <c r="C48" s="31"/>
      <c r="D48" s="21"/>
      <c r="E48" s="21"/>
      <c r="F48" s="28"/>
      <c r="AJ48" s="129"/>
      <c r="AK48" s="21"/>
      <c r="AL48" s="21"/>
      <c r="AM48" s="21"/>
      <c r="AN48" s="21"/>
      <c r="AO48" s="21"/>
      <c r="AP48" s="7"/>
      <c r="AQ48" s="7"/>
      <c r="AR48" s="32"/>
      <c r="AS48" s="7"/>
      <c r="AU48" s="7"/>
    </row>
    <row r="49" spans="1:36" s="38" customFormat="1" ht="46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"/>
      <c r="AF49" s="2"/>
      <c r="AG49" s="12"/>
      <c r="AH49" s="2"/>
      <c r="AI49" s="2"/>
      <c r="AJ49" s="37"/>
    </row>
    <row r="50" spans="1:35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21"/>
      <c r="AF50" s="21"/>
      <c r="AG50" s="60"/>
      <c r="AH50" s="21"/>
      <c r="AI50" s="21"/>
    </row>
    <row r="51" spans="2:35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21"/>
      <c r="AF51" s="21"/>
      <c r="AG51" s="60"/>
      <c r="AH51" s="21"/>
      <c r="AI51" s="21"/>
    </row>
    <row r="52" spans="7:35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21"/>
      <c r="AF52" s="21"/>
      <c r="AG52" s="60"/>
      <c r="AH52" s="21"/>
      <c r="AI52" s="21"/>
    </row>
    <row r="53" spans="2:35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21"/>
      <c r="AF53" s="21"/>
      <c r="AG53" s="60"/>
      <c r="AH53" s="21"/>
      <c r="AI53" s="21"/>
    </row>
    <row r="54" spans="2:35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21"/>
      <c r="AF54" s="21"/>
      <c r="AG54" s="60"/>
      <c r="AH54" s="21"/>
      <c r="AI54" s="21"/>
    </row>
    <row r="55" spans="2:35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21"/>
      <c r="AF55" s="21"/>
      <c r="AG55" s="60"/>
      <c r="AH55" s="21"/>
      <c r="AI55" s="21"/>
    </row>
    <row r="56" spans="2:35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21"/>
      <c r="AF56" s="21"/>
      <c r="AG56" s="60"/>
      <c r="AH56" s="21"/>
      <c r="AI56" s="21"/>
    </row>
    <row r="57" spans="2:35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21"/>
      <c r="AF57" s="21"/>
      <c r="AG57" s="60"/>
      <c r="AH57" s="21"/>
      <c r="AI57" s="21"/>
    </row>
    <row r="58" spans="7:35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21"/>
      <c r="AF58" s="21"/>
      <c r="AG58" s="60"/>
      <c r="AH58" s="21"/>
      <c r="AI58" s="21"/>
    </row>
    <row r="59" spans="7:35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21"/>
      <c r="AF59" s="21"/>
      <c r="AG59" s="60"/>
      <c r="AH59" s="21"/>
      <c r="AI59" s="21"/>
    </row>
    <row r="60" spans="7:35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21"/>
      <c r="AF60" s="21"/>
      <c r="AG60" s="60"/>
      <c r="AH60" s="21"/>
      <c r="AI60" s="21"/>
    </row>
    <row r="61" spans="7:35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21"/>
      <c r="AF61" s="21"/>
      <c r="AG61" s="60"/>
      <c r="AH61" s="21"/>
      <c r="AI61" s="21"/>
    </row>
    <row r="62" spans="7:35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1"/>
      <c r="AF62" s="21"/>
      <c r="AG62" s="60"/>
      <c r="AH62" s="21"/>
      <c r="AI62" s="21"/>
    </row>
    <row r="63" spans="7:35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21"/>
      <c r="AF63" s="21"/>
      <c r="AG63" s="60"/>
      <c r="AH63" s="21"/>
      <c r="AI63" s="21"/>
    </row>
    <row r="64" spans="7:35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1"/>
      <c r="AF64" s="21"/>
      <c r="AG64" s="60"/>
      <c r="AH64" s="21"/>
      <c r="AI64" s="21"/>
    </row>
    <row r="65" spans="7:35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1"/>
      <c r="AF65" s="21"/>
      <c r="AG65" s="60"/>
      <c r="AH65" s="21"/>
      <c r="AI65" s="21"/>
    </row>
    <row r="66" spans="7:35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21"/>
      <c r="AF66" s="21"/>
      <c r="AG66" s="60"/>
      <c r="AH66" s="21"/>
      <c r="AI66" s="21"/>
    </row>
    <row r="67" spans="7:35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21"/>
      <c r="AF67" s="21"/>
      <c r="AG67" s="60"/>
      <c r="AH67" s="21"/>
      <c r="AI67" s="21"/>
    </row>
    <row r="68" spans="7:35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21"/>
      <c r="AF68" s="21"/>
      <c r="AG68" s="60"/>
      <c r="AH68" s="21"/>
      <c r="AI68" s="21"/>
    </row>
    <row r="69" spans="7:35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21"/>
      <c r="AF69" s="21"/>
      <c r="AG69" s="60"/>
      <c r="AH69" s="21"/>
      <c r="AI69" s="21"/>
    </row>
    <row r="70" spans="7:35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21"/>
      <c r="AF70" s="21"/>
      <c r="AG70" s="60"/>
      <c r="AH70" s="21"/>
      <c r="AI70" s="21"/>
    </row>
    <row r="71" spans="7:35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21"/>
      <c r="AF71" s="21"/>
      <c r="AG71" s="60"/>
      <c r="AH71" s="21"/>
      <c r="AI71" s="21"/>
    </row>
    <row r="72" spans="7:35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21"/>
      <c r="AF72" s="21"/>
      <c r="AG72" s="60"/>
      <c r="AH72" s="21"/>
      <c r="AI72" s="21"/>
    </row>
    <row r="73" spans="7:35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21"/>
      <c r="AF73" s="21"/>
      <c r="AG73" s="60"/>
      <c r="AH73" s="21"/>
      <c r="AI73" s="21"/>
    </row>
    <row r="74" spans="7:35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21"/>
      <c r="AF74" s="21"/>
      <c r="AG74" s="60"/>
      <c r="AH74" s="21"/>
      <c r="AI74" s="21"/>
    </row>
    <row r="75" spans="7:35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21"/>
      <c r="AF75" s="21"/>
      <c r="AG75" s="60"/>
      <c r="AH75" s="21"/>
      <c r="AI75" s="21"/>
    </row>
    <row r="76" spans="7:35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21"/>
      <c r="AF76" s="21"/>
      <c r="AG76" s="60"/>
      <c r="AH76" s="21"/>
      <c r="AI76" s="21"/>
    </row>
    <row r="77" spans="7:35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21"/>
      <c r="AF77" s="21"/>
      <c r="AG77" s="60"/>
      <c r="AH77" s="21"/>
      <c r="AI77" s="21"/>
    </row>
    <row r="78" spans="7:35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21"/>
      <c r="AF78" s="21"/>
      <c r="AG78" s="60"/>
      <c r="AH78" s="21"/>
      <c r="AI78" s="21"/>
    </row>
    <row r="79" spans="7:35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21"/>
      <c r="AF79" s="21"/>
      <c r="AG79" s="60"/>
      <c r="AH79" s="21"/>
      <c r="AI79" s="21"/>
    </row>
    <row r="80" spans="7:35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21"/>
      <c r="AF80" s="21"/>
      <c r="AG80" s="60"/>
      <c r="AH80" s="21"/>
      <c r="AI80" s="21"/>
    </row>
    <row r="81" spans="7:35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21"/>
      <c r="AF81" s="21"/>
      <c r="AG81" s="60"/>
      <c r="AH81" s="21"/>
      <c r="AI81" s="21"/>
    </row>
    <row r="82" spans="7:35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21"/>
      <c r="AF82" s="21"/>
      <c r="AG82" s="60"/>
      <c r="AH82" s="21"/>
      <c r="AI82" s="21"/>
    </row>
    <row r="83" spans="7:35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21"/>
      <c r="AF83" s="21"/>
      <c r="AG83" s="60"/>
      <c r="AH83" s="21"/>
      <c r="AI83" s="21"/>
    </row>
    <row r="84" spans="7:35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21"/>
      <c r="AF84" s="21"/>
      <c r="AG84" s="60"/>
      <c r="AH84" s="21"/>
      <c r="AI84" s="21"/>
    </row>
    <row r="85" spans="7:35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21"/>
      <c r="AF85" s="21"/>
      <c r="AG85" s="60"/>
      <c r="AH85" s="21"/>
      <c r="AI85" s="21"/>
    </row>
    <row r="86" spans="7:35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21"/>
      <c r="AF86" s="21"/>
      <c r="AG86" s="60"/>
      <c r="AH86" s="21"/>
      <c r="AI86" s="21"/>
    </row>
    <row r="87" spans="7:35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21"/>
      <c r="AF87" s="21"/>
      <c r="AG87" s="60"/>
      <c r="AH87" s="21"/>
      <c r="AI87" s="21"/>
    </row>
    <row r="88" spans="7:35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21"/>
      <c r="AF88" s="21"/>
      <c r="AG88" s="60"/>
      <c r="AH88" s="21"/>
      <c r="AI88" s="21"/>
    </row>
    <row r="89" spans="7:35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21"/>
      <c r="AF89" s="21"/>
      <c r="AG89" s="60"/>
      <c r="AH89" s="21"/>
      <c r="AI89" s="21"/>
    </row>
    <row r="90" spans="7:35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21"/>
      <c r="AF90" s="21"/>
      <c r="AG90" s="60"/>
      <c r="AH90" s="21"/>
      <c r="AI90" s="21"/>
    </row>
    <row r="91" spans="7:35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21"/>
      <c r="AF91" s="21"/>
      <c r="AG91" s="60"/>
      <c r="AH91" s="21"/>
      <c r="AI91" s="21"/>
    </row>
    <row r="92" spans="7:35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21"/>
      <c r="AF92" s="21"/>
      <c r="AG92" s="60"/>
      <c r="AH92" s="21"/>
      <c r="AI92" s="21"/>
    </row>
    <row r="93" spans="7:35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21"/>
      <c r="AF93" s="21"/>
      <c r="AG93" s="60"/>
      <c r="AH93" s="21"/>
      <c r="AI93" s="21"/>
    </row>
    <row r="94" spans="7:35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21"/>
      <c r="AF94" s="21"/>
      <c r="AG94" s="60"/>
      <c r="AH94" s="21"/>
      <c r="AI94" s="21"/>
    </row>
    <row r="95" spans="7:35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21"/>
      <c r="AF95" s="21"/>
      <c r="AG95" s="60"/>
      <c r="AH95" s="21"/>
      <c r="AI95" s="21"/>
    </row>
  </sheetData>
  <sheetProtection/>
  <mergeCells count="19">
    <mergeCell ref="AH45:AI45"/>
    <mergeCell ref="A50:B50"/>
    <mergeCell ref="B49:F49"/>
    <mergeCell ref="M5:O5"/>
    <mergeCell ref="I1:AI1"/>
    <mergeCell ref="B2:AI2"/>
    <mergeCell ref="B3:AI3"/>
    <mergeCell ref="B4:F4"/>
    <mergeCell ref="D5:F5"/>
    <mergeCell ref="G5:I5"/>
    <mergeCell ref="J5:L5"/>
    <mergeCell ref="AE5:AG5"/>
    <mergeCell ref="AH5:AH6"/>
    <mergeCell ref="AI5:AI6"/>
    <mergeCell ref="S5:U5"/>
    <mergeCell ref="P5:R5"/>
    <mergeCell ref="V5:X5"/>
    <mergeCell ref="Y5:AA5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2017-08-18T08:13:27Z</cp:lastPrinted>
  <dcterms:created xsi:type="dcterms:W3CDTF">2001-09-14T09:33:50Z</dcterms:created>
  <dcterms:modified xsi:type="dcterms:W3CDTF">2017-08-18T08:13:28Z</dcterms:modified>
  <cp:category/>
  <cp:version/>
  <cp:contentType/>
  <cp:contentStatus/>
</cp:coreProperties>
</file>