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'всього'!$B$2:$Z$43</definedName>
    <definedName name="_xlnm.Print_Area" localSheetId="4">'держ.бюджет'!$A$1:$Z$43</definedName>
    <definedName name="_xlnm.Print_Area" localSheetId="7">'інші'!$A$1:$Z$43</definedName>
    <definedName name="_xlnm.Print_Area" localSheetId="5">'місц.-районн.бюджет'!$A$1:$Z$43</definedName>
    <definedName name="_xlnm.Print_Area" localSheetId="1">'насел.'!$A$1:$Z$43</definedName>
    <definedName name="_xlnm.Print_Area" localSheetId="6">'областной'!$A$1:$Z$43</definedName>
    <definedName name="_xlnm.Print_Area" localSheetId="2">'пільги'!$A$1:$Z$43</definedName>
    <definedName name="_xlnm.Print_Area" localSheetId="3">'субсидії'!$A$1:$Z$43</definedName>
  </definedNames>
  <calcPr fullCalcOnLoad="1"/>
</workbook>
</file>

<file path=xl/sharedStrings.xml><?xml version="1.0" encoding="utf-8"?>
<sst xmlns="http://schemas.openxmlformats.org/spreadsheetml/2006/main" count="880" uniqueCount="154">
  <si>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</si>
  <si>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</si>
  <si>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</si>
  <si>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</si>
  <si>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</si>
  <si>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</si>
  <si>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</si>
  <si>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</si>
  <si>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</si>
  <si>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</si>
  <si>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</si>
  <si>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</si>
  <si>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</si>
  <si>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</si>
  <si>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</si>
  <si>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</si>
  <si>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</si>
  <si>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</si>
  <si>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</si>
  <si>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</si>
  <si>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</si>
  <si>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</si>
  <si>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</si>
  <si>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</si>
  <si>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</si>
  <si>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</si>
  <si>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</si>
  <si>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</si>
  <si>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</si>
  <si>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</si>
  <si>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</si>
  <si>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</si>
  <si>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</si>
  <si>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</si>
  <si>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</si>
  <si>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</si>
  <si>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</si>
  <si>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</si>
  <si>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</si>
  <si>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</si>
  <si>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</si>
  <si>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</si>
  <si>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</si>
  <si>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</si>
  <si>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</si>
  <si>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</si>
  <si>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</si>
  <si>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</si>
  <si>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</si>
  <si>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</si>
  <si>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</si>
  <si>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</si>
  <si>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</si>
  <si>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</si>
  <si>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</si>
  <si>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</si>
  <si>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</si>
  <si>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</si>
  <si>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</si>
  <si>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</si>
  <si>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</si>
  <si>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</si>
  <si>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</si>
  <si>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</si>
  <si>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</si>
  <si>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</si>
  <si>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</si>
  <si>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</si>
  <si>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</si>
  <si>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</si>
  <si>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</si>
  <si>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</si>
  <si>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</si>
  <si>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</si>
  <si>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</si>
  <si>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</si>
  <si>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</si>
  <si>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</si>
  <si>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</si>
  <si>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</si>
  <si>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</si>
  <si>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</si>
  <si>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</si>
  <si>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</si>
  <si>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</si>
  <si>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</si>
  <si>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</si>
  <si>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</si>
  <si>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</si>
  <si>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</si>
  <si>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</si>
  <si>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</si>
  <si>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</si>
  <si>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</si>
  <si>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</si>
  <si>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</si>
  <si>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</si>
  <si>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</si>
  <si>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</si>
  <si>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</si>
  <si>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</si>
  <si>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</si>
  <si>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</si>
  <si>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</si>
  <si>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</si>
  <si>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</si>
  <si>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</si>
  <si>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</si>
  <si>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</si>
  <si>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</si>
  <si>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</si>
  <si>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</si>
  <si>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</si>
  <si>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</si>
  <si>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</si>
  <si>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</si>
  <si>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</si>
  <si>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</si>
  <si>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</si>
  <si>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</si>
  <si>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</si>
  <si>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</si>
  <si>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</si>
  <si>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</si>
  <si>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</si>
  <si>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</si>
  <si>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</si>
  <si>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</si>
  <si>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</si>
  <si>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</si>
  <si>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</si>
  <si>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</si>
  <si>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</si>
  <si>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</si>
  <si>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</si>
  <si>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</si>
  <si>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</si>
  <si>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</si>
  <si>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</si>
  <si>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</si>
  <si>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</si>
  <si>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</si>
  <si>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</si>
  <si>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</si>
  <si>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</si>
  <si>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</si>
  <si>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</si>
  <si>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</si>
  <si>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</si>
  <si>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</si>
  <si>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по оплате услуг водоснабжения и водоотведения на 01.06.2017</t>
  </si>
  <si>
    <t>май</t>
  </si>
  <si>
    <t xml:space="preserve">Задолженность за 2017 год по состоянию на 01.06.2017 </t>
  </si>
  <si>
    <t>Общая задолженность на 01.06.2017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</si>
</sst>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68" fillId="0" borderId="10" xfId="0" applyNumberFormat="1" applyFont="1" applyFill="1" applyBorder="1" applyAlignment="1">
      <alignment horizontal="center"/>
    </xf>
    <xf numFmtId="1" fontId="69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2" fontId="71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192" fontId="73" fillId="0" borderId="10" xfId="0" applyNumberFormat="1" applyFont="1" applyFill="1" applyBorder="1" applyAlignment="1">
      <alignment wrapText="1"/>
    </xf>
    <xf numFmtId="192" fontId="73" fillId="0" borderId="10" xfId="0" applyNumberFormat="1" applyFont="1" applyFill="1" applyBorder="1" applyAlignment="1">
      <alignment/>
    </xf>
    <xf numFmtId="192" fontId="73" fillId="0" borderId="15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 wrapText="1"/>
    </xf>
    <xf numFmtId="192" fontId="74" fillId="0" borderId="10" xfId="0" applyNumberFormat="1" applyFont="1" applyFill="1" applyBorder="1" applyAlignment="1">
      <alignment wrapText="1"/>
    </xf>
    <xf numFmtId="192" fontId="74" fillId="0" borderId="10" xfId="0" applyNumberFormat="1" applyFont="1" applyFill="1" applyBorder="1" applyAlignment="1">
      <alignment/>
    </xf>
    <xf numFmtId="0" fontId="72" fillId="0" borderId="15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5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53"/>
  <sheetViews>
    <sheetView tabSelected="1" view="pageBreakPreview" zoomScale="76" zoomScaleNormal="50" zoomScaleSheetLayoutView="76" zoomScalePageLayoutView="0" workbookViewId="0" topLeftCell="B2">
      <pane xSplit="5" ySplit="8" topLeftCell="U4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O42" sqref="O42:O43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customWidth="1"/>
    <col min="18" max="18" width="11.00390625" style="12" customWidth="1"/>
    <col min="19" max="20" width="14.625" style="2" customWidth="1"/>
    <col min="21" max="21" width="11.00390625" style="12" customWidth="1"/>
    <col min="22" max="23" width="14.625" style="2" customWidth="1"/>
    <col min="24" max="24" width="11.00390625" style="12" customWidth="1"/>
    <col min="25" max="25" width="20.75390625" style="2" customWidth="1"/>
    <col min="26" max="26" width="21.875" style="2" customWidth="1"/>
    <col min="27" max="27" width="14.125" style="2" customWidth="1"/>
    <col min="28" max="28" width="14.375" style="2" customWidth="1"/>
    <col min="29" max="29" width="13.00390625" style="2" bestFit="1" customWidth="1"/>
    <col min="30" max="30" width="13.375" style="2" customWidth="1"/>
    <col min="31" max="16384" width="6.75390625" style="2" customWidth="1"/>
  </cols>
  <sheetData>
    <row r="1" spans="9:26" ht="22.5" customHeight="1" hidden="1"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  <c r="W1" s="161"/>
      <c r="X1" s="161"/>
      <c r="Y1" s="161"/>
      <c r="Z1" s="161"/>
    </row>
    <row r="2" spans="1:26" s="63" customFormat="1" ht="42" customHeight="1">
      <c r="A2" s="62"/>
      <c r="B2" s="162" t="s">
        <v>85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9.5" customHeight="1">
      <c r="B4" s="163"/>
      <c r="C4" s="163"/>
      <c r="D4" s="163"/>
      <c r="E4" s="163"/>
      <c r="F4" s="16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7"/>
      <c r="W4" s="7"/>
      <c r="X4" s="6"/>
      <c r="Y4" s="7"/>
      <c r="Z4" s="5" t="s">
        <v>87</v>
      </c>
    </row>
    <row r="5" spans="1:26" ht="36.7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7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  <c r="AA6" s="19"/>
    </row>
    <row r="7" spans="1:30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13693.700000000008</v>
      </c>
      <c r="D7" s="18">
        <f>'насел.'!D7+пільги!D7+субсидії!D7+'держ.бюджет'!D7+'місц.-районн.бюджет'!D7+областной!D7+інші!D7</f>
        <v>22635.100000000002</v>
      </c>
      <c r="E7" s="18">
        <f>'насел.'!E7+пільги!E7+субсидії!E7+'держ.бюджет'!E7+'місц.-районн.бюджет'!E7+областной!E7+інші!E7</f>
        <v>27292.6</v>
      </c>
      <c r="F7" s="11">
        <f>E7/D7*100</f>
        <v>120.57644985001168</v>
      </c>
      <c r="G7" s="18">
        <f>'насел.'!G7+пільги!G7+субсидії!G7+'держ.бюджет'!G7+'місц.-районн.бюджет'!G7+областной!G7+інші!G7</f>
        <v>22756.199999999997</v>
      </c>
      <c r="H7" s="18">
        <f>'насел.'!H7+пільги!H7+субсидії!H7+'держ.бюджет'!H7+'місц.-районн.бюджет'!H7+областной!H7+інші!H7</f>
        <v>15674.099999999997</v>
      </c>
      <c r="I7" s="11">
        <f aca="true" t="shared" si="0" ref="I7:I27">H7/G7*100</f>
        <v>68.87837160861655</v>
      </c>
      <c r="J7" s="18">
        <f>'насел.'!V7+пільги!V7+субсидії!V7+'держ.бюджет'!V7+'місц.-районн.бюджет'!V7+областной!V7+інші!V7</f>
        <v>113272.7</v>
      </c>
      <c r="K7" s="18">
        <f>'насел.'!W7+пільги!W7+субсидії!W7+'держ.бюджет'!W7+'місц.-районн.бюджет'!W7+областной!W7+інші!W7</f>
        <v>118599.79999999999</v>
      </c>
      <c r="L7" s="11">
        <f aca="true" t="shared" si="1" ref="L7:L28">K7/J7*100</f>
        <v>104.70289840358708</v>
      </c>
      <c r="M7" s="11">
        <f>'насел.'!M7+пільги!M7+субсидії!M7+'держ.бюджет'!M7+'місц.-районн.бюджет'!M7+областной!M7+інші!M7</f>
        <v>69500.99999999999</v>
      </c>
      <c r="N7" s="11">
        <f>'насел.'!N7+пільги!N7+субсидії!N7+'держ.бюджет'!N7+'місц.-районн.бюджет'!N7+областной!N7+інші!N7</f>
        <v>74484.5</v>
      </c>
      <c r="O7" s="11">
        <f>N7/M7*100</f>
        <v>107.17040042589316</v>
      </c>
      <c r="P7" s="18">
        <f>'насел.'!P7+пільги!P7+субсидії!P7+'держ.бюджет'!P7+'місц.-районн.бюджет'!P7+областной!P7+інші!P7</f>
        <v>23314.399999999998</v>
      </c>
      <c r="Q7" s="18">
        <f>'насел.'!Q7+пільги!Q7+субсидії!Q7+'держ.бюджет'!Q7+'місц.-районн.бюджет'!Q7+областной!Q7+інші!Q7</f>
        <v>28286.999999999996</v>
      </c>
      <c r="R7" s="11">
        <f aca="true" t="shared" si="2" ref="R7:R28">Q7/P7*100</f>
        <v>121.32844937034622</v>
      </c>
      <c r="S7" s="18">
        <f>'насел.'!S7+пільги!S7+субсидії!S7+'держ.бюджет'!S7+'місц.-районн.бюджет'!S7+областной!S7+інші!S7</f>
        <v>20457.299999999996</v>
      </c>
      <c r="T7" s="18">
        <f>'насел.'!T7+пільги!T7+субсидії!T7+'держ.бюджет'!T7+'місц.-районн.бюджет'!T7+областной!T7+інші!T7</f>
        <v>15828.300000000001</v>
      </c>
      <c r="U7" s="11">
        <f aca="true" t="shared" si="3" ref="U7:U28">T7/S7*100</f>
        <v>77.37238051942342</v>
      </c>
      <c r="V7" s="18">
        <f>'насел.'!V7+пільги!V7+субсидії!V7+'держ.бюджет'!V7+'місц.-районн.бюджет'!V7+областной!V7+інші!V7</f>
        <v>113272.7</v>
      </c>
      <c r="W7" s="18">
        <f>'насел.'!W7+пільги!W7+субсидії!W7+'держ.бюджет'!W7+'місц.-районн.бюджет'!W7+областной!W7+інші!W7</f>
        <v>118599.79999999999</v>
      </c>
      <c r="X7" s="11">
        <f aca="true" t="shared" si="4" ref="X7:X27">W7/V7*100</f>
        <v>104.70289840358708</v>
      </c>
      <c r="Y7" s="10">
        <f>'насел.'!Y7+пільги!Y7+субсидії!Y7+'держ.бюджет'!Y7+'місц.-районн.бюджет'!Y7+областной!Y7+інші!Y7</f>
        <v>-5327.099999999999</v>
      </c>
      <c r="Z7" s="10">
        <f>'насел.'!Z7+пільги!Z7+субсидії!Z7+'держ.бюджет'!Z7+'місц.-районн.бюджет'!Z7+областной!Z7+інші!Z7</f>
        <v>8366.599999999999</v>
      </c>
      <c r="AA7" s="48">
        <f>M7+P7+S7</f>
        <v>113272.69999999998</v>
      </c>
      <c r="AB7" s="48">
        <f>N7+Q7+T7</f>
        <v>118599.8</v>
      </c>
      <c r="AC7" s="48">
        <f>AA7-AB7</f>
        <v>-5327.10000000002</v>
      </c>
      <c r="AD7" s="48">
        <f>C7+AA7-AB7</f>
        <v>8366.599999999991</v>
      </c>
    </row>
    <row r="8" spans="1:26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t="shared" si="0"/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'насел.'!W8+пільги!W8+субсидії!W8+'держ.бюджет'!W8+'місц.-районн.бюджет'!W8+областной!W8+інші!W8</f>
        <v>9916.4</v>
      </c>
      <c r="L8" s="11">
        <f t="shared" si="1"/>
        <v>609.0406583957745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aca="true" t="shared" si="5" ref="O8:O43">N8/M8*100</f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t="shared" si="2"/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t="shared" si="3"/>
        <v>90.06626542646971</v>
      </c>
      <c r="V8" s="18">
        <f>'насел.'!V8+пільги!V8+субсидії!V8+'держ.бюджет'!V8+'місц.-районн.бюджет'!V8+областной!V8+інші!V8</f>
        <v>8200.5</v>
      </c>
      <c r="W8" s="18">
        <f>'насел.'!W8+пільги!W8+субсидії!W8+'держ.бюджет'!W8+'місц.-районн.бюджет'!W8+областной!W8+інші!W8</f>
        <v>9916.4</v>
      </c>
      <c r="X8" s="11">
        <f t="shared" si="4"/>
        <v>120.92433388208035</v>
      </c>
      <c r="Y8" s="18">
        <f>'насел.'!Y8+пільги!Y8+субсидії!Y8+'держ.бюджет'!Y8+'місц.-районн.бюджет'!Y8+областной!Y8+інші!Y8</f>
        <v>-1715.9000000000008</v>
      </c>
      <c r="Z8" s="150">
        <f>'насел.'!Z8+пільги!Z8+субсидії!Z8+'держ.бюджет'!Z8+'місц.-районн.бюджет'!Z8+областной!Z8+інші!Z8</f>
        <v>-3725.000000000002</v>
      </c>
    </row>
    <row r="9" spans="1:26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6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0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'насел.'!W9+пільги!W9+субсидії!W9+'держ.бюджет'!W9+'місц.-районн.бюджет'!W9+областной!W9+інші!W9</f>
        <v>1852.6000000000001</v>
      </c>
      <c r="L9" s="11">
        <f t="shared" si="1"/>
        <v>661.8792425866383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5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2"/>
        <v>151.3363028953229</v>
      </c>
      <c r="S9" s="18">
        <f>'насел.'!S9+пільги!S9+субсидії!S9+'держ.бюджет'!S9+'місц.-районн.бюджет'!S9+областной!S9+інші!S9</f>
        <v>270.5999999999999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3"/>
        <v>47.26533628972655</v>
      </c>
      <c r="V9" s="18">
        <f>'насел.'!V9+пільги!V9+субсидії!V9+'держ.бюджет'!V9+'місц.-районн.бюджет'!V9+областной!V9+інші!V9</f>
        <v>1373.5</v>
      </c>
      <c r="W9" s="18">
        <f>'насел.'!W9+пільги!W9+субсидії!W9+'держ.бюджет'!W9+'місц.-районн.бюджет'!W9+областной!W9+інші!W9</f>
        <v>1852.6000000000001</v>
      </c>
      <c r="X9" s="11">
        <f t="shared" si="4"/>
        <v>134.88168911539861</v>
      </c>
      <c r="Y9" s="18">
        <f>'насел.'!Y9+пільги!Y9+субсидії!Y9+'держ.бюджет'!Y9+'місц.-районн.бюджет'!Y9+областной!Y9+інші!Y9</f>
        <v>-479.09999999999997</v>
      </c>
      <c r="Z9" s="150">
        <f>'насел.'!Z9+пільги!Z9+субсидії!Z9+'держ.бюджет'!Z9+'місц.-районн.бюджет'!Z9+областной!Z9+інші!Z9</f>
        <v>-1131.6000000000001</v>
      </c>
    </row>
    <row r="10" spans="1:26" s="143" customFormat="1" ht="27" customHeight="1">
      <c r="A10" s="139" t="s">
        <v>15</v>
      </c>
      <c r="B10" s="140" t="s">
        <v>133</v>
      </c>
      <c r="C10" s="18">
        <f>'насел.'!C10+пільги!C10+субсидії!C10+'держ.бюджет'!C10+'місц.-районн.бюджет'!C10+областной!C10+інші!C10</f>
        <v>-95.60000000000001</v>
      </c>
      <c r="D10" s="141">
        <f>'насел.'!D10+пільги!D10+субсидії!D10+'держ.бюджет'!D10+'місц.-районн.бюджет'!D10+областной!D10+інші!D10</f>
        <v>50.9</v>
      </c>
      <c r="E10" s="141">
        <f>'насел.'!E10+пільги!E10+субсидії!E10+'держ.бюджет'!E10+'місц.-районн.бюджет'!E10+областной!E10+інші!E10</f>
        <v>93.5</v>
      </c>
      <c r="F10" s="142">
        <f t="shared" si="6"/>
        <v>183.69351669941062</v>
      </c>
      <c r="G10" s="141">
        <f>'насел.'!G10+пільги!G10+субсидії!G10+'держ.бюджет'!G10+'місц.-районн.бюджет'!G10+областной!G10+інші!G10</f>
        <v>87.39999999999999</v>
      </c>
      <c r="H10" s="141">
        <f>'насел.'!H10+пільги!H10+субсидії!H10+'держ.бюджет'!H10+'місц.-районн.бюджет'!H10+областной!H10+інші!H10</f>
        <v>23.7</v>
      </c>
      <c r="I10" s="142">
        <f t="shared" si="0"/>
        <v>27.11670480549199</v>
      </c>
      <c r="J10" s="141">
        <f>'насел.'!J10+пільги!J10+субсидії!J10+'держ.бюджет'!J10+'місц.-районн.бюджет'!J10+областной!J10+інші!J10</f>
        <v>84.60000000000001</v>
      </c>
      <c r="K10" s="141">
        <f>'насел.'!W10+пільги!W10+субсидії!W10+'держ.бюджет'!W10+'місц.-районн.бюджет'!W10+областной!W10+інші!W10</f>
        <v>585.3999999999999</v>
      </c>
      <c r="L10" s="142">
        <f t="shared" si="1"/>
        <v>691.9621749408981</v>
      </c>
      <c r="M10" s="11">
        <f>'насел.'!M10+пільги!M10+субсидії!M10+'держ.бюджет'!M10+'місц.-районн.бюджет'!M10+областной!M10+інші!M10</f>
        <v>222.90000000000003</v>
      </c>
      <c r="N10" s="11">
        <f>'насел.'!N10+пільги!N10+субсидії!N10+'держ.бюджет'!N10+'місц.-районн.бюджет'!N10+областной!N10+інші!N10</f>
        <v>157.3</v>
      </c>
      <c r="O10" s="11">
        <f t="shared" si="5"/>
        <v>70.5697622252131</v>
      </c>
      <c r="P10" s="18">
        <f>'насел.'!P10+пільги!P10+субсидії!P10+'держ.бюджет'!P10+'місц.-районн.бюджет'!P10+областной!P10+інші!P10</f>
        <v>80.00000000000001</v>
      </c>
      <c r="Q10" s="18">
        <f>'насел.'!Q10+пільги!Q10+субсидії!Q10+'держ.бюджет'!Q10+'місц.-районн.бюджет'!Q10+областной!Q10+інші!Q10</f>
        <v>401.49999999999994</v>
      </c>
      <c r="R10" s="150">
        <f t="shared" si="2"/>
        <v>501.87499999999983</v>
      </c>
      <c r="S10" s="18">
        <f>'насел.'!S10+пільги!S10+субсидії!S10+'держ.бюджет'!S10+'місц.-районн.бюджет'!S10+областной!S10+інші!S10</f>
        <v>63.4</v>
      </c>
      <c r="T10" s="18">
        <f>'насел.'!T10+пільги!T10+субсидії!T10+'держ.бюджет'!T10+'місц.-районн.бюджет'!T10+областной!T10+інші!T10</f>
        <v>26.599999999999998</v>
      </c>
      <c r="U10" s="150">
        <f t="shared" si="3"/>
        <v>41.95583596214511</v>
      </c>
      <c r="V10" s="18">
        <f>'насел.'!V10+пільги!V10+субсидії!V10+'держ.бюджет'!V10+'місц.-районн.бюджет'!V10+областной!V10+інші!V10</f>
        <v>366.3</v>
      </c>
      <c r="W10" s="18">
        <f>'насел.'!W10+пільги!W10+субсидії!W10+'держ.бюджет'!W10+'місц.-районн.бюджет'!W10+областной!W10+інші!W10</f>
        <v>585.3999999999999</v>
      </c>
      <c r="X10" s="150">
        <f t="shared" si="4"/>
        <v>159.81435981435976</v>
      </c>
      <c r="Y10" s="151">
        <f>'насел.'!Y10+пільги!Y10+субсидії!Y10+'держ.бюджет'!Y10+'місц.-районн.бюджет'!Y10+областной!Y10+інші!Y10</f>
        <v>-219.09999999999994</v>
      </c>
      <c r="Z10" s="150">
        <f>'насел.'!Z10+пільги!Z10+субсидії!Z10+'держ.бюджет'!Z10+'місц.-районн.бюджет'!Z10+областной!Z10+інші!Z10</f>
        <v>-314.7</v>
      </c>
    </row>
    <row r="11" spans="1:26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6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0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'насел.'!W11+пільги!W11+субсидії!W11+'держ.бюджет'!W11+'місц.-районн.бюджет'!W11+областной!W11+інші!W11</f>
        <v>2172.3</v>
      </c>
      <c r="L11" s="11">
        <f t="shared" si="1"/>
        <v>363.99128686327083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5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2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3"/>
        <v>-62.435803374908296</v>
      </c>
      <c r="V11" s="18">
        <f>'насел.'!V11+пільги!V11+субсидії!V11+'держ.бюджет'!V11+'місц.-районн.бюджет'!V11+областной!V11+інші!V11</f>
        <v>2793.3</v>
      </c>
      <c r="W11" s="18">
        <f>'насел.'!W11+пільги!W11+субсидії!W11+'держ.бюджет'!W11+'місц.-районн.бюджет'!W11+областной!W11+інші!W11</f>
        <v>2172.3</v>
      </c>
      <c r="X11" s="11">
        <f t="shared" si="4"/>
        <v>77.76823112447643</v>
      </c>
      <c r="Y11" s="18">
        <f>'насел.'!Y11+пільги!Y11+субсидії!Y11+'держ.бюджет'!Y11+'місц.-районн.бюджет'!Y11+областной!Y11+інші!Y11</f>
        <v>621</v>
      </c>
      <c r="Z11" s="18">
        <f>'насел.'!Z11+пільги!Z11+субсидії!Z11+'держ.бюджет'!Z11+'місц.-районн.бюджет'!Z11+областной!Z11+інші!Z11</f>
        <v>64.80000000000004</v>
      </c>
    </row>
    <row r="12" spans="1:26" s="143" customFormat="1" ht="25.5" customHeight="1">
      <c r="A12" s="139" t="s">
        <v>17</v>
      </c>
      <c r="B12" s="144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45">
        <f>'насел.'!D12+пільги!D12+субсидії!D12+'держ.бюджет'!D12+'місц.-районн.бюджет'!D12+областной!D12+інші!D12</f>
        <v>369.29999999999995</v>
      </c>
      <c r="E12" s="145">
        <f>'насел.'!E12+пільги!E12+субсидії!E12+'держ.бюджет'!E12+'місц.-районн.бюджет'!E12+областной!E12+інші!E12</f>
        <v>615.6</v>
      </c>
      <c r="F12" s="64">
        <f t="shared" si="6"/>
        <v>166.693744922827</v>
      </c>
      <c r="G12" s="145">
        <f>'насел.'!G12+пільги!G12+субсидії!G12+'держ.бюджет'!G12+'місц.-районн.бюджет'!G12+областной!G12+інші!G12</f>
        <v>398.40000000000003</v>
      </c>
      <c r="H12" s="145">
        <f>'насел.'!H12+пільги!H12+субсидії!H12+'держ.бюджет'!H12+'місц.-районн.бюджет'!H12+областной!H12+інші!H12</f>
        <v>130.5</v>
      </c>
      <c r="I12" s="64">
        <f t="shared" si="0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45">
        <f>'насел.'!W12+пільги!W12+субсидії!W12+'держ.бюджет'!W12+'місц.-районн.бюджет'!W12+областной!W12+інші!W12</f>
        <v>1745.3999999999999</v>
      </c>
      <c r="L12" s="64">
        <f t="shared" si="1"/>
        <v>409.62215442384417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5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2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3"/>
        <v>-68.4873949579832</v>
      </c>
      <c r="V12" s="18">
        <f>'насел.'!V12+пільги!V12+субсидії!V12+'держ.бюджет'!V12+'місц.-районн.бюджет'!V12+областной!V12+інші!V12</f>
        <v>1403.4999999999998</v>
      </c>
      <c r="W12" s="18">
        <f>'насел.'!W12+пільги!W12+субсидії!W12+'держ.бюджет'!W12+'місц.-районн.бюджет'!W12+областной!W12+інші!W12</f>
        <v>1745.3999999999999</v>
      </c>
      <c r="X12" s="64">
        <f t="shared" si="4"/>
        <v>124.36052725329534</v>
      </c>
      <c r="Y12" s="146">
        <f>'насел.'!Y12+пільги!Y12+субсидії!Y12+'держ.бюджет'!Y12+'місц.-районн.бюджет'!Y12+областной!Y12+інші!Y12</f>
        <v>-341.9000000000001</v>
      </c>
      <c r="Z12" s="146">
        <f>'насел.'!Z12+пільги!Z12+субсидії!Z12+'держ.бюджет'!Z12+'місц.-районн.бюджет'!Z12+областной!Z12+інші!Z12</f>
        <v>-290.0000000000001</v>
      </c>
    </row>
    <row r="13" spans="1:26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6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0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'насел.'!W13+пільги!W13+субсидії!W13+'держ.бюджет'!W13+'місц.-районн.бюджет'!W13+областной!W13+інші!W13</f>
        <v>2198.5</v>
      </c>
      <c r="L13" s="11">
        <f t="shared" si="1"/>
        <v>529.6314141170803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5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2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3"/>
        <v>54.930854681478124</v>
      </c>
      <c r="V13" s="18">
        <f>'насел.'!V13+пільги!V13+субсидії!V13+'держ.бюджет'!V13+'місц.-районн.бюджет'!V13+областной!V13+інші!V13</f>
        <v>2117</v>
      </c>
      <c r="W13" s="18">
        <f>'насел.'!W13+пільги!W13+субсидії!W13+'держ.бюджет'!W13+'місц.-районн.бюджет'!W13+областной!W13+інші!W13</f>
        <v>2198.5</v>
      </c>
      <c r="X13" s="11">
        <f t="shared" si="4"/>
        <v>103.8497874350496</v>
      </c>
      <c r="Y13" s="18">
        <f>'насел.'!Y13+пільги!Y13+субсидії!Y13+'держ.бюджет'!Y13+'місц.-районн.бюджет'!Y13+областной!Y13+інші!Y13</f>
        <v>-81.50000000000028</v>
      </c>
      <c r="Z13" s="18">
        <f>'насел.'!Z13+пільги!Z13+субсидії!Z13+'держ.бюджет'!Z13+'місц.-районн.бюджет'!Z13+областной!Z13+інші!Z13</f>
        <v>-821.5000000000002</v>
      </c>
    </row>
    <row r="14" spans="1:26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6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0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'насел.'!W14+пільги!W14+субсидії!W14+'держ.бюджет'!W14+'місц.-районн.бюджет'!W14+областной!W14+інші!W14</f>
        <v>953.4000000000001</v>
      </c>
      <c r="L14" s="11">
        <f t="shared" si="1"/>
        <v>590.3405572755419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5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2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3"/>
        <v>36.298763082778294</v>
      </c>
      <c r="V14" s="18">
        <f>'насел.'!V14+пільги!V14+субсидії!V14+'держ.бюджет'!V14+'місц.-районн.бюджет'!V14+областной!V14+інші!V14</f>
        <v>782.6999999999999</v>
      </c>
      <c r="W14" s="18">
        <f>'насел.'!W14+пільги!W14+субсидії!W14+'держ.бюджет'!W14+'місц.-районн.бюджет'!W14+областной!W14+інші!W14</f>
        <v>953.4000000000001</v>
      </c>
      <c r="X14" s="11">
        <f t="shared" si="4"/>
        <v>121.80912226906864</v>
      </c>
      <c r="Y14" s="18">
        <f>'насел.'!Y14+пільги!Y14+субсидії!Y14+'держ.бюджет'!Y14+'місц.-районн.бюджет'!Y14+областной!Y14+інші!Y14</f>
        <v>-170.7</v>
      </c>
      <c r="Z14" s="18">
        <f>'насел.'!Z14+пільги!Z14+субсидії!Z14+'держ.бюджет'!Z14+'місц.-районн.бюджет'!Z14+областной!Z14+інші!Z14</f>
        <v>-531.9</v>
      </c>
    </row>
    <row r="15" spans="1:26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6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0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'насел.'!W15+пільги!W15+субсидії!W15+'держ.бюджет'!W15+'місц.-районн.бюджет'!W15+областной!W15+інші!W15</f>
        <v>5411.1</v>
      </c>
      <c r="L15" s="11">
        <f t="shared" si="1"/>
        <v>306.28290032263544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5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1885</v>
      </c>
      <c r="R15" s="11">
        <f t="shared" si="2"/>
        <v>159.96266123557368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1257.3</v>
      </c>
      <c r="U15" s="11">
        <f t="shared" si="3"/>
        <v>96.32268444035856</v>
      </c>
      <c r="V15" s="18">
        <f>'насел.'!V15+пільги!V15+субсидії!V15+'держ.бюджет'!V15+'місц.-районн.бюджет'!V15+областной!V15+інші!V15</f>
        <v>5569.200000000001</v>
      </c>
      <c r="W15" s="18">
        <f>'насел.'!W15+пільги!W15+субсидії!W15+'держ.бюджет'!W15+'місц.-районн.бюджет'!W15+областной!W15+інші!W15</f>
        <v>5411.1</v>
      </c>
      <c r="X15" s="11">
        <f t="shared" si="4"/>
        <v>97.16117216117216</v>
      </c>
      <c r="Y15" s="18">
        <f>'насел.'!Y15+пільги!Y15+субсидії!Y15+'держ.бюджет'!Y15+'місц.-районн.бюджет'!Y15+областной!Y15+інші!Y15</f>
        <v>158.10000000000034</v>
      </c>
      <c r="Z15" s="18">
        <f>'насел.'!Z15+пільги!Z15+субсидії!Z15+'держ.бюджет'!Z15+'місц.-районн.бюджет'!Z15+областной!Z15+інші!Z15</f>
        <v>65.00000000000027</v>
      </c>
    </row>
    <row r="16" spans="1:26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6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0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'насел.'!W16+пільги!W16+субсидії!W16+'держ.бюджет'!W16+'місц.-районн.бюджет'!W16+областной!W16+інші!W16</f>
        <v>218.20000000000002</v>
      </c>
      <c r="L16" s="11">
        <f t="shared" si="1"/>
        <v>536.1179361179362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5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2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3"/>
        <v>51.19363395225464</v>
      </c>
      <c r="V16" s="18">
        <f>'насел.'!V16+пільги!V16+субсидії!V16+'держ.бюджет'!V16+'місц.-районн.бюджет'!V16+областной!V16+інші!V16</f>
        <v>196.39999999999995</v>
      </c>
      <c r="W16" s="18">
        <f>'насел.'!W16+пільги!W16+субсидії!W16+'держ.бюджет'!W16+'місц.-районн.бюджет'!W16+областной!W16+інші!W16</f>
        <v>218.20000000000002</v>
      </c>
      <c r="X16" s="11">
        <f t="shared" si="4"/>
        <v>111.09979633401225</v>
      </c>
      <c r="Y16" s="18">
        <f>'насел.'!Y16+пільги!Y16+субсидії!Y16+'держ.бюджет'!Y16+'місц.-районн.бюджет'!Y16+областной!Y16+інші!Y16</f>
        <v>-21.800000000000033</v>
      </c>
      <c r="Z16" s="18">
        <f>'насел.'!Z16+пільги!Z16+субсидії!Z16+'держ.бюджет'!Z16+'місц.-районн.бюджет'!Z16+областной!Z16+інші!Z16</f>
        <v>-61.10000000000005</v>
      </c>
    </row>
    <row r="17" spans="1:28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1037.7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6"/>
        <v>97.53300568565095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0"/>
        <v>87.53393192733347</v>
      </c>
      <c r="J17" s="14">
        <f>'насел.'!J17+пільги!J17+субсидії!J17+'держ.бюджет'!J17+'місц.-районн.бюджет'!J17+областной!J17+інші!J17</f>
        <v>1255.8</v>
      </c>
      <c r="K17" s="14">
        <f>'насел.'!W17+пільги!W17+субсидії!W17+'держ.бюджет'!W17+'місц.-районн.бюджет'!W17+областной!W17+інші!W17</f>
        <v>5198</v>
      </c>
      <c r="L17" s="11">
        <f t="shared" si="1"/>
        <v>413.91941391941396</v>
      </c>
      <c r="M17" s="11">
        <f>'насел.'!M17+пільги!M17+субсидії!M17+'держ.бюджет'!M17+'місц.-районн.бюджет'!M17+областной!M17+інші!M17</f>
        <v>3251.2999999999997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5"/>
        <v>93.41801740842122</v>
      </c>
      <c r="P17" s="18">
        <f>'насел.'!P17+пільги!P17+субсидії!P17+'держ.бюджет'!P17+'місц.-районн.бюджет'!P17+областной!P17+інші!P17</f>
        <v>1054.1999999999998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2"/>
        <v>101.07190286473158</v>
      </c>
      <c r="S17" s="18">
        <f>'насел.'!S17+пільги!S17+субсидії!S17+'держ.бюджет'!S17+'місц.-районн.бюджет'!S17+областной!S17+інші!S17</f>
        <v>1276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3"/>
        <v>85.83072100313481</v>
      </c>
      <c r="V17" s="18">
        <f>'насел.'!V17+пільги!V17+субсидії!V17+'держ.бюджет'!V17+'місц.-районн.бюджет'!V17+областной!V17+інші!V17</f>
        <v>5581.5</v>
      </c>
      <c r="W17" s="18">
        <f>'насел.'!W17+пільги!W17+субсидії!W17+'держ.бюджет'!W17+'місц.-районн.бюджет'!W17+областной!W17+інші!W17</f>
        <v>5198</v>
      </c>
      <c r="X17" s="11">
        <f t="shared" si="4"/>
        <v>93.12908716294903</v>
      </c>
      <c r="Y17" s="18">
        <f>'насел.'!Y17+пільги!Y17+субсидії!Y17+'держ.бюджет'!Y17+'місц.-районн.бюджет'!Y17+областной!Y17+інші!Y17</f>
        <v>383.50000000000006</v>
      </c>
      <c r="Z17" s="18">
        <f>'насел.'!Z17+пільги!Z17+субсидії!Z17+'держ.бюджет'!Z17+'місц.-районн.бюджет'!Z17+областной!Z17+інші!Z17</f>
        <v>5899.499999999999</v>
      </c>
      <c r="AB17" s="147"/>
    </row>
    <row r="18" spans="1:26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6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0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1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5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2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3"/>
        <v>63.47333647947144</v>
      </c>
      <c r="V18" s="18">
        <f>'насел.'!V18+пільги!V18+субсидії!V18+'держ.бюджет'!V18+'місц.-районн.бюджет'!V18+областной!V18+інші!V18</f>
        <v>1248.1999999999998</v>
      </c>
      <c r="W18" s="18">
        <f>'насел.'!W18+пільги!W18+субсидії!W18+'держ.бюджет'!W18+'місц.-районн.бюджет'!W18+областной!W18+інші!W18</f>
        <v>1614.8000000000002</v>
      </c>
      <c r="X18" s="11">
        <f t="shared" si="4"/>
        <v>129.37029322224006</v>
      </c>
      <c r="Y18" s="18">
        <f>'насел.'!Y18+пільги!Y18+субсидії!Y18+'держ.бюджет'!Y18+'місц.-районн.бюджет'!Y18+областной!Y18+інші!Y18</f>
        <v>-366.6000000000001</v>
      </c>
      <c r="Z18" s="18">
        <f>'насел.'!Z18+пільги!Z18+субсидії!Z18+'держ.бюджет'!Z18+'місц.-районн.бюджет'!Z18+областной!Z18+інші!Z18</f>
        <v>13.399999999999862</v>
      </c>
    </row>
    <row r="19" spans="1:26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6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0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'насел.'!W19+пільги!W19+субсидії!W19+'держ.бюджет'!W19+'місц.-районн.бюджет'!W19+областной!W19+інші!W19</f>
        <v>3096.5</v>
      </c>
      <c r="L19" s="11">
        <f t="shared" si="1"/>
        <v>408.45534889856214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5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2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3"/>
        <v>55.417268585398396</v>
      </c>
      <c r="V19" s="18">
        <f>'насел.'!V19+пільги!V19+субсидії!V19+'держ.бюджет'!V19+'місц.-районн.бюджет'!V19+областной!V19+інші!V19</f>
        <v>3858.5</v>
      </c>
      <c r="W19" s="18">
        <f>'насел.'!W19+пільги!W19+субсидії!W19+'держ.бюджет'!W19+'місц.-районн.бюджет'!W19+областной!W19+інші!W19</f>
        <v>3096.5</v>
      </c>
      <c r="X19" s="11">
        <f t="shared" si="4"/>
        <v>80.2513930283789</v>
      </c>
      <c r="Y19" s="18">
        <f>'насел.'!Y19+пільги!Y19+субсидії!Y19+'держ.бюджет'!Y19+'місц.-районн.бюджет'!Y19+областной!Y19+інші!Y19</f>
        <v>762</v>
      </c>
      <c r="Z19" s="18">
        <f>'насел.'!Z19+пільги!Z19+субсидії!Z19+'держ.бюджет'!Z19+'місц.-районн.бюджет'!Z19+областной!Z19+інші!Z19</f>
        <v>1679.1</v>
      </c>
    </row>
    <row r="20" spans="1:26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161.89999999999998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6"/>
        <v>172.39036442248306</v>
      </c>
      <c r="G20" s="14">
        <f>'насел.'!G20+пільги!G20+субсидії!G20+'держ.бюджет'!G20+'місц.-районн.бюджет'!G20+областной!G20+інші!G20</f>
        <v>159.39999999999998</v>
      </c>
      <c r="H20" s="14">
        <f>'насел.'!H20+пільги!H20+субсидії!H20+'держ.бюджет'!H20+'місц.-районн.бюджет'!H20+областной!H20+інші!H20</f>
        <v>74.89999999999999</v>
      </c>
      <c r="I20" s="11">
        <f t="shared" si="0"/>
        <v>46.98870765370138</v>
      </c>
      <c r="J20" s="14">
        <f>'насел.'!J20+пільги!J20+субсидії!J20+'держ.бюджет'!J20+'місц.-районн.бюджет'!J20+областной!J20+інші!J20</f>
        <v>165.7</v>
      </c>
      <c r="K20" s="14">
        <f>'насел.'!W20+пільги!W20+субсидії!W20+'держ.бюджет'!W20+'місц.-районн.бюджет'!W20+областной!W20+інші!W20</f>
        <v>957.1</v>
      </c>
      <c r="L20" s="11">
        <f t="shared" si="1"/>
        <v>577.6101388050695</v>
      </c>
      <c r="M20" s="11">
        <f>'насел.'!M20+пільги!M20+субсидії!M20+'держ.бюджет'!M20+'місц.-районн.бюджет'!M20+областной!M20+інші!M20</f>
        <v>487</v>
      </c>
      <c r="N20" s="11">
        <f>'насел.'!N20+пільги!N20+субсидії!N20+'держ.бюджет'!N20+'місц.-районн.бюджет'!N20+областной!N20+інші!N20</f>
        <v>524.8</v>
      </c>
      <c r="O20" s="11">
        <f t="shared" si="5"/>
        <v>107.7618069815195</v>
      </c>
      <c r="P20" s="18">
        <f>'насел.'!P20+пільги!P20+субсидії!P20+'держ.бюджет'!P20+'місц.-районн.бюджет'!P20+областной!P20+інші!P20</f>
        <v>361.2</v>
      </c>
      <c r="Q20" s="18">
        <f>'насел.'!Q20+пільги!Q20+субсидії!Q20+'держ.бюджет'!Q20+'місц.-районн.бюджет'!Q20+областной!Q20+інші!Q20</f>
        <v>311.59999999999997</v>
      </c>
      <c r="R20" s="11">
        <f t="shared" si="2"/>
        <v>86.26799557032115</v>
      </c>
      <c r="S20" s="18">
        <f>'насел.'!S20+пільги!S20+субсидії!S20+'держ.бюджет'!S20+'місц.-районн.бюджет'!S20+областной!S20+інші!S20</f>
        <v>167.99999999999997</v>
      </c>
      <c r="T20" s="18">
        <f>'насел.'!T20+пільги!T20+субсидії!T20+'держ.бюджет'!T20+'місц.-районн.бюджет'!T20+областной!T20+інші!T20</f>
        <v>120.69999999999999</v>
      </c>
      <c r="U20" s="11">
        <f t="shared" si="3"/>
        <v>71.8452380952381</v>
      </c>
      <c r="V20" s="18">
        <f>'насел.'!V20+пільги!V20+субсидії!V20+'держ.бюджет'!V20+'місц.-районн.бюджет'!V20+областной!V20+інші!V20</f>
        <v>1016.2</v>
      </c>
      <c r="W20" s="18">
        <f>'насел.'!W20+пільги!W20+субсидії!W20+'держ.бюджет'!W20+'місц.-районн.бюджет'!W20+областной!W20+інші!W20</f>
        <v>957.1</v>
      </c>
      <c r="X20" s="11">
        <f t="shared" si="4"/>
        <v>94.18421570556976</v>
      </c>
      <c r="Y20" s="18">
        <f>'насел.'!Y20+пільги!Y20+субсидії!Y20+'держ.бюджет'!Y20+'місц.-районн.бюджет'!Y20+областной!Y20+інші!Y20</f>
        <v>59.10000000000002</v>
      </c>
      <c r="Z20" s="18">
        <f>'насел.'!Z20+пільги!Z20+субсидії!Z20+'держ.бюджет'!Z20+'місц.-районн.бюджет'!Z20+областной!Z20+інші!Z20</f>
        <v>242.50000000000009</v>
      </c>
    </row>
    <row r="21" spans="1:26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6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0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'насел.'!W21+пільги!W21+субсидії!W21+'держ.бюджет'!W21+'місц.-районн.бюджет'!W21+областной!W21+інші!W21</f>
        <v>159</v>
      </c>
      <c r="L21" s="11">
        <f t="shared" si="1"/>
        <v>372.3653395784543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5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2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3"/>
        <v>-25.663716814159287</v>
      </c>
      <c r="V21" s="18">
        <f>'насел.'!V21+пільги!V21+субсидії!V21+'держ.бюджет'!V21+'місц.-районн.бюджет'!V21+областной!V21+інші!V21</f>
        <v>96.50000000000001</v>
      </c>
      <c r="W21" s="18">
        <f>'насел.'!W21+пільги!W21+субсидії!W21+'держ.бюджет'!W21+'місц.-районн.бюджет'!W21+областной!W21+інші!W21</f>
        <v>159</v>
      </c>
      <c r="X21" s="11">
        <f t="shared" si="4"/>
        <v>164.76683937823833</v>
      </c>
      <c r="Y21" s="18">
        <f>'насел.'!Y21+пільги!Y21+субсидії!Y21+'держ.бюджет'!Y21+'місц.-районн.бюджет'!Y21+областной!Y21+інші!Y21</f>
        <v>-62.49999999999998</v>
      </c>
      <c r="Z21" s="18">
        <f>'насел.'!Z21+пільги!Z21+субсидії!Z21+'держ.бюджет'!Z21+'місц.-районн.бюджет'!Z21+областной!Z21+інші!Z21</f>
        <v>1.3000000000000256</v>
      </c>
    </row>
    <row r="22" spans="1:26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6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0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'насел.'!W22+пільги!W22+субсидії!W22+'держ.бюджет'!W22+'місц.-районн.бюджет'!W22+областной!W22+інші!W22</f>
        <v>1290.7</v>
      </c>
      <c r="L22" s="11">
        <f t="shared" si="1"/>
        <v>361.9461581604038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5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2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3"/>
        <v>-112.34735413839888</v>
      </c>
      <c r="V22" s="18">
        <f>'насел.'!V22+пільги!V22+субсидії!V22+'держ.бюджет'!V22+'місц.-районн.бюджет'!V22+областной!V22+інші!V22</f>
        <v>1032.7</v>
      </c>
      <c r="W22" s="18">
        <f>'насел.'!W22+пільги!W22+субсидії!W22+'держ.бюджет'!W22+'місц.-районн.бюджет'!W22+областной!W22+інші!W22</f>
        <v>1290.7</v>
      </c>
      <c r="X22" s="11">
        <f t="shared" si="4"/>
        <v>124.98305412995062</v>
      </c>
      <c r="Y22" s="18">
        <f>'насел.'!Y22+пільги!Y22+субсидії!Y22+'держ.бюджет'!Y22+'місц.-районн.бюджет'!Y22+областной!Y22+інші!Y22</f>
        <v>-257.9999999999999</v>
      </c>
      <c r="Z22" s="18">
        <f>'насел.'!Z22+пільги!Z22+субсидії!Z22+'держ.бюджет'!Z22+'місц.-районн.бюджет'!Z22+областной!Z22+інші!Z22</f>
        <v>398.5000000000001</v>
      </c>
    </row>
    <row r="23" spans="1:26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6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0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'насел.'!W23+пільги!W23+субсидії!W23+'держ.бюджет'!W23+'місц.-районн.бюджет'!W23+областной!W23+інші!W23</f>
        <v>262.4</v>
      </c>
      <c r="L23" s="11">
        <f t="shared" si="1"/>
        <v>739.1549295774647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5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2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3"/>
        <v>64.76426799007444</v>
      </c>
      <c r="V23" s="18">
        <f>'насел.'!V23+пільги!V23+субсидії!V23+'держ.бюджет'!V23+'місц.-районн.бюджет'!V23+областной!V23+інші!V23</f>
        <v>188.10000000000002</v>
      </c>
      <c r="W23" s="18">
        <f>'насел.'!W23+пільги!W23+субсидії!W23+'держ.бюджет'!W23+'місц.-районн.бюджет'!W23+областной!W23+інші!W23</f>
        <v>262.4</v>
      </c>
      <c r="X23" s="11">
        <f t="shared" si="4"/>
        <v>139.50026581605525</v>
      </c>
      <c r="Y23" s="18">
        <f>'насел.'!Y23+пільги!Y23+субсидії!Y23+'держ.бюджет'!Y23+'місц.-районн.бюджет'!Y23+областной!Y23+інші!Y23</f>
        <v>-74.29999999999998</v>
      </c>
      <c r="Z23" s="18">
        <f>'насел.'!Z23+пільги!Z23+субсидії!Z23+'держ.бюджет'!Z23+'місц.-районн.бюджет'!Z23+областной!Z23+інші!Z23</f>
        <v>-80.99999999999999</v>
      </c>
    </row>
    <row r="24" spans="1:26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6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0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'насел.'!W24+пільги!W24+субсидії!W24+'держ.бюджет'!W24+'місц.-районн.бюджет'!W24+областной!W24+інші!W24</f>
        <v>7785.699999999999</v>
      </c>
      <c r="L24" s="11">
        <f t="shared" si="1"/>
        <v>485.6652735325307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5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2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3"/>
        <v>62.30023746871189</v>
      </c>
      <c r="V24" s="18">
        <f>'насел.'!V24+пільги!V24+субсидії!V24+'держ.бюджет'!V24+'місц.-районн.бюджет'!V24+областной!V24+інші!V24</f>
        <v>7907.100000000001</v>
      </c>
      <c r="W24" s="18">
        <f>'насел.'!W24+пільги!W24+субсидії!W24+'держ.бюджет'!W24+'місц.-районн.бюджет'!W24+областной!W24+інші!W24</f>
        <v>7785.699999999999</v>
      </c>
      <c r="X24" s="11">
        <f t="shared" si="4"/>
        <v>98.46467099189333</v>
      </c>
      <c r="Y24" s="18">
        <f>'насел.'!Y24+пільги!Y24+субсидії!Y24+'держ.бюджет'!Y24+'місц.-районн.бюджет'!Y24+областной!Y24+інші!Y24</f>
        <v>121.40000000000084</v>
      </c>
      <c r="Z24" s="18">
        <f>'насел.'!Z24+пільги!Z24+субсидії!Z24+'держ.бюджет'!Z24+'місц.-районн.бюджет'!Z24+областной!Z24+інші!Z24</f>
        <v>838.4000000000007</v>
      </c>
    </row>
    <row r="25" spans="1:26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6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0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'насел.'!W25+пільги!W25+субсидії!W25+'держ.бюджет'!W25+'місц.-районн.бюджет'!W25+областной!W25+інші!W25</f>
        <v>1408.2</v>
      </c>
      <c r="L25" s="11">
        <f t="shared" si="1"/>
        <v>415.52080259663626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5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2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3"/>
        <v>52.68918073796124</v>
      </c>
      <c r="V25" s="18">
        <f>'насел.'!V25+пільги!V25+субсидії!V25+'держ.бюджет'!V25+'місц.-районн.бюджет'!V25+областной!V25+інші!V25</f>
        <v>1579.9</v>
      </c>
      <c r="W25" s="18">
        <f>'насел.'!W25+пільги!W25+субсидії!W25+'держ.бюджет'!W25+'місц.-районн.бюджет'!W25+областной!W25+інші!W25</f>
        <v>1408.2</v>
      </c>
      <c r="X25" s="11">
        <f t="shared" si="4"/>
        <v>89.13222355845306</v>
      </c>
      <c r="Y25" s="18">
        <f>'насел.'!Y25+пільги!Y25+субсидії!Y25+'держ.бюджет'!Y25+'місц.-районн.бюджет'!Y25+областной!Y25+інші!Y25</f>
        <v>171.69999999999987</v>
      </c>
      <c r="Z25" s="18">
        <f>'насел.'!Z25+пільги!Z25+субсидії!Z25+'держ.бюджет'!Z25+'місц.-районн.бюджет'!Z25+областной!Z25+інші!Z25</f>
        <v>-31.600000000000136</v>
      </c>
    </row>
    <row r="26" spans="1:26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6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0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'насел.'!W26+пільги!W26+субсидії!W26+'держ.бюджет'!W26+'місц.-районн.бюджет'!W26+областной!W26+інші!W26</f>
        <v>120.6</v>
      </c>
      <c r="L26" s="11">
        <f t="shared" si="1"/>
        <v>379.24528301886784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5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2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3"/>
        <v>64.73684210526314</v>
      </c>
      <c r="V26" s="18">
        <f>'насел.'!V26+пільги!V26+субсидії!V26+'держ.бюджет'!V26+'місц.-районн.бюджет'!V26+областной!V26+інші!V26</f>
        <v>140.4</v>
      </c>
      <c r="W26" s="18">
        <f>'насел.'!W26+пільги!W26+субсидії!W26+'держ.бюджет'!W26+'місц.-районн.бюджет'!W26+областной!W26+інші!W26</f>
        <v>120.6</v>
      </c>
      <c r="X26" s="11">
        <f t="shared" si="4"/>
        <v>85.8974358974359</v>
      </c>
      <c r="Y26" s="18">
        <f>'насел.'!Y26+пільги!Y26+субсидії!Y26+'держ.бюджет'!Y26+'місц.-районн.бюджет'!Y26+областной!Y26+інші!Y26</f>
        <v>19.799999999999994</v>
      </c>
      <c r="Z26" s="18">
        <f>'насел.'!Z26+пільги!Z26+субсидії!Z26+'держ.бюджет'!Z26+'місц.-районн.бюджет'!Z26+областной!Z26+інші!Z26</f>
        <v>117.39999999999999</v>
      </c>
    </row>
    <row r="27" spans="1:26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6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0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'насел.'!W27+пільги!W27+субсидії!W27+'держ.бюджет'!W27+'місц.-районн.бюджет'!W27+областной!W27+інші!W27</f>
        <v>2938.8999999999996</v>
      </c>
      <c r="L27" s="11">
        <f t="shared" si="1"/>
        <v>540.4376609047443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5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2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709.7000000000002</v>
      </c>
      <c r="U27" s="11">
        <f t="shared" si="3"/>
        <v>149.127968060517</v>
      </c>
      <c r="V27" s="18">
        <f>'насел.'!V27+пільги!V27+субсидії!V27+'держ.бюджет'!V27+'місц.-районн.бюджет'!V27+областной!V27+інші!V27</f>
        <v>2566.899999999999</v>
      </c>
      <c r="W27" s="18">
        <f>'насел.'!W27+пільги!W27+субсидії!W27+'держ.бюджет'!W27+'місц.-районн.бюджет'!W27+областной!W27+інші!W27</f>
        <v>2938.8999999999996</v>
      </c>
      <c r="X27" s="11">
        <f t="shared" si="4"/>
        <v>114.49218902177726</v>
      </c>
      <c r="Y27" s="18">
        <f>'насел.'!Y27+пільги!Y27+субсидії!Y27+'держ.бюджет'!Y27+'місц.-районн.бюджет'!Y27+областной!Y27+інші!Y27</f>
        <v>-372.0000000000002</v>
      </c>
      <c r="Z27" s="18">
        <f>'насел.'!Z27+пільги!Z27+субсидії!Z27+'держ.бюджет'!Z27+'місц.-районн.бюджет'!Z27+областной!Z27+інші!Z27</f>
        <v>-843.8000000000001</v>
      </c>
    </row>
    <row r="28" spans="1:26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6"/>
        <v>94.9287510477787</v>
      </c>
      <c r="G28" s="14">
        <f>'насел.'!G28+пільги!G28+субсидії!G28+'держ.бюджет'!G28+'місц.-районн.бюджет'!G28+областной!G28+інші!G28</f>
        <v>273.29999999999995</v>
      </c>
      <c r="H28" s="14">
        <f>'насел.'!H28+пільги!H28+субсидії!H28+'держ.бюджет'!H28+'місц.-районн.бюджет'!H28+областной!H28+інші!H28</f>
        <v>211.29999999999998</v>
      </c>
      <c r="I28" s="11">
        <f aca="true" t="shared" si="7" ref="I28:I39">H28/G28*100</f>
        <v>77.31430662275888</v>
      </c>
      <c r="J28" s="14">
        <f>'насел.'!J28+пільги!J28+субсидії!J28+'держ.бюджет'!J28+'місц.-районн.бюджет'!J28+областной!J28+інші!J28</f>
        <v>347.70000000000005</v>
      </c>
      <c r="K28" s="14">
        <f>'насел.'!K28+пільги!K28+субсидії!K28+'держ.бюджет'!K28+'місц.-районн.бюджет'!K28+областной!K28+інші!K28</f>
        <v>463</v>
      </c>
      <c r="L28" s="11">
        <f t="shared" si="1"/>
        <v>133.1607707794075</v>
      </c>
      <c r="M28" s="11">
        <f>'насел.'!M28+пільги!M28+субсидії!M28+'держ.бюджет'!M28+'місц.-районн.бюджет'!M28+областной!M28+інші!M28</f>
        <v>859.6</v>
      </c>
      <c r="N28" s="11">
        <f>'насел.'!N28+пільги!N28+субсидії!N28+'держ.бюджет'!N28+'місц.-районн.бюджет'!N28+областной!N28+інші!N28</f>
        <v>900.8</v>
      </c>
      <c r="O28" s="11">
        <f t="shared" si="5"/>
        <v>104.79292694276407</v>
      </c>
      <c r="P28" s="18">
        <f>'насел.'!P28+пільги!P28+субсидії!P28+'держ.бюджет'!P28+'місц.-районн.бюджет'!P28+областной!P28+інші!P28</f>
        <v>312.6</v>
      </c>
      <c r="Q28" s="18">
        <f>'насел.'!Q28+пільги!Q28+субсидії!Q28+'держ.бюджет'!Q28+'місц.-районн.бюджет'!Q28+областной!Q28+інші!Q28</f>
        <v>388.5</v>
      </c>
      <c r="R28" s="11">
        <f t="shared" si="2"/>
        <v>124.28023032629558</v>
      </c>
      <c r="S28" s="18">
        <f>'насел.'!S28+пільги!S28+субсидії!S28+'держ.бюджет'!S28+'місц.-районн.бюджет'!S28+областной!S28+інші!S28</f>
        <v>286.6</v>
      </c>
      <c r="T28" s="18">
        <f>'насел.'!T28+пільги!T28+субсидії!T28+'держ.бюджет'!T28+'місц.-районн.бюджет'!T28+областной!T28+інші!T28</f>
        <v>464</v>
      </c>
      <c r="U28" s="11">
        <f t="shared" si="3"/>
        <v>161.8981158408932</v>
      </c>
      <c r="V28" s="18">
        <f>'насел.'!V28+пільги!V28+субсидії!V28+'держ.бюджет'!V28+'місц.-районн.бюджет'!V28+областной!V28+інші!V28</f>
        <v>1458.7999999999997</v>
      </c>
      <c r="W28" s="18">
        <f>'насел.'!W28+пільги!W28+субсидії!W28+'держ.бюджет'!W28+'місц.-районн.бюджет'!W28+областной!W28+інші!W28</f>
        <v>1753.3000000000002</v>
      </c>
      <c r="X28" s="11">
        <f aca="true" t="shared" si="8" ref="X28:X39">W28/V28*100</f>
        <v>120.18782561009051</v>
      </c>
      <c r="Y28" s="18">
        <f>'насел.'!Y28+пільги!Y28+субсидії!Y28+'держ.бюджет'!Y28+'місц.-районн.бюджет'!Y28+областной!Y28+інші!Y28</f>
        <v>-294.5000000000001</v>
      </c>
      <c r="Z28" s="18">
        <f>'насел.'!Z28+пільги!Z28+субсидії!Z28+'держ.бюджет'!Z28+'місц.-районн.бюджет'!Z28+областной!Z28+інші!Z28</f>
        <v>-84.90000000000015</v>
      </c>
    </row>
    <row r="29" spans="1:26" ht="27" customHeight="1">
      <c r="A29" s="13" t="s">
        <v>34</v>
      </c>
      <c r="B29" s="65" t="s">
        <v>110</v>
      </c>
      <c r="C29" s="18">
        <f>'насел.'!C29+пільги!C29+субсидії!C29+'держ.бюджет'!C29+'місц.-районн.бюджет'!C29+областной!C29+інші!C29</f>
        <v>0</v>
      </c>
      <c r="D29" s="66"/>
      <c r="E29" s="66"/>
      <c r="F29" s="66"/>
      <c r="G29" s="66"/>
      <c r="H29" s="66"/>
      <c r="I29" s="66"/>
      <c r="J29" s="14">
        <f>'насел.'!J29+пільги!J29+субсидії!J29+'держ.бюджет'!J29+'місц.-районн.бюджет'!J29+областной!J29+інші!J29</f>
        <v>0</v>
      </c>
      <c r="K29" s="66"/>
      <c r="L29" s="66"/>
      <c r="M29" s="11">
        <f>'насел.'!M29+пільги!M29+субсидії!M29+'держ.бюджет'!M29+'місц.-районн.бюджет'!M29+областной!M29+інші!M29</f>
        <v>0</v>
      </c>
      <c r="N29" s="11">
        <f>'насел.'!N29+пільги!N29+субсидії!N29+'держ.бюджет'!N29+'місц.-районн.бюджет'!N29+областной!N29+інші!N29</f>
        <v>0</v>
      </c>
      <c r="O29" s="11"/>
      <c r="P29" s="18">
        <f>'насел.'!P29+пільги!P29+субсидії!P29+'держ.бюджет'!P29+'місц.-районн.бюджет'!P29+областной!P29+інші!P29</f>
        <v>0</v>
      </c>
      <c r="Q29" s="18">
        <f>'насел.'!Q29+пільги!Q29+субсидії!Q29+'держ.бюджет'!Q29+'місц.-районн.бюджет'!Q29+областной!Q29+інші!Q29</f>
        <v>0</v>
      </c>
      <c r="R29" s="66"/>
      <c r="S29" s="18">
        <f>'насел.'!S29+пільги!S29+субсидії!S29+'держ.бюджет'!S29+'місц.-районн.бюджет'!S29+областной!S29+інші!S29</f>
        <v>0</v>
      </c>
      <c r="T29" s="18">
        <f>'насел.'!T29+пільги!T29+субсидії!T29+'держ.бюджет'!T29+'місц.-районн.бюджет'!T29+областной!T29+інші!T29</f>
        <v>0</v>
      </c>
      <c r="U29" s="66"/>
      <c r="V29" s="18">
        <f>'насел.'!V29+пільги!V29+субсидії!V29+'держ.бюджет'!V29+'місц.-районн.бюджет'!V29+областной!V29+інші!V29</f>
        <v>0</v>
      </c>
      <c r="W29" s="18">
        <f>'насел.'!W29+пільги!W29+субсидії!W29+'держ.бюджет'!W29+'місц.-районн.бюджет'!W29+областной!W29+інші!W29</f>
        <v>0</v>
      </c>
      <c r="X29" s="66"/>
      <c r="Y29" s="66"/>
      <c r="Z29" s="66"/>
    </row>
    <row r="30" spans="1:26" ht="27" customHeight="1">
      <c r="A30" s="13" t="s">
        <v>35</v>
      </c>
      <c r="B30" s="15" t="s">
        <v>111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9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7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'насел.'!W30+пільги!W30+субсидії!W30+'держ.бюджет'!W30+'місц.-районн.бюджет'!W30+областной!W30+інші!W30</f>
        <v>811</v>
      </c>
      <c r="L30" s="11">
        <f aca="true" t="shared" si="10" ref="L30:L39">K30/J30*100</f>
        <v>494.8139109212935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5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1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394.90000000000003</v>
      </c>
      <c r="T30" s="18">
        <f>'насел.'!T30+пільги!T30+субсидії!T30+'держ.бюджет'!T30+'місц.-районн.бюджет'!T30+областной!T30+інші!T30</f>
        <v>97</v>
      </c>
      <c r="U30" s="11">
        <f aca="true" t="shared" si="12" ref="U30:U39">T30/S30*100</f>
        <v>24.56318055203849</v>
      </c>
      <c r="V30" s="18">
        <f>'насел.'!V30+пільги!V30+субсидії!V30+'держ.бюджет'!V30+'місц.-районн.бюджет'!V30+областной!V30+інші!V30</f>
        <v>999.8</v>
      </c>
      <c r="W30" s="18">
        <f>'насел.'!W30+пільги!W30+субсидії!W30+'держ.бюджет'!W30+'місц.-районн.бюджет'!W30+областной!W30+інші!W30</f>
        <v>811</v>
      </c>
      <c r="X30" s="11">
        <f t="shared" si="8"/>
        <v>81.11622324464894</v>
      </c>
      <c r="Y30" s="18">
        <f>'насел.'!Y30+пільги!Y30+субсидії!Y30+'держ.бюджет'!Y30+'місц.-районн.бюджет'!Y30+областной!Y30+інші!Y30</f>
        <v>188.8</v>
      </c>
      <c r="Z30" s="18">
        <f>'насел.'!Z30+пільги!Z30+субсидії!Z30+'держ.бюджет'!Z30+'місц.-районн.бюджет'!Z30+областной!Z30+інші!Z30</f>
        <v>133.89999999999998</v>
      </c>
    </row>
    <row r="31" spans="1:26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9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7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259.20000000000005</v>
      </c>
      <c r="L31" s="11">
        <f t="shared" si="10"/>
        <v>163.94686907020878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689.5000000000001</v>
      </c>
      <c r="O31" s="11">
        <f t="shared" si="5"/>
        <v>149.6310763888889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1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87.6</v>
      </c>
      <c r="U31" s="11">
        <f t="shared" si="12"/>
        <v>52.8347406513872</v>
      </c>
      <c r="V31" s="18">
        <f>'насел.'!V31+пільги!V31+субсидії!V31+'держ.бюджет'!V31+'місц.-районн.бюджет'!V31+областной!V31+інші!V31</f>
        <v>785.3999999999999</v>
      </c>
      <c r="W31" s="18">
        <f>'насел.'!W31+пільги!W31+субсидії!W31+'держ.бюджет'!W31+'місц.-районн.бюджет'!W31+областной!W31+інші!W31</f>
        <v>1012.8000000000001</v>
      </c>
      <c r="X31" s="11">
        <f t="shared" si="8"/>
        <v>128.95339954163487</v>
      </c>
      <c r="Y31" s="18">
        <f>'насел.'!Y31+пільги!Y31+субсидії!Y31+'держ.бюджет'!Y31+'місц.-районн.бюджет'!Y31+областной!Y31+інші!Y31</f>
        <v>-227.40000000000015</v>
      </c>
      <c r="Z31" s="18">
        <f>'насел.'!Z31+пільги!Z31+субсидії!Z31+'держ.бюджет'!Z31+'місц.-районн.бюджет'!Z31+областной!Z31+інші!Z31</f>
        <v>-960.8000000000001</v>
      </c>
    </row>
    <row r="32" spans="1:26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9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7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'насел.'!W32+пільги!W32+субсидії!W32+'держ.бюджет'!W32+'місц.-районн.бюджет'!W32+областной!W32+інші!W32</f>
        <v>8868.400000000001</v>
      </c>
      <c r="L32" s="11">
        <f t="shared" si="10"/>
        <v>492.00554785020813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5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1"/>
        <v>55.70166098807496</v>
      </c>
      <c r="S32" s="18">
        <f>'насел.'!S32+пільги!S32+субсидії!S32+'держ.бюджет'!S32+'місц.-районн.бюджет'!S32+областной!S32+інші!S32</f>
        <v>2454.2</v>
      </c>
      <c r="T32" s="18">
        <f>'насел.'!T32+пільги!T32+субсидії!T32+'держ.бюджет'!T32+'місц.-районн.бюджет'!T32+областной!T32+інші!T32</f>
        <v>2076.8</v>
      </c>
      <c r="U32" s="11">
        <f t="shared" si="12"/>
        <v>84.62228017276507</v>
      </c>
      <c r="V32" s="18">
        <f>'насел.'!V32+пільги!V32+субсидії!V32+'держ.бюджет'!V32+'місц.-районн.бюджет'!V32+областной!V32+інші!V32</f>
        <v>9844.7</v>
      </c>
      <c r="W32" s="18">
        <f>'насел.'!W32+пільги!W32+субсидії!W32+'держ.бюджет'!W32+'місц.-районн.бюджет'!W32+областной!W32+інші!W32</f>
        <v>8868.400000000001</v>
      </c>
      <c r="X32" s="11">
        <f t="shared" si="8"/>
        <v>90.08298881631742</v>
      </c>
      <c r="Y32" s="18">
        <f>'насел.'!Y32+пільги!Y32+субсидії!Y32+'держ.бюджет'!Y32+'місц.-районн.бюджет'!Y32+областной!Y32+інші!Y32</f>
        <v>976.2999999999994</v>
      </c>
      <c r="Z32" s="18">
        <f>'насел.'!Z32+пільги!Z32+субсидії!Z32+'держ.бюджет'!Z32+'місц.-районн.бюджет'!Z32+областной!Z32+інші!Z32</f>
        <v>3745.2999999999993</v>
      </c>
    </row>
    <row r="33" spans="1:26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9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7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'насел.'!W33+пільги!W33+субсидії!W33+'держ.бюджет'!W33+'місц.-районн.бюджет'!W33+областной!W33+інші!W33</f>
        <v>3112.7</v>
      </c>
      <c r="L33" s="11">
        <f t="shared" si="10"/>
        <v>372.73380433481015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5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468.29999999999995</v>
      </c>
      <c r="R33" s="11">
        <f t="shared" si="11"/>
        <v>53.852345906163734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573</v>
      </c>
      <c r="U33" s="11">
        <f t="shared" si="12"/>
        <v>68.42608072605684</v>
      </c>
      <c r="V33" s="18">
        <f>'насел.'!V33+пільги!V33+субсидії!V33+'держ.бюджет'!V33+'місц.-районн.бюджет'!V33+областной!V33+інші!V33</f>
        <v>4145.5</v>
      </c>
      <c r="W33" s="18">
        <f>'насел.'!W33+пільги!W33+субсидії!W33+'держ.бюджет'!W33+'місц.-районн.бюджет'!W33+областной!W33+інші!W33</f>
        <v>3112.7</v>
      </c>
      <c r="X33" s="11">
        <f t="shared" si="8"/>
        <v>75.08623808949463</v>
      </c>
      <c r="Y33" s="18">
        <f>'насел.'!Y33+пільги!Y33+субсидії!Y33+'держ.бюджет'!Y33+'місц.-районн.бюджет'!Y33+областной!Y33+інші!Y33</f>
        <v>1032.8</v>
      </c>
      <c r="Z33" s="18">
        <f>'насел.'!Z33+пільги!Z33+субсидії!Z33+'держ.бюджет'!Z33+'місц.-районн.бюджет'!Z33+областной!Z33+інші!Z33</f>
        <v>2745.1000000000004</v>
      </c>
    </row>
    <row r="34" spans="1:26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185.70000000000002</v>
      </c>
      <c r="E34" s="14">
        <f>'насел.'!E34+пільги!E34+субсидії!E34+'держ.бюджет'!E34+'місц.-районн.бюджет'!E34+областной!E34+інші!E34</f>
        <v>572.5000000000001</v>
      </c>
      <c r="F34" s="11">
        <f t="shared" si="9"/>
        <v>308.29294561120093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75.8</v>
      </c>
      <c r="I34" s="11">
        <f t="shared" si="7"/>
        <v>39.23395445134575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'насел.'!W34+пільги!W34+субсидії!W34+'держ.бюджет'!W34+'місц.-районн.бюджет'!W34+областной!W34+інші!W34</f>
        <v>1330.3999999999999</v>
      </c>
      <c r="L34" s="11">
        <f t="shared" si="10"/>
        <v>682.2564102564103</v>
      </c>
      <c r="M34" s="11">
        <f>'насел.'!M34+пільги!M34+субсидії!M34+'держ.бюджет'!M34+'місц.-районн.бюджет'!M34+областной!M34+інші!M34</f>
        <v>573.9000000000001</v>
      </c>
      <c r="N34" s="11">
        <f>'насел.'!N34+пільги!N34+субсидії!N34+'держ.бюджет'!N34+'місц.-районн.бюджет'!N34+областной!N34+інші!N34</f>
        <v>949.9999999999999</v>
      </c>
      <c r="O34" s="11">
        <f t="shared" si="5"/>
        <v>165.53406516814772</v>
      </c>
      <c r="P34" s="18">
        <f>'насел.'!P34+пільги!P34+субсидії!P34+'держ.бюджет'!P34+'місц.-районн.бюджет'!P34+областной!P34+інші!P34</f>
        <v>187.1</v>
      </c>
      <c r="Q34" s="18">
        <f>'насел.'!Q34+пільги!Q34+субсидії!Q34+'держ.бюджет'!Q34+'місц.-районн.бюджет'!Q34+областной!Q34+інші!Q34</f>
        <v>294.50000000000006</v>
      </c>
      <c r="R34" s="11">
        <f t="shared" si="11"/>
        <v>157.4024585783004</v>
      </c>
      <c r="S34" s="18">
        <f>'насел.'!S34+пільги!S34+субсидії!S34+'держ.бюджет'!S34+'місц.-районн.бюджет'!S34+областной!S34+інші!S34</f>
        <v>193.39999999999986</v>
      </c>
      <c r="T34" s="18">
        <f>'насел.'!T34+пільги!T34+субсидії!T34+'держ.бюджет'!T34+'місц.-районн.бюджет'!T34+областной!T34+інші!T34</f>
        <v>85.9</v>
      </c>
      <c r="U34" s="11">
        <f t="shared" si="12"/>
        <v>44.415718717683596</v>
      </c>
      <c r="V34" s="18">
        <f>'насел.'!V34+пільги!V34+субсидії!V34+'держ.бюджет'!V34+'місц.-районн.бюджет'!V34+областной!V34+інші!V34</f>
        <v>954.4</v>
      </c>
      <c r="W34" s="18">
        <f>'насел.'!W34+пільги!W34+субсидії!W34+'держ.бюджет'!W34+'місц.-районн.бюджет'!W34+областной!W34+інші!W34</f>
        <v>1330.3999999999999</v>
      </c>
      <c r="X34" s="11">
        <f t="shared" si="8"/>
        <v>139.39647946353728</v>
      </c>
      <c r="Y34" s="18">
        <f>'насел.'!Y34+пільги!Y34+субсидії!Y34+'держ.бюджет'!Y34+'місц.-районн.бюджет'!Y34+областной!Y34+інші!Y34</f>
        <v>-375.99999999999994</v>
      </c>
      <c r="Z34" s="18">
        <f>'насел.'!Z34+пільги!Z34+субсидії!Z34+'держ.бюджет'!Z34+'місц.-районн.бюджет'!Z34+областной!Z34+інші!Z34</f>
        <v>-1034</v>
      </c>
    </row>
    <row r="35" spans="1:26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9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7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'насел.'!W35+пільги!W35+субсидії!W35+'держ.бюджет'!W35+'місц.-районн.бюджет'!W35+областной!W35+інші!W35</f>
        <v>8571</v>
      </c>
      <c r="L35" s="11">
        <f t="shared" si="10"/>
        <v>452.7494585600338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5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1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2"/>
        <v>127.22300801508723</v>
      </c>
      <c r="V35" s="18">
        <f>'насел.'!V35+пільги!V35+субсидії!V35+'держ.бюджет'!V35+'місц.-районн.бюджет'!V35+областной!V35+інші!V35</f>
        <v>6705.799999999999</v>
      </c>
      <c r="W35" s="18">
        <f>'насел.'!W35+пільги!W35+субсидії!W35+'держ.бюджет'!W35+'місц.-районн.бюджет'!W35+областной!W35+інші!W35</f>
        <v>8571</v>
      </c>
      <c r="X35" s="11">
        <f t="shared" si="8"/>
        <v>127.8147275492857</v>
      </c>
      <c r="Y35" s="18">
        <f>'насел.'!Y35+пільги!Y35+субсидії!Y35+'держ.бюджет'!Y35+'місц.-районн.бюджет'!Y35+областной!Y35+інші!Y35</f>
        <v>-1865.2000000000012</v>
      </c>
      <c r="Z35" s="18">
        <f>'насел.'!Z35+пільги!Z35+субсидії!Z35+'держ.бюджет'!Z35+'місц.-районн.бюджет'!Z35+областной!Z35+інші!Z35</f>
        <v>-3448.3000000000006</v>
      </c>
    </row>
    <row r="36" spans="1:26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1861.8000000000002</v>
      </c>
      <c r="F36" s="11">
        <f t="shared" si="9"/>
        <v>82.94943194475385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7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'насел.'!W36+пільги!W36+субсидії!W36+'держ.бюджет'!W36+'місц.-районн.бюджет'!W36+областной!W36+інші!W36</f>
        <v>12222.899999999998</v>
      </c>
      <c r="L36" s="11">
        <f t="shared" si="10"/>
        <v>537.4120647203658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6469.1</v>
      </c>
      <c r="O36" s="11">
        <f t="shared" si="5"/>
        <v>96.81382819515115</v>
      </c>
      <c r="P36" s="18">
        <f>'насел.'!P36+пільги!P36+субсидії!P36+'держ.бюджет'!P36+'місц.-районн.бюджет'!P36+областной!P36+інші!P36</f>
        <v>2044.2</v>
      </c>
      <c r="Q36" s="18">
        <f>'насел.'!Q36+пільги!Q36+субсидії!Q36+'держ.бюджет'!Q36+'місц.-районн.бюджет'!Q36+областной!Q36+інші!Q36</f>
        <v>3296.6</v>
      </c>
      <c r="R36" s="11">
        <f t="shared" si="11"/>
        <v>161.26602093728596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2"/>
        <v>116.7371371561594</v>
      </c>
      <c r="V36" s="18">
        <f>'насел.'!V36+пільги!V36+субсидії!V36+'держ.бюджет'!V36+'місц.-районн.бюджет'!V36+областной!V36+інші!V36</f>
        <v>10831.100000000002</v>
      </c>
      <c r="W36" s="18">
        <f>'насел.'!W36+пільги!W36+субсидії!W36+'держ.бюджет'!W36+'місц.-районн.бюджет'!W36+областной!W36+інші!W36</f>
        <v>12222.899999999998</v>
      </c>
      <c r="X36" s="11">
        <f t="shared" si="8"/>
        <v>112.85003369925488</v>
      </c>
      <c r="Y36" s="18">
        <f>'насел.'!Y36+пільги!Y36+субсидії!Y36+'держ.бюджет'!Y36+'місц.-районн.бюджет'!Y36+областной!Y36+інші!Y36</f>
        <v>-1391.7999999999993</v>
      </c>
      <c r="Z36" s="18">
        <f>'насел.'!Z36+пільги!Z36+субсидії!Z36+'держ.бюджет'!Z36+'місц.-районн.бюджет'!Z36+областной!Z36+інші!Z36</f>
        <v>-5415.199999999998</v>
      </c>
    </row>
    <row r="37" spans="1:26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9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7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'насел.'!W37+пільги!W37+субсидії!W37+'держ.бюджет'!W37+'місц.-районн.бюджет'!W37+областной!W37+інші!W37</f>
        <v>13233</v>
      </c>
      <c r="L37" s="11">
        <f t="shared" si="10"/>
        <v>560.1032760518073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5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1471.3999999999999</v>
      </c>
      <c r="R37" s="11">
        <f t="shared" si="11"/>
        <v>56.04479317437342</v>
      </c>
      <c r="S37" s="18">
        <f>'насел.'!S37+пільги!S37+субсидії!S37+'держ.бюджет'!S37+'місц.-районн.бюджет'!S37+областной!S37+інші!S37</f>
        <v>2893.3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2"/>
        <v>44.97286835101786</v>
      </c>
      <c r="V37" s="18">
        <f>'насел.'!V37+пільги!V37+субсидії!V37+'держ.бюджет'!V37+'місц.-районн.бюджет'!V37+областной!V37+інші!V37</f>
        <v>13280.800000000001</v>
      </c>
      <c r="W37" s="18">
        <f>'насел.'!W37+пільги!W37+субсидії!W37+'держ.бюджет'!W37+'місц.-районн.бюджет'!W37+областной!W37+інші!W37</f>
        <v>13233</v>
      </c>
      <c r="X37" s="11">
        <f t="shared" si="8"/>
        <v>99.64008192277572</v>
      </c>
      <c r="Y37" s="18">
        <f>'насел.'!Y37+пільги!Y37+субсидії!Y37+'держ.бюджет'!Y37+'місц.-районн.бюджет'!Y37+областной!Y37+інші!Y37</f>
        <v>47.799999999999216</v>
      </c>
      <c r="Z37" s="18">
        <f>'насел.'!Z37+пільги!Z37+субсидії!Z37+'держ.бюджет'!Z37+'місц.-районн.бюджет'!Z37+областной!Z37+інші!Z37</f>
        <v>9910.999999999998</v>
      </c>
    </row>
    <row r="38" spans="1:26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9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7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'насел.'!W38+пільги!W38+субсидії!W38+'держ.бюджет'!W38+'місц.-районн.бюджет'!W38+областной!W38+інші!W38</f>
        <v>3602.699999999999</v>
      </c>
      <c r="L38" s="11">
        <f t="shared" si="10"/>
        <v>502.6789451653411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5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1"/>
        <v>155.67289853004138</v>
      </c>
      <c r="S38" s="18">
        <f>'насел.'!S38+пільги!S38+субсидії!S38+'держ.бюджет'!S38+'місц.-районн.бюджет'!S38+областной!S38+інші!S38</f>
        <v>726.1000000000001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2"/>
        <v>100.23412753064314</v>
      </c>
      <c r="V38" s="18">
        <f>'насел.'!V38+пільги!V38+субсидії!V38+'держ.бюджет'!V38+'місц.-районн.бюджет'!V38+областной!V38+інші!V38</f>
        <v>3368.9</v>
      </c>
      <c r="W38" s="18">
        <f>'насел.'!W38+пільги!W38+субсидії!W38+'держ.бюджет'!W38+'місц.-районн.бюджет'!W38+областной!W38+інші!W38</f>
        <v>3602.699999999999</v>
      </c>
      <c r="X38" s="11">
        <f t="shared" si="8"/>
        <v>106.93995072575615</v>
      </c>
      <c r="Y38" s="18">
        <f>'насел.'!Y38+пільги!Y38+субсидії!Y38+'держ.бюджет'!Y38+'місц.-районн.бюджет'!Y38+областной!Y38+інші!Y38</f>
        <v>-233.79999999999936</v>
      </c>
      <c r="Z38" s="18">
        <f>'насел.'!Z38+пільги!Z38+субсидії!Z38+'держ.бюджет'!Z38+'місц.-районн.бюджет'!Z38+областной!Z38+інші!Z38</f>
        <v>929.3000000000009</v>
      </c>
    </row>
    <row r="39" spans="1:26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9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7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'насел.'!W39+пільги!W39+субсидії!W39+'держ.бюджет'!W39+'місц.-районн.бюджет'!W39+областной!W39+інші!W39</f>
        <v>7603.499999999999</v>
      </c>
      <c r="L39" s="11">
        <f t="shared" si="10"/>
        <v>620.035880290304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5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1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2"/>
        <v>104.91692670996038</v>
      </c>
      <c r="V39" s="18">
        <f>'насел.'!V39+пільги!V39+субсидії!V39+'держ.бюджет'!V39+'місц.-районн.бюджет'!V39+областной!V39+інші!V39</f>
        <v>6212.599999999999</v>
      </c>
      <c r="W39" s="18">
        <f>'насел.'!W39+пільги!W39+субсидії!W39+'держ.бюджет'!W39+'місц.-районн.бюджет'!W39+областной!W39+інші!W39</f>
        <v>7603.499999999999</v>
      </c>
      <c r="X39" s="11">
        <f t="shared" si="8"/>
        <v>122.38837201815664</v>
      </c>
      <c r="Y39" s="18">
        <f>'насел.'!Y39+пільги!Y39+субсидії!Y39+'держ.бюджет'!Y39+'місц.-районн.бюджет'!Y39+областной!Y39+інші!Y39</f>
        <v>-1390.8999999999999</v>
      </c>
      <c r="Z39" s="18">
        <f>'насел.'!Z39+пільги!Z39+субсидії!Z39+'держ.бюджет'!Z39+'місц.-районн.бюджет'!Z39+областной!Z39+інші!Z39</f>
        <v>-3525.2999999999993</v>
      </c>
    </row>
    <row r="40" spans="1:26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3809.2000000000003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9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'насел.'!W40+пільги!W40+субсидії!W40+'держ.бюджет'!W40+'місц.-районн.бюджет'!W40+областной!W40+інші!W40</f>
        <v>6592.9</v>
      </c>
      <c r="L40" s="11">
        <f>K40/J40*100</f>
        <v>501.78095745490515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5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2027</v>
      </c>
      <c r="R40" s="11">
        <f>Q40/P40*100</f>
        <v>149.0879670491321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994.2</v>
      </c>
      <c r="U40" s="11">
        <f>T40/S40*100</f>
        <v>72.1009500326347</v>
      </c>
      <c r="V40" s="18">
        <f>'насел.'!V40+пільги!V40+субсидії!V40+'держ.бюджет'!V40+'місц.-районн.бюджет'!V40+областной!V40+інші!V40</f>
        <v>6666.500000000001</v>
      </c>
      <c r="W40" s="18">
        <f>'насел.'!W40+пільги!W40+субсидії!W40+'держ.бюджет'!W40+'місц.-районн.бюджет'!W40+областной!W40+інші!W40</f>
        <v>6592.9</v>
      </c>
      <c r="X40" s="11">
        <f>W40/V40*100</f>
        <v>98.89597239930995</v>
      </c>
      <c r="Y40" s="18">
        <f>'насел.'!Y40+пільги!Y40+субсидії!Y40+'держ.бюджет'!Y40+'місц.-районн.бюджет'!Y40+областной!Y40+інші!Y40</f>
        <v>73.6000000000007</v>
      </c>
      <c r="Z40" s="18">
        <f>'насел.'!Z40+пільги!Z40+субсидії!Z40+'держ.бюджет'!Z40+'місц.-районн.бюджет'!Z40+областной!Z40+інші!Z40</f>
        <v>3882.8</v>
      </c>
    </row>
    <row r="41" spans="1:30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9"/>
        <v>80.80366545773501</v>
      </c>
      <c r="G41" s="18">
        <f aca="true" t="shared" si="13" ref="G41:U41">SUM(G42:G42)</f>
        <v>104486.9</v>
      </c>
      <c r="H41" s="18">
        <f t="shared" si="13"/>
        <v>66607.1</v>
      </c>
      <c r="I41" s="18">
        <f t="shared" si="13"/>
        <v>63.74684290566569</v>
      </c>
      <c r="J41" s="18">
        <f t="shared" si="13"/>
        <v>104460</v>
      </c>
      <c r="K41" s="18">
        <f t="shared" si="13"/>
        <v>94920.8</v>
      </c>
      <c r="L41" s="18">
        <f t="shared" si="13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5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13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13"/>
        <v>99.77555966080914</v>
      </c>
      <c r="V41" s="18">
        <f>'насел.'!V41+пільги!V41+субсидії!V41+'держ.бюджет'!V41+'місц.-районн.бюджет'!V41+областной!V41+інші!V41</f>
        <v>512146.9</v>
      </c>
      <c r="W41" s="18">
        <f>'насел.'!W41+пільги!W41+субсидії!W41+'держ.бюджет'!W41+'місц.-районн.бюджет'!W41+областной!W41+інші!W41</f>
        <v>427776.80000000005</v>
      </c>
      <c r="X41" s="11">
        <f>W41/V41*100</f>
        <v>83.5261914110971</v>
      </c>
      <c r="Y41" s="18">
        <f>SUM(Y42:Y42)</f>
        <v>84370.09999999998</v>
      </c>
      <c r="Z41" s="18">
        <f>SUM(Z42:Z42)</f>
        <v>680946.9</v>
      </c>
      <c r="AA41" s="48">
        <f>D41+G41+J41+P41+S41</f>
        <v>512146.9</v>
      </c>
      <c r="AB41" s="48">
        <f>E41+H41+K41+Q41+T41</f>
        <v>427776.80000000005</v>
      </c>
      <c r="AC41" s="48">
        <f>AA41-AB41</f>
        <v>84370.09999999998</v>
      </c>
      <c r="AD41" s="48">
        <f>C41+V41-W41</f>
        <v>680946.9000000001</v>
      </c>
    </row>
    <row r="42" spans="1:26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9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5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512146.9</v>
      </c>
      <c r="W42" s="18">
        <f>'насел.'!W42+пільги!W42+субсидії!W42+'держ.бюджет'!W42+'місц.-районн.бюджет'!W42+областной!W42+інші!W42</f>
        <v>427776.80000000005</v>
      </c>
      <c r="X42" s="11">
        <f>W42/V42*100</f>
        <v>83.5261914110971</v>
      </c>
      <c r="Y42" s="11">
        <f>V42-W42</f>
        <v>84370.09999999998</v>
      </c>
      <c r="Z42" s="14">
        <f>'насел.'!Z42+пільги!Z42+субсидії!Z42+'держ.бюджет'!Z42+'місц.-районн.бюджет'!Z42+областной!Z42+інші!Z42</f>
        <v>680946.9</v>
      </c>
    </row>
    <row r="43" spans="1:30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610270.5</v>
      </c>
      <c r="D43" s="18">
        <f>'насел.'!D43+пільги!D43+субсидії!D43+'держ.бюджет'!D43+'місц.-районн.бюджет'!D43+областной!D43+інші!D43</f>
        <v>126611.20000000001</v>
      </c>
      <c r="E43" s="18">
        <f>'насел.'!E43+пільги!E43+субсидії!E43+'держ.бюджет'!E43+'місц.-районн.бюджет'!E43+областной!E43+інші!E43</f>
        <v>111309.09999999998</v>
      </c>
      <c r="F43" s="18">
        <f>'насел.'!F43+пільги!F43+субсидії!F43+'держ.бюджет'!F43+'місц.-районн.бюджет'!F43+областной!F43+інші!F43</f>
        <v>496.81899801228207</v>
      </c>
      <c r="G43" s="18">
        <f>'насел.'!G43+пільги!G43+субсидії!G43+'держ.бюджет'!G43+'місц.-районн.бюджет'!G43+областной!G43+інші!G43</f>
        <v>127243.1</v>
      </c>
      <c r="H43" s="18">
        <f>'насел.'!H43+пільги!H43+субсидії!H43+'держ.бюджет'!H43+'місц.-районн.бюджет'!H43+областной!H43+інші!H43</f>
        <v>82281.20000000001</v>
      </c>
      <c r="I43" s="18">
        <f>'насел.'!I43+пільги!I43+субсидії!I43+'держ.бюджет'!I43+'місц.-районн.бюджет'!I43+областной!I43+інші!I43</f>
        <v>409.125689756235</v>
      </c>
      <c r="J43" s="18">
        <f>'насел.'!J43+пільги!J43+субсидії!J43+'держ.бюджет'!J43+'місц.-районн.бюджет'!J43+областной!J43+інші!J43</f>
        <v>128569.70000000001</v>
      </c>
      <c r="K43" s="18">
        <f>'насел.'!K43+пільги!K43+субсидії!K43+'держ.бюджет'!K43+'місц.-районн.бюджет'!K43+областной!K43+інші!K43</f>
        <v>126438.6</v>
      </c>
      <c r="L43" s="18">
        <f>'насел.'!L43+пільги!L43+субсидії!L43+'держ.бюджет'!L43+'місц.-районн.бюджет'!L43+областной!L43+інші!L43</f>
        <v>700.2231930229152</v>
      </c>
      <c r="M43" s="18">
        <f>'насел.'!M43+пільги!M43+субсидії!M43+'держ.бюджет'!M43+'місц.-районн.бюджет'!M43+областной!M43+інші!M43</f>
        <v>382424.00000000006</v>
      </c>
      <c r="N43" s="18">
        <f>'насел.'!N43+пільги!N43+субсидії!N43+'держ.бюджет'!N43+'місц.-районн.бюджет'!N43+областной!N43+інші!N43</f>
        <v>320028.89999999997</v>
      </c>
      <c r="O43" s="11">
        <f t="shared" si="5"/>
        <v>83.68431374599919</v>
      </c>
      <c r="P43" s="18">
        <f>'насел.'!P43+пільги!P43+субсидії!P43+'держ.бюджет'!P43+'місц.-районн.бюджет'!P43+областной!P43+інші!P43</f>
        <v>125318.7</v>
      </c>
      <c r="Q43" s="18">
        <f>'насел.'!Q43+пільги!Q43+субсидії!Q43+'держ.бюджет'!Q43+'місц.-районн.бюджет'!Q43+областной!Q43+інші!Q43</f>
        <v>113518</v>
      </c>
      <c r="R43" s="11">
        <f>Q43/P43*100</f>
        <v>90.58344843985773</v>
      </c>
      <c r="S43" s="18">
        <f>'насел.'!S43+пільги!S43+субсидії!S43+'держ.бюджет'!S43+'місц.-районн.бюджет'!S43+областной!S43+інші!S43</f>
        <v>117676.89999999998</v>
      </c>
      <c r="T43" s="18">
        <f>'насел.'!T43+пільги!T43+субсидії!T43+'держ.бюджет'!T43+'місц.-районн.бюджет'!T43+областной!T43+інші!T43</f>
        <v>112829.70000000001</v>
      </c>
      <c r="U43" s="11">
        <f>T43/S43*100</f>
        <v>95.88092480342364</v>
      </c>
      <c r="V43" s="18">
        <f>'насел.'!V43+пільги!V43+субсидії!V43+'держ.бюджет'!V43+'місц.-районн.бюджет'!V43+областной!V43+інші!V43</f>
        <v>625419.6000000001</v>
      </c>
      <c r="W43" s="18">
        <f>'насел.'!W43+пільги!W43+субсидії!W43+'держ.бюджет'!W43+'місц.-районн.бюджет'!W43+областной!W43+інші!W43</f>
        <v>546376.6</v>
      </c>
      <c r="X43" s="11">
        <f>W43/V43*100</f>
        <v>87.36160491292564</v>
      </c>
      <c r="Y43" s="18">
        <f>'насел.'!Y43+пільги!Y43+субсидії!Y43+'держ.бюджет'!Y43+'місц.-районн.бюджет'!Y43+областной!Y43+інші!Y43</f>
        <v>79042.99999999999</v>
      </c>
      <c r="Z43" s="18">
        <f>'насел.'!Z43+пільги!Z43+субсидії!Z43+'держ.бюджет'!Z43+'місц.-районн.бюджет'!Z43+областной!Z43+інші!Z43</f>
        <v>689313.5</v>
      </c>
      <c r="AA43" s="48">
        <f>D43+G43+J43+P43+S43</f>
        <v>625419.6</v>
      </c>
      <c r="AB43" s="48">
        <f>E43+H43+K43+Q43+T43</f>
        <v>546376.6000000001</v>
      </c>
      <c r="AC43" s="48">
        <f>AA43-AB43</f>
        <v>79042.99999999988</v>
      </c>
      <c r="AD43" s="48">
        <f>C43+V43-W43</f>
        <v>689313.5000000001</v>
      </c>
    </row>
    <row r="44" spans="1:30" ht="32.25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9"/>
      <c r="AB44" s="19"/>
      <c r="AC44" s="48"/>
      <c r="AD44" s="48"/>
    </row>
    <row r="45" spans="1:38" ht="3.7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B45" s="20"/>
      <c r="AJ45" s="12"/>
      <c r="AK45" s="12"/>
      <c r="AL45" s="21"/>
    </row>
    <row r="46" spans="2:26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23"/>
      <c r="W46" s="23"/>
      <c r="X46" s="59"/>
      <c r="Y46" s="23"/>
      <c r="Z46" s="23">
        <f>D43-E43</f>
        <v>15302.100000000035</v>
      </c>
    </row>
    <row r="47" spans="1:39" s="12" customFormat="1" ht="25.5" customHeight="1">
      <c r="A47" s="24"/>
      <c r="B47" s="24"/>
      <c r="C47" s="25"/>
      <c r="D47" s="26">
        <f>D43-E43</f>
        <v>15302.100000000035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7"/>
      <c r="AH47" s="6"/>
      <c r="AI47" s="6"/>
      <c r="AJ47" s="29"/>
      <c r="AK47" s="6"/>
      <c r="AM47" s="6"/>
    </row>
    <row r="48" spans="1:39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7"/>
      <c r="AH48" s="6"/>
      <c r="AI48" s="6"/>
      <c r="AJ48" s="29"/>
      <c r="AK48" s="6"/>
      <c r="AM48" s="6"/>
    </row>
    <row r="49" spans="1:39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7"/>
      <c r="AH49" s="6"/>
      <c r="AI49" s="6"/>
      <c r="AJ49" s="29"/>
      <c r="AK49" s="6"/>
      <c r="AM49" s="6"/>
    </row>
    <row r="50" spans="1:39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7"/>
      <c r="AH50" s="6"/>
      <c r="AI50" s="6"/>
      <c r="AJ50" s="29"/>
      <c r="AK50" s="6"/>
      <c r="AM50" s="6"/>
    </row>
    <row r="51" spans="1:39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  <c r="AA51" s="21"/>
      <c r="AB51" s="21"/>
      <c r="AC51" s="21"/>
      <c r="AD51" s="21"/>
      <c r="AE51" s="21"/>
      <c r="AF51" s="21"/>
      <c r="AG51" s="21"/>
      <c r="AH51" s="7"/>
      <c r="AI51" s="7"/>
      <c r="AJ51" s="32"/>
      <c r="AK51" s="7"/>
      <c r="AM51" s="7"/>
    </row>
    <row r="52" spans="1:27" s="38" customFormat="1" ht="42" customHeight="1">
      <c r="A52" s="33"/>
      <c r="B52" s="168" t="s">
        <v>138</v>
      </c>
      <c r="C52" s="168"/>
      <c r="D52" s="168"/>
      <c r="E52" s="168"/>
      <c r="F52" s="168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34"/>
      <c r="W52" s="34"/>
      <c r="X52" s="61"/>
      <c r="Y52" s="35" t="s">
        <v>137</v>
      </c>
      <c r="Z52" s="36"/>
      <c r="AA52" s="37"/>
    </row>
    <row r="53" spans="1:26" ht="73.5" customHeight="1" hidden="1">
      <c r="A53" s="164" t="s">
        <v>134</v>
      </c>
      <c r="B53" s="164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0"/>
      <c r="W53" s="40"/>
      <c r="X53" s="41"/>
      <c r="Z53" s="4" t="s">
        <v>135</v>
      </c>
    </row>
  </sheetData>
  <sheetProtection/>
  <mergeCells count="16">
    <mergeCell ref="A53:B53"/>
    <mergeCell ref="A44:Z45"/>
    <mergeCell ref="B52:F52"/>
    <mergeCell ref="D5:F5"/>
    <mergeCell ref="G5:I5"/>
    <mergeCell ref="V5:X5"/>
    <mergeCell ref="M5:O5"/>
    <mergeCell ref="J5:L5"/>
    <mergeCell ref="Y5:Y6"/>
    <mergeCell ref="Z5:Z6"/>
    <mergeCell ref="P5:R5"/>
    <mergeCell ref="I1:Z1"/>
    <mergeCell ref="B2:Z2"/>
    <mergeCell ref="B3:Z3"/>
    <mergeCell ref="B4:F4"/>
    <mergeCell ref="S5:U5"/>
  </mergeCells>
  <printOptions horizontalCentered="1"/>
  <pageMargins left="0" right="0" top="0" bottom="0" header="0" footer="0"/>
  <pageSetup fitToHeight="1" fitToWidth="1" horizontalDpi="600" verticalDpi="600" orientation="landscape" paperSize="9" scale="49" r:id="rId1"/>
  <rowBreaks count="1" manualBreakCount="1">
    <brk id="30" min="1" max="19" man="1"/>
  </rowBreaks>
  <colBreaks count="1" manualBreakCount="1">
    <brk id="2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93"/>
  <sheetViews>
    <sheetView view="pageBreakPreview" zoomScale="76" zoomScaleNormal="50" zoomScaleSheetLayoutView="76" zoomScalePageLayoutView="0" workbookViewId="0" topLeftCell="A1">
      <pane xSplit="6" ySplit="9" topLeftCell="R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Z5" sqref="Z5:Z6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customWidth="1"/>
    <col min="18" max="18" width="11.00390625" style="12" customWidth="1"/>
    <col min="19" max="20" width="14.75390625" style="2" customWidth="1"/>
    <col min="21" max="21" width="11.00390625" style="12" customWidth="1"/>
    <col min="22" max="23" width="14.75390625" style="2" customWidth="1"/>
    <col min="24" max="24" width="11.75390625" style="12" customWidth="1"/>
    <col min="25" max="25" width="17.125" style="2" customWidth="1"/>
    <col min="26" max="26" width="21.125" style="2" customWidth="1"/>
    <col min="27" max="27" width="15.375" style="2" customWidth="1"/>
    <col min="28" max="28" width="15.625" style="2" customWidth="1"/>
    <col min="29" max="29" width="10.75390625" style="2" customWidth="1"/>
    <col min="30" max="30" width="14.25390625" style="2" customWidth="1"/>
    <col min="31" max="31" width="6.75390625" style="2" customWidth="1"/>
    <col min="32" max="32" width="12.25390625" style="2" customWidth="1"/>
    <col min="33" max="33" width="10.75390625" style="2" customWidth="1"/>
    <col min="34" max="16384" width="5.75390625" style="2" customWidth="1"/>
  </cols>
  <sheetData>
    <row r="1" spans="9:26" ht="15" customHeight="1">
      <c r="I1" s="161" t="s">
        <v>86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62"/>
      <c r="B2" s="162" t="s">
        <v>128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8.75">
      <c r="B4" s="163"/>
      <c r="C4" s="163"/>
      <c r="D4" s="163"/>
      <c r="E4" s="163"/>
      <c r="F4" s="16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7"/>
      <c r="W4" s="7"/>
      <c r="X4" s="6"/>
      <c r="Y4" s="7"/>
      <c r="Z4" s="5" t="s">
        <v>87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37" s="12" customFormat="1" ht="36" customHeight="1">
      <c r="A7" s="8"/>
      <c r="B7" s="9" t="s">
        <v>89</v>
      </c>
      <c r="C7" s="11">
        <f>SUM(C8:C40)</f>
        <v>-14676.300000000003</v>
      </c>
      <c r="D7" s="11">
        <f>SUM(D8:D40)</f>
        <v>1988.1</v>
      </c>
      <c r="E7" s="11">
        <f>SUM(E8:E40)</f>
        <v>7152.5</v>
      </c>
      <c r="F7" s="11">
        <f aca="true" t="shared" si="0" ref="F7:F20">E7/D7*100</f>
        <v>359.7656053518435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5368.599999999999</v>
      </c>
      <c r="N7" s="11">
        <f>SUM(N8:N40)</f>
        <v>21650</v>
      </c>
      <c r="O7" s="11">
        <f>N7/M7*100</f>
        <v>403.27087136311144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4814.499999999999</v>
      </c>
      <c r="U7" s="11">
        <f aca="true" t="shared" si="4" ref="U7:U24">T7/S7*100</f>
        <v>11.631390379370075</v>
      </c>
      <c r="V7" s="11">
        <f>SUM(V8:V40)</f>
        <v>55143.50000000001</v>
      </c>
      <c r="W7" s="11">
        <f>SUM(W8:W40)</f>
        <v>32389.1</v>
      </c>
      <c r="X7" s="11">
        <f aca="true" t="shared" si="5" ref="X7:X42">W7/V7*100</f>
        <v>58.736025098152986</v>
      </c>
      <c r="Y7" s="11">
        <f>SUM(Y8:Y40)</f>
        <v>22754.4</v>
      </c>
      <c r="Z7" s="11">
        <f>SUM(Z8:Z40)</f>
        <v>8078.0999999999985</v>
      </c>
      <c r="AA7" s="27">
        <f>SUM(Y8:Y40)</f>
        <v>22754.4</v>
      </c>
      <c r="AB7" s="27">
        <f>SUM(Z8:Z40)</f>
        <v>8078.0999999999985</v>
      </c>
      <c r="AC7" s="86"/>
      <c r="AD7" s="27"/>
      <c r="AE7" s="27"/>
      <c r="AF7" s="27"/>
      <c r="AG7" s="27"/>
      <c r="AH7" s="24"/>
      <c r="AI7" s="24"/>
      <c r="AJ7" s="24"/>
      <c r="AK7" s="24"/>
    </row>
    <row r="8" spans="1:37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6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72">
        <f aca="true" t="shared" si="7" ref="V8:V40">M8+P8+S8</f>
        <v>2236.3999999999996</v>
      </c>
      <c r="W8" s="72">
        <f aca="true" t="shared" si="8" ref="W8:W40">N8+Q8+T8</f>
        <v>2951.5</v>
      </c>
      <c r="X8" s="11">
        <f t="shared" si="5"/>
        <v>131.97549633339298</v>
      </c>
      <c r="Y8" s="89">
        <f>V8-W8</f>
        <v>-715.1000000000004</v>
      </c>
      <c r="Z8" s="90">
        <f>C8+V8-W8</f>
        <v>-4959.400000000001</v>
      </c>
      <c r="AA8" s="45"/>
      <c r="AB8" s="45"/>
      <c r="AC8" s="45"/>
      <c r="AD8" s="45"/>
      <c r="AE8" s="46"/>
      <c r="AF8" s="46"/>
      <c r="AG8" s="45"/>
      <c r="AH8" s="46"/>
      <c r="AI8" s="46"/>
      <c r="AJ8" s="46"/>
      <c r="AK8" s="46"/>
    </row>
    <row r="9" spans="1:37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9" ref="M9:M42">D9+G9+J9</f>
        <v>-190.10000000000002</v>
      </c>
      <c r="N9" s="89">
        <f aca="true" t="shared" si="10" ref="N9:N42">E9+H9+K9</f>
        <v>193.6</v>
      </c>
      <c r="O9" s="11">
        <f t="shared" si="6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72">
        <f t="shared" si="7"/>
        <v>1010.9</v>
      </c>
      <c r="W9" s="72">
        <f t="shared" si="8"/>
        <v>335.1</v>
      </c>
      <c r="X9" s="11">
        <f t="shared" si="5"/>
        <v>33.14867939459887</v>
      </c>
      <c r="Y9" s="89">
        <f aca="true" t="shared" si="11" ref="Y9:Y42">V9-W9</f>
        <v>675.8</v>
      </c>
      <c r="Z9" s="90">
        <f aca="true" t="shared" si="12" ref="Z9:Z42">C9+V9-W9</f>
        <v>-668.4000000000001</v>
      </c>
      <c r="AA9" s="45"/>
      <c r="AB9" s="45"/>
      <c r="AC9" s="45"/>
      <c r="AD9" s="45"/>
      <c r="AE9" s="46"/>
      <c r="AF9" s="46"/>
      <c r="AG9" s="45"/>
      <c r="AH9" s="46"/>
      <c r="AI9" s="46"/>
      <c r="AJ9" s="46"/>
      <c r="AK9" s="46"/>
    </row>
    <row r="10" spans="1:37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9"/>
        <v>-99</v>
      </c>
      <c r="N10" s="89">
        <f t="shared" si="10"/>
        <v>48.800000000000004</v>
      </c>
      <c r="O10" s="11">
        <f t="shared" si="6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72">
        <f t="shared" si="7"/>
        <v>-42.199999999999996</v>
      </c>
      <c r="W10" s="72">
        <f t="shared" si="8"/>
        <v>78.2</v>
      </c>
      <c r="X10" s="11">
        <f t="shared" si="5"/>
        <v>-185.30805687203792</v>
      </c>
      <c r="Y10" s="89">
        <f t="shared" si="11"/>
        <v>-120.4</v>
      </c>
      <c r="Z10" s="90">
        <f t="shared" si="12"/>
        <v>-317.4</v>
      </c>
      <c r="AA10" s="45"/>
      <c r="AB10" s="45"/>
      <c r="AC10" s="45"/>
      <c r="AD10" s="45"/>
      <c r="AE10" s="46"/>
      <c r="AF10" s="46"/>
      <c r="AG10" s="45"/>
      <c r="AH10" s="46"/>
      <c r="AI10" s="46"/>
      <c r="AJ10" s="46"/>
      <c r="AK10" s="46"/>
    </row>
    <row r="11" spans="1:37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9"/>
        <v>420.2</v>
      </c>
      <c r="N11" s="89">
        <f t="shared" si="10"/>
        <v>789.4000000000001</v>
      </c>
      <c r="O11" s="11">
        <f t="shared" si="6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72">
        <f t="shared" si="7"/>
        <v>800.7</v>
      </c>
      <c r="W11" s="72">
        <f t="shared" si="8"/>
        <v>421.30000000000007</v>
      </c>
      <c r="X11" s="11">
        <f t="shared" si="5"/>
        <v>52.61646059697765</v>
      </c>
      <c r="Y11" s="89">
        <f t="shared" si="11"/>
        <v>379.4</v>
      </c>
      <c r="Z11" s="90">
        <f t="shared" si="12"/>
        <v>-698.5000000000001</v>
      </c>
      <c r="AA11" s="45"/>
      <c r="AB11" s="45"/>
      <c r="AC11" s="45"/>
      <c r="AD11" s="45"/>
      <c r="AE11" s="46"/>
      <c r="AF11" s="46"/>
      <c r="AG11" s="45"/>
      <c r="AH11" s="46"/>
      <c r="AI11" s="46"/>
      <c r="AJ11" s="46"/>
      <c r="AK11" s="46"/>
    </row>
    <row r="12" spans="1:37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9"/>
        <v>-72.2</v>
      </c>
      <c r="N12" s="89">
        <f t="shared" si="10"/>
        <v>216.29999999999998</v>
      </c>
      <c r="O12" s="11">
        <f t="shared" si="6"/>
        <v>-299.58448753462596</v>
      </c>
      <c r="P12" s="44">
        <v>70.4</v>
      </c>
      <c r="Q12" s="44">
        <v>59.1</v>
      </c>
      <c r="R12" s="150">
        <f t="shared" si="3"/>
        <v>83.94886363636364</v>
      </c>
      <c r="S12" s="44">
        <v>298.9</v>
      </c>
      <c r="T12" s="44">
        <v>93.8</v>
      </c>
      <c r="U12" s="150">
        <f t="shared" si="4"/>
        <v>31.381733021077284</v>
      </c>
      <c r="V12" s="72">
        <f t="shared" si="7"/>
        <v>297.09999999999997</v>
      </c>
      <c r="W12" s="72">
        <f t="shared" si="8"/>
        <v>369.2</v>
      </c>
      <c r="X12" s="11">
        <f t="shared" si="5"/>
        <v>124.26792325816226</v>
      </c>
      <c r="Y12" s="89">
        <f t="shared" si="11"/>
        <v>-72.10000000000002</v>
      </c>
      <c r="Z12" s="90">
        <f t="shared" si="12"/>
        <v>-630.1</v>
      </c>
      <c r="AA12" s="45"/>
      <c r="AB12" s="45"/>
      <c r="AC12" s="45"/>
      <c r="AD12" s="45"/>
      <c r="AE12" s="46"/>
      <c r="AF12" s="46"/>
      <c r="AG12" s="45"/>
      <c r="AH12" s="46"/>
      <c r="AI12" s="46"/>
      <c r="AJ12" s="46"/>
      <c r="AK12" s="46"/>
    </row>
    <row r="13" spans="1:37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9"/>
        <v>-180.4</v>
      </c>
      <c r="N13" s="89">
        <f t="shared" si="10"/>
        <v>389.70000000000005</v>
      </c>
      <c r="O13" s="11">
        <f t="shared" si="6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72">
        <f t="shared" si="7"/>
        <v>1350.9</v>
      </c>
      <c r="W13" s="72">
        <f t="shared" si="8"/>
        <v>645.9000000000001</v>
      </c>
      <c r="X13" s="11">
        <f t="shared" si="5"/>
        <v>47.812569398178994</v>
      </c>
      <c r="Y13" s="89">
        <f t="shared" si="11"/>
        <v>705</v>
      </c>
      <c r="Z13" s="90">
        <f t="shared" si="12"/>
        <v>-1094.1</v>
      </c>
      <c r="AA13" s="45"/>
      <c r="AB13" s="45"/>
      <c r="AC13" s="45"/>
      <c r="AD13" s="45"/>
      <c r="AE13" s="46"/>
      <c r="AF13" s="46"/>
      <c r="AG13" s="45"/>
      <c r="AH13" s="46"/>
      <c r="AI13" s="46"/>
      <c r="AJ13" s="46"/>
      <c r="AK13" s="46"/>
    </row>
    <row r="14" spans="1:37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9"/>
        <v>-83</v>
      </c>
      <c r="N14" s="89">
        <f t="shared" si="10"/>
        <v>84.6</v>
      </c>
      <c r="O14" s="11">
        <f t="shared" si="6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72">
        <f t="shared" si="7"/>
        <v>62.60000000000001</v>
      </c>
      <c r="W14" s="72">
        <f t="shared" si="8"/>
        <v>147.1</v>
      </c>
      <c r="X14" s="11">
        <f t="shared" si="5"/>
        <v>234.9840255591054</v>
      </c>
      <c r="Y14" s="89">
        <f t="shared" si="11"/>
        <v>-84.49999999999999</v>
      </c>
      <c r="Z14" s="90">
        <f t="shared" si="12"/>
        <v>-523.9</v>
      </c>
      <c r="AA14" s="45"/>
      <c r="AB14" s="45"/>
      <c r="AC14" s="45"/>
      <c r="AD14" s="45"/>
      <c r="AE14" s="46"/>
      <c r="AF14" s="46"/>
      <c r="AG14" s="45"/>
      <c r="AH14" s="46"/>
      <c r="AI14" s="46"/>
      <c r="AJ14" s="46"/>
      <c r="AK14" s="46"/>
    </row>
    <row r="15" spans="1:37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9"/>
        <v>698.2</v>
      </c>
      <c r="N15" s="89">
        <f t="shared" si="10"/>
        <v>903</v>
      </c>
      <c r="O15" s="11">
        <f t="shared" si="6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72">
        <f t="shared" si="7"/>
        <v>2909.1000000000004</v>
      </c>
      <c r="W15" s="72">
        <f t="shared" si="8"/>
        <v>2144.1</v>
      </c>
      <c r="X15" s="11">
        <f t="shared" si="5"/>
        <v>73.70320717747757</v>
      </c>
      <c r="Y15" s="89">
        <f t="shared" si="11"/>
        <v>765.0000000000005</v>
      </c>
      <c r="Z15" s="90">
        <f t="shared" si="12"/>
        <v>37.70000000000027</v>
      </c>
      <c r="AA15" s="45"/>
      <c r="AB15" s="45"/>
      <c r="AC15" s="45"/>
      <c r="AD15" s="45"/>
      <c r="AE15" s="46"/>
      <c r="AF15" s="46"/>
      <c r="AG15" s="45"/>
      <c r="AH15" s="46"/>
      <c r="AI15" s="46"/>
      <c r="AJ15" s="46"/>
      <c r="AK15" s="46"/>
    </row>
    <row r="16" spans="1:37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9"/>
        <v>-12.8</v>
      </c>
      <c r="N16" s="89">
        <f t="shared" si="10"/>
        <v>26.9</v>
      </c>
      <c r="O16" s="11">
        <f t="shared" si="6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72">
        <f t="shared" si="7"/>
        <v>31</v>
      </c>
      <c r="W16" s="72">
        <f t="shared" si="8"/>
        <v>47.5</v>
      </c>
      <c r="X16" s="11">
        <f t="shared" si="5"/>
        <v>153.2258064516129</v>
      </c>
      <c r="Y16" s="89">
        <f t="shared" si="11"/>
        <v>-16.5</v>
      </c>
      <c r="Z16" s="90">
        <f t="shared" si="12"/>
        <v>-118.6</v>
      </c>
      <c r="AA16" s="45"/>
      <c r="AB16" s="45"/>
      <c r="AC16" s="45"/>
      <c r="AD16" s="45"/>
      <c r="AE16" s="46"/>
      <c r="AF16" s="46"/>
      <c r="AG16" s="45"/>
      <c r="AH16" s="46"/>
      <c r="AI16" s="46"/>
      <c r="AJ16" s="46"/>
      <c r="AK16" s="46"/>
    </row>
    <row r="17" spans="1:37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9"/>
        <v>1662.6</v>
      </c>
      <c r="N17" s="89">
        <f t="shared" si="10"/>
        <v>1456.1</v>
      </c>
      <c r="O17" s="11">
        <f t="shared" si="6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72">
        <f t="shared" si="7"/>
        <v>2865.5</v>
      </c>
      <c r="W17" s="72">
        <f t="shared" si="8"/>
        <v>2470</v>
      </c>
      <c r="X17" s="11">
        <f t="shared" si="5"/>
        <v>86.19787122666202</v>
      </c>
      <c r="Y17" s="89">
        <f t="shared" si="11"/>
        <v>395.5</v>
      </c>
      <c r="Z17" s="90">
        <f t="shared" si="12"/>
        <v>3742.7999999999993</v>
      </c>
      <c r="AA17" s="45"/>
      <c r="AB17" s="45"/>
      <c r="AC17" s="45"/>
      <c r="AD17" s="45"/>
      <c r="AE17" s="46"/>
      <c r="AF17" s="46"/>
      <c r="AG17" s="45"/>
      <c r="AH17" s="46"/>
      <c r="AI17" s="46"/>
      <c r="AJ17" s="46"/>
      <c r="AK17" s="46"/>
    </row>
    <row r="18" spans="1:37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9"/>
        <v>133.2</v>
      </c>
      <c r="N18" s="89">
        <f t="shared" si="10"/>
        <v>148.2</v>
      </c>
      <c r="O18" s="11">
        <f t="shared" si="6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72">
        <f t="shared" si="7"/>
        <v>334.2</v>
      </c>
      <c r="W18" s="72">
        <f t="shared" si="8"/>
        <v>274.2</v>
      </c>
      <c r="X18" s="11">
        <f t="shared" si="5"/>
        <v>82.04667863554758</v>
      </c>
      <c r="Y18" s="89">
        <f t="shared" si="11"/>
        <v>60</v>
      </c>
      <c r="Z18" s="90">
        <f t="shared" si="12"/>
        <v>-4.5</v>
      </c>
      <c r="AA18" s="45"/>
      <c r="AB18" s="45"/>
      <c r="AC18" s="45"/>
      <c r="AD18" s="45"/>
      <c r="AE18" s="46"/>
      <c r="AF18" s="46"/>
      <c r="AG18" s="45"/>
      <c r="AH18" s="46"/>
      <c r="AI18" s="46"/>
      <c r="AJ18" s="46"/>
      <c r="AK18" s="46"/>
    </row>
    <row r="19" spans="1:37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9"/>
        <v>230.3</v>
      </c>
      <c r="N19" s="89">
        <f t="shared" si="10"/>
        <v>748.3</v>
      </c>
      <c r="O19" s="11">
        <f t="shared" si="6"/>
        <v>324.92401215805467</v>
      </c>
      <c r="P19" s="44">
        <v>288</v>
      </c>
      <c r="Q19" s="44">
        <v>219</v>
      </c>
      <c r="R19" s="150">
        <f t="shared" si="3"/>
        <v>76.04166666666666</v>
      </c>
      <c r="S19" s="44">
        <v>1236.1</v>
      </c>
      <c r="T19" s="44">
        <v>315</v>
      </c>
      <c r="U19" s="150">
        <f t="shared" si="4"/>
        <v>25.483375131461855</v>
      </c>
      <c r="V19" s="72">
        <f t="shared" si="7"/>
        <v>1754.3999999999999</v>
      </c>
      <c r="W19" s="72">
        <f t="shared" si="8"/>
        <v>1282.3</v>
      </c>
      <c r="X19" s="11">
        <f t="shared" si="5"/>
        <v>73.0905152758778</v>
      </c>
      <c r="Y19" s="89">
        <f t="shared" si="11"/>
        <v>472.0999999999999</v>
      </c>
      <c r="Z19" s="90">
        <f t="shared" si="12"/>
        <v>394.5999999999999</v>
      </c>
      <c r="AA19" s="45"/>
      <c r="AB19" s="45"/>
      <c r="AC19" s="45"/>
      <c r="AD19" s="45"/>
      <c r="AE19" s="46"/>
      <c r="AF19" s="46"/>
      <c r="AG19" s="45"/>
      <c r="AH19" s="46"/>
      <c r="AI19" s="46"/>
      <c r="AJ19" s="46"/>
      <c r="AK19" s="46"/>
    </row>
    <row r="20" spans="1:37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9"/>
        <v>91.2</v>
      </c>
      <c r="N20" s="89">
        <f t="shared" si="10"/>
        <v>163.2</v>
      </c>
      <c r="O20" s="11">
        <f t="shared" si="6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72">
        <f t="shared" si="7"/>
        <v>449.1</v>
      </c>
      <c r="W20" s="72">
        <f t="shared" si="8"/>
        <v>265.09999999999997</v>
      </c>
      <c r="X20" s="11">
        <f t="shared" si="5"/>
        <v>59.02916945001112</v>
      </c>
      <c r="Y20" s="89">
        <f t="shared" si="11"/>
        <v>184.00000000000006</v>
      </c>
      <c r="Z20" s="90">
        <f t="shared" si="12"/>
        <v>137.10000000000008</v>
      </c>
      <c r="AA20" s="45"/>
      <c r="AB20" s="45"/>
      <c r="AC20" s="45"/>
      <c r="AD20" s="45"/>
      <c r="AE20" s="46"/>
      <c r="AF20" s="46"/>
      <c r="AG20" s="45"/>
      <c r="AH20" s="46"/>
      <c r="AI20" s="46"/>
      <c r="AJ20" s="46"/>
      <c r="AK20" s="46"/>
    </row>
    <row r="21" spans="1:37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13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9"/>
        <v>30.6</v>
      </c>
      <c r="N21" s="89">
        <f t="shared" si="10"/>
        <v>25.1</v>
      </c>
      <c r="O21" s="11">
        <f t="shared" si="6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72">
        <f t="shared" si="7"/>
        <v>43.1</v>
      </c>
      <c r="W21" s="72">
        <f t="shared" si="8"/>
        <v>37.800000000000004</v>
      </c>
      <c r="X21" s="11">
        <f t="shared" si="5"/>
        <v>87.70301624129931</v>
      </c>
      <c r="Y21" s="89">
        <f t="shared" si="11"/>
        <v>5.299999999999997</v>
      </c>
      <c r="Z21" s="90">
        <f t="shared" si="12"/>
        <v>12</v>
      </c>
      <c r="AA21" s="45"/>
      <c r="AB21" s="45"/>
      <c r="AC21" s="45"/>
      <c r="AD21" s="45"/>
      <c r="AE21" s="46"/>
      <c r="AF21" s="46"/>
      <c r="AG21" s="45"/>
      <c r="AH21" s="46"/>
      <c r="AI21" s="46"/>
      <c r="AJ21" s="46"/>
      <c r="AK21" s="46"/>
    </row>
    <row r="22" spans="1:37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13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9"/>
        <v>270.1</v>
      </c>
      <c r="N22" s="89">
        <f t="shared" si="10"/>
        <v>211.5</v>
      </c>
      <c r="O22" s="11">
        <f t="shared" si="6"/>
        <v>78.30433172898925</v>
      </c>
      <c r="P22" s="44">
        <v>177.5</v>
      </c>
      <c r="Q22" s="44">
        <v>56.9</v>
      </c>
      <c r="R22" s="152">
        <f t="shared" si="3"/>
        <v>32.056338028169016</v>
      </c>
      <c r="S22" s="44">
        <v>55.9</v>
      </c>
      <c r="T22" s="44">
        <v>150</v>
      </c>
      <c r="U22" s="152">
        <f t="shared" si="4"/>
        <v>268.3363148479428</v>
      </c>
      <c r="V22" s="72">
        <f t="shared" si="7"/>
        <v>503.5</v>
      </c>
      <c r="W22" s="72">
        <f t="shared" si="8"/>
        <v>418.4</v>
      </c>
      <c r="X22" s="11">
        <f t="shared" si="5"/>
        <v>83.09831181727904</v>
      </c>
      <c r="Y22" s="89">
        <f t="shared" si="11"/>
        <v>85.10000000000002</v>
      </c>
      <c r="Z22" s="90">
        <f t="shared" si="12"/>
        <v>332.30000000000007</v>
      </c>
      <c r="AA22" s="45"/>
      <c r="AB22" s="45"/>
      <c r="AC22" s="45"/>
      <c r="AD22" s="45"/>
      <c r="AE22" s="46"/>
      <c r="AF22" s="46"/>
      <c r="AG22" s="45"/>
      <c r="AH22" s="46"/>
      <c r="AI22" s="46"/>
      <c r="AJ22" s="46"/>
      <c r="AK22" s="46"/>
    </row>
    <row r="23" spans="1:37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9"/>
        <v>-3.3</v>
      </c>
      <c r="N23" s="89">
        <f t="shared" si="10"/>
        <v>26.7</v>
      </c>
      <c r="O23" s="11">
        <f t="shared" si="6"/>
        <v>-809.0909090909091</v>
      </c>
      <c r="P23" s="44">
        <v>14.9</v>
      </c>
      <c r="Q23" s="44">
        <v>7.7</v>
      </c>
      <c r="R23" s="152">
        <f t="shared" si="3"/>
        <v>51.67785234899329</v>
      </c>
      <c r="S23" s="44">
        <v>84.4</v>
      </c>
      <c r="T23" s="44">
        <v>12.2</v>
      </c>
      <c r="U23" s="152">
        <f t="shared" si="4"/>
        <v>14.454976303317535</v>
      </c>
      <c r="V23" s="72">
        <f t="shared" si="7"/>
        <v>96</v>
      </c>
      <c r="W23" s="72">
        <f t="shared" si="8"/>
        <v>46.599999999999994</v>
      </c>
      <c r="X23" s="11">
        <f t="shared" si="5"/>
        <v>48.54166666666666</v>
      </c>
      <c r="Y23" s="89">
        <f t="shared" si="11"/>
        <v>49.400000000000006</v>
      </c>
      <c r="Z23" s="90">
        <f t="shared" si="12"/>
        <v>-36.39999999999999</v>
      </c>
      <c r="AA23" s="45"/>
      <c r="AB23" s="45"/>
      <c r="AC23" s="45"/>
      <c r="AD23" s="45"/>
      <c r="AE23" s="46"/>
      <c r="AF23" s="46"/>
      <c r="AG23" s="45"/>
      <c r="AH23" s="46"/>
      <c r="AI23" s="46"/>
      <c r="AJ23" s="46"/>
      <c r="AK23" s="46"/>
    </row>
    <row r="24" spans="1:37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13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9"/>
        <v>836.2</v>
      </c>
      <c r="N24" s="89">
        <f t="shared" si="10"/>
        <v>1812.3000000000002</v>
      </c>
      <c r="O24" s="11">
        <f t="shared" si="6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72">
        <f t="shared" si="7"/>
        <v>4697.3</v>
      </c>
      <c r="W24" s="72">
        <f t="shared" si="8"/>
        <v>3099.6</v>
      </c>
      <c r="X24" s="11">
        <f t="shared" si="5"/>
        <v>65.98684350584378</v>
      </c>
      <c r="Y24" s="89">
        <f t="shared" si="11"/>
        <v>1597.7000000000003</v>
      </c>
      <c r="Z24" s="90">
        <f t="shared" si="12"/>
        <v>-78.59999999999991</v>
      </c>
      <c r="AA24" s="45"/>
      <c r="AB24" s="45"/>
      <c r="AC24" s="45"/>
      <c r="AD24" s="45"/>
      <c r="AE24" s="46"/>
      <c r="AF24" s="46"/>
      <c r="AG24" s="45"/>
      <c r="AH24" s="46"/>
      <c r="AI24" s="46"/>
      <c r="AJ24" s="46"/>
      <c r="AK24" s="46"/>
    </row>
    <row r="25" spans="1:37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13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9"/>
        <v>-77.1</v>
      </c>
      <c r="N25" s="89">
        <f t="shared" si="10"/>
        <v>209.7</v>
      </c>
      <c r="O25" s="11">
        <f t="shared" si="6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72">
        <f t="shared" si="7"/>
        <v>815.6999999999999</v>
      </c>
      <c r="W25" s="72">
        <f t="shared" si="8"/>
        <v>370.40000000000003</v>
      </c>
      <c r="X25" s="11">
        <f t="shared" si="5"/>
        <v>45.40885129336767</v>
      </c>
      <c r="Y25" s="89">
        <f t="shared" si="11"/>
        <v>445.2999999999999</v>
      </c>
      <c r="Z25" s="90">
        <f t="shared" si="12"/>
        <v>-280.1000000000001</v>
      </c>
      <c r="AA25" s="45"/>
      <c r="AB25" s="45"/>
      <c r="AC25" s="45"/>
      <c r="AD25" s="45"/>
      <c r="AE25" s="46"/>
      <c r="AF25" s="46"/>
      <c r="AG25" s="45"/>
      <c r="AH25" s="46"/>
      <c r="AI25" s="46"/>
      <c r="AJ25" s="46"/>
      <c r="AK25" s="46"/>
    </row>
    <row r="26" spans="1:37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13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9"/>
        <v>53.6</v>
      </c>
      <c r="N26" s="89">
        <f t="shared" si="10"/>
        <v>24.1</v>
      </c>
      <c r="O26" s="11">
        <f t="shared" si="6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72">
        <f t="shared" si="7"/>
        <v>85.89999999999999</v>
      </c>
      <c r="W26" s="72">
        <f t="shared" si="8"/>
        <v>41.1</v>
      </c>
      <c r="X26" s="11">
        <f t="shared" si="5"/>
        <v>47.84633294528522</v>
      </c>
      <c r="Y26" s="89">
        <f t="shared" si="11"/>
        <v>44.79999999999999</v>
      </c>
      <c r="Z26" s="90">
        <f t="shared" si="12"/>
        <v>108.29999999999998</v>
      </c>
      <c r="AA26" s="45"/>
      <c r="AB26" s="45"/>
      <c r="AC26" s="45"/>
      <c r="AD26" s="45"/>
      <c r="AE26" s="46"/>
      <c r="AF26" s="46"/>
      <c r="AG26" s="45"/>
      <c r="AH26" s="46"/>
      <c r="AI26" s="46"/>
      <c r="AJ26" s="46"/>
      <c r="AK26" s="46"/>
    </row>
    <row r="27" spans="1:37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13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9"/>
        <v>-679.9</v>
      </c>
      <c r="N27" s="89">
        <f t="shared" si="10"/>
        <v>290</v>
      </c>
      <c r="O27" s="11">
        <f t="shared" si="6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72">
        <f t="shared" si="7"/>
        <v>1264.6999999999998</v>
      </c>
      <c r="W27" s="72">
        <f t="shared" si="8"/>
        <v>503.9</v>
      </c>
      <c r="X27" s="11">
        <f t="shared" si="5"/>
        <v>39.84344113228434</v>
      </c>
      <c r="Y27" s="89">
        <f t="shared" si="11"/>
        <v>760.7999999999998</v>
      </c>
      <c r="Z27" s="90">
        <f t="shared" si="12"/>
        <v>-882.4000000000002</v>
      </c>
      <c r="AA27" s="45"/>
      <c r="AB27" s="45"/>
      <c r="AC27" s="45"/>
      <c r="AD27" s="45"/>
      <c r="AE27" s="46"/>
      <c r="AF27" s="46"/>
      <c r="AG27" s="45"/>
      <c r="AH27" s="46"/>
      <c r="AI27" s="46"/>
      <c r="AJ27" s="46"/>
      <c r="AK27" s="46"/>
    </row>
    <row r="28" spans="1:37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13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9"/>
        <v>101.6</v>
      </c>
      <c r="N28" s="89">
        <f t="shared" si="10"/>
        <v>204.7</v>
      </c>
      <c r="O28" s="11">
        <f t="shared" si="6"/>
        <v>201.4763779527559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72">
        <f t="shared" si="7"/>
        <v>333.9</v>
      </c>
      <c r="W28" s="72">
        <f t="shared" si="8"/>
        <v>342</v>
      </c>
      <c r="X28" s="11">
        <f t="shared" si="5"/>
        <v>102.42587601078168</v>
      </c>
      <c r="Y28" s="89">
        <f t="shared" si="11"/>
        <v>-8.100000000000023</v>
      </c>
      <c r="Z28" s="90">
        <f t="shared" si="12"/>
        <v>-184.40000000000003</v>
      </c>
      <c r="AA28" s="45"/>
      <c r="AB28" s="45"/>
      <c r="AC28" s="45"/>
      <c r="AD28" s="45"/>
      <c r="AE28" s="46"/>
      <c r="AF28" s="46"/>
      <c r="AG28" s="45"/>
      <c r="AH28" s="46"/>
      <c r="AI28" s="46"/>
      <c r="AJ28" s="46"/>
      <c r="AK28" s="46"/>
    </row>
    <row r="29" spans="1:37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72">
        <f t="shared" si="7"/>
        <v>0</v>
      </c>
      <c r="W29" s="72">
        <f t="shared" si="8"/>
        <v>0</v>
      </c>
      <c r="X29" s="66"/>
      <c r="Y29" s="89"/>
      <c r="Z29" s="100"/>
      <c r="AA29" s="45"/>
      <c r="AB29" s="101"/>
      <c r="AC29" s="45"/>
      <c r="AD29" s="45"/>
      <c r="AE29" s="46"/>
      <c r="AF29" s="46"/>
      <c r="AG29" s="45"/>
      <c r="AH29" s="46"/>
      <c r="AI29" s="46"/>
      <c r="AJ29" s="46"/>
      <c r="AK29" s="46"/>
    </row>
    <row r="30" spans="1:37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14" ref="I30:I35">H30/G30*100</f>
        <v>230.7692307692308</v>
      </c>
      <c r="J30" s="44">
        <v>33.4</v>
      </c>
      <c r="K30" s="44">
        <v>37.4</v>
      </c>
      <c r="L30" s="75">
        <f aca="true" t="shared" si="15" ref="L30:L43">K30/J30*100</f>
        <v>111.97604790419162</v>
      </c>
      <c r="M30" s="89">
        <f t="shared" si="9"/>
        <v>59.3</v>
      </c>
      <c r="N30" s="89">
        <f t="shared" si="10"/>
        <v>106.9</v>
      </c>
      <c r="O30" s="11">
        <f t="shared" si="6"/>
        <v>180.26981450252953</v>
      </c>
      <c r="P30" s="44">
        <v>52.8</v>
      </c>
      <c r="Q30" s="44">
        <v>41.9</v>
      </c>
      <c r="R30" s="150">
        <f aca="true" t="shared" si="16" ref="R30:R41">Q30/P30*100</f>
        <v>79.35606060606061</v>
      </c>
      <c r="S30" s="44">
        <v>234.5</v>
      </c>
      <c r="T30" s="44">
        <v>51.8</v>
      </c>
      <c r="U30" s="150">
        <f aca="true" t="shared" si="17" ref="U30:U41">T30/S30*100</f>
        <v>22.089552238805968</v>
      </c>
      <c r="V30" s="72">
        <f t="shared" si="7"/>
        <v>346.6</v>
      </c>
      <c r="W30" s="72">
        <f t="shared" si="8"/>
        <v>200.60000000000002</v>
      </c>
      <c r="X30" s="11">
        <f t="shared" si="5"/>
        <v>57.876514714368156</v>
      </c>
      <c r="Y30" s="89">
        <f t="shared" si="11"/>
        <v>146</v>
      </c>
      <c r="Z30" s="90">
        <f t="shared" si="12"/>
        <v>-141.7</v>
      </c>
      <c r="AA30" s="45"/>
      <c r="AB30" s="45"/>
      <c r="AC30" s="45"/>
      <c r="AD30" s="45"/>
      <c r="AE30" s="46"/>
      <c r="AF30" s="46"/>
      <c r="AG30" s="45"/>
      <c r="AH30" s="46"/>
      <c r="AI30" s="46"/>
      <c r="AJ30" s="46"/>
      <c r="AK30" s="46"/>
    </row>
    <row r="31" spans="1:37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14"/>
        <v>-76.44110275689223</v>
      </c>
      <c r="J31" s="44">
        <v>-44.1</v>
      </c>
      <c r="K31" s="44">
        <v>31.4</v>
      </c>
      <c r="L31" s="75">
        <f t="shared" si="15"/>
        <v>-71.20181405895691</v>
      </c>
      <c r="M31" s="89">
        <f t="shared" si="9"/>
        <v>-132.5</v>
      </c>
      <c r="N31" s="89">
        <f t="shared" si="10"/>
        <v>92.4</v>
      </c>
      <c r="O31" s="11">
        <f t="shared" si="6"/>
        <v>-69.73584905660378</v>
      </c>
      <c r="P31" s="44">
        <v>34.3</v>
      </c>
      <c r="Q31" s="44">
        <v>27.1</v>
      </c>
      <c r="R31" s="150">
        <f t="shared" si="16"/>
        <v>79.00874635568515</v>
      </c>
      <c r="S31" s="44">
        <v>97.4</v>
      </c>
      <c r="T31" s="44">
        <v>41.9</v>
      </c>
      <c r="U31" s="150">
        <f t="shared" si="17"/>
        <v>43.01848049281314</v>
      </c>
      <c r="V31" s="72">
        <f t="shared" si="7"/>
        <v>-0.7999999999999972</v>
      </c>
      <c r="W31" s="72">
        <f t="shared" si="8"/>
        <v>161.4</v>
      </c>
      <c r="X31" s="11">
        <f t="shared" si="5"/>
        <v>-20175.000000000073</v>
      </c>
      <c r="Y31" s="89">
        <f t="shared" si="11"/>
        <v>-162.2</v>
      </c>
      <c r="Z31" s="90">
        <f t="shared" si="12"/>
        <v>-1259.7</v>
      </c>
      <c r="AA31" s="45"/>
      <c r="AB31" s="45"/>
      <c r="AC31" s="45"/>
      <c r="AD31" s="45"/>
      <c r="AE31" s="46"/>
      <c r="AF31" s="46"/>
      <c r="AG31" s="45"/>
      <c r="AH31" s="46"/>
      <c r="AI31" s="46"/>
      <c r="AJ31" s="46"/>
      <c r="AK31" s="46"/>
    </row>
    <row r="32" spans="1:37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14"/>
        <v>141.2829798241076</v>
      </c>
      <c r="J32" s="44">
        <v>583.5</v>
      </c>
      <c r="K32" s="44">
        <v>891.4</v>
      </c>
      <c r="L32" s="11">
        <f t="shared" si="15"/>
        <v>152.76778063410455</v>
      </c>
      <c r="M32" s="89">
        <f t="shared" si="9"/>
        <v>1896.9</v>
      </c>
      <c r="N32" s="89">
        <f t="shared" si="10"/>
        <v>2566.5</v>
      </c>
      <c r="O32" s="11">
        <f t="shared" si="6"/>
        <v>135.29969950972637</v>
      </c>
      <c r="P32" s="44">
        <v>1047.1</v>
      </c>
      <c r="Q32" s="44">
        <v>653.6</v>
      </c>
      <c r="R32" s="11">
        <f t="shared" si="16"/>
        <v>62.42001719033522</v>
      </c>
      <c r="S32" s="44">
        <v>1995.4</v>
      </c>
      <c r="T32" s="44">
        <v>984</v>
      </c>
      <c r="U32" s="11">
        <f t="shared" si="17"/>
        <v>49.313420867996385</v>
      </c>
      <c r="V32" s="72">
        <f t="shared" si="7"/>
        <v>4939.4</v>
      </c>
      <c r="W32" s="72">
        <f t="shared" si="8"/>
        <v>4204.1</v>
      </c>
      <c r="X32" s="11">
        <f t="shared" si="5"/>
        <v>85.11357654775885</v>
      </c>
      <c r="Y32" s="89">
        <f t="shared" si="11"/>
        <v>735.2999999999993</v>
      </c>
      <c r="Z32" s="90">
        <f t="shared" si="12"/>
        <v>2390.2999999999993</v>
      </c>
      <c r="AA32" s="45"/>
      <c r="AB32" s="45"/>
      <c r="AC32" s="45"/>
      <c r="AD32" s="45"/>
      <c r="AE32" s="46"/>
      <c r="AF32" s="46"/>
      <c r="AG32" s="45"/>
      <c r="AH32" s="46"/>
      <c r="AI32" s="46"/>
      <c r="AJ32" s="46"/>
      <c r="AK32" s="46"/>
    </row>
    <row r="33" spans="1:37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14"/>
        <v>87.32452518579686</v>
      </c>
      <c r="J33" s="44">
        <v>149.7</v>
      </c>
      <c r="K33" s="44">
        <v>252.2</v>
      </c>
      <c r="L33" s="11">
        <f t="shared" si="15"/>
        <v>168.47027388109552</v>
      </c>
      <c r="M33" s="89">
        <f t="shared" si="9"/>
        <v>586.2</v>
      </c>
      <c r="N33" s="89">
        <f t="shared" si="10"/>
        <v>657.4</v>
      </c>
      <c r="O33" s="11">
        <f t="shared" si="6"/>
        <v>112.14602524735584</v>
      </c>
      <c r="P33" s="44">
        <v>339.7</v>
      </c>
      <c r="Q33" s="44">
        <v>177.6</v>
      </c>
      <c r="R33" s="11">
        <f t="shared" si="16"/>
        <v>52.281424786576395</v>
      </c>
      <c r="S33" s="44">
        <v>525.4</v>
      </c>
      <c r="T33" s="44">
        <v>285.4</v>
      </c>
      <c r="U33" s="11">
        <f t="shared" si="17"/>
        <v>54.320517700799385</v>
      </c>
      <c r="V33" s="72">
        <f t="shared" si="7"/>
        <v>1451.3000000000002</v>
      </c>
      <c r="W33" s="72">
        <f t="shared" si="8"/>
        <v>1120.4</v>
      </c>
      <c r="X33" s="11">
        <f t="shared" si="5"/>
        <v>77.1997519465307</v>
      </c>
      <c r="Y33" s="89">
        <f t="shared" si="11"/>
        <v>330.9000000000001</v>
      </c>
      <c r="Z33" s="90">
        <f t="shared" si="12"/>
        <v>1170.2000000000003</v>
      </c>
      <c r="AA33" s="45"/>
      <c r="AB33" s="45"/>
      <c r="AC33" s="45"/>
      <c r="AD33" s="45"/>
      <c r="AE33" s="46"/>
      <c r="AF33" s="46"/>
      <c r="AG33" s="45"/>
      <c r="AH33" s="46"/>
      <c r="AI33" s="46"/>
      <c r="AJ33" s="46"/>
      <c r="AK33" s="46"/>
    </row>
    <row r="34" spans="1:37" ht="24.75" customHeight="1">
      <c r="A34" s="13" t="s">
        <v>39</v>
      </c>
      <c r="B34" s="47" t="s">
        <v>115</v>
      </c>
      <c r="C34" s="91">
        <v>-1182.7</v>
      </c>
      <c r="D34" s="79">
        <v>-82.2</v>
      </c>
      <c r="E34" s="79">
        <v>33.4</v>
      </c>
      <c r="F34" s="11">
        <f>E34/D34*100</f>
        <v>-40.63260340632603</v>
      </c>
      <c r="G34" s="44">
        <v>-74</v>
      </c>
      <c r="H34" s="44">
        <v>38.8</v>
      </c>
      <c r="I34" s="11">
        <f t="shared" si="14"/>
        <v>-52.43243243243243</v>
      </c>
      <c r="J34" s="44">
        <v>-69</v>
      </c>
      <c r="K34" s="44">
        <v>34.6</v>
      </c>
      <c r="L34" s="11">
        <f t="shared" si="15"/>
        <v>-50.14492753623189</v>
      </c>
      <c r="M34" s="89">
        <f t="shared" si="9"/>
        <v>-225.2</v>
      </c>
      <c r="N34" s="89">
        <f t="shared" si="10"/>
        <v>106.79999999999998</v>
      </c>
      <c r="O34" s="11">
        <f t="shared" si="6"/>
        <v>-47.42451154529307</v>
      </c>
      <c r="P34" s="44">
        <v>21.9</v>
      </c>
      <c r="Q34" s="44">
        <v>29.2</v>
      </c>
      <c r="R34" s="11">
        <f t="shared" si="16"/>
        <v>133.33333333333334</v>
      </c>
      <c r="S34" s="44">
        <v>872.8</v>
      </c>
      <c r="T34" s="44">
        <v>52.1</v>
      </c>
      <c r="U34" s="11">
        <f t="shared" si="17"/>
        <v>5.96929422548121</v>
      </c>
      <c r="V34" s="72">
        <f t="shared" si="7"/>
        <v>669.5</v>
      </c>
      <c r="W34" s="72">
        <f t="shared" si="8"/>
        <v>188.09999999999997</v>
      </c>
      <c r="X34" s="11">
        <f t="shared" si="5"/>
        <v>28.095593726661683</v>
      </c>
      <c r="Y34" s="89">
        <f t="shared" si="11"/>
        <v>481.40000000000003</v>
      </c>
      <c r="Z34" s="90">
        <f t="shared" si="12"/>
        <v>-701.3</v>
      </c>
      <c r="AA34" s="45"/>
      <c r="AB34" s="45"/>
      <c r="AC34" s="45"/>
      <c r="AD34" s="45"/>
      <c r="AE34" s="46"/>
      <c r="AF34" s="46"/>
      <c r="AG34" s="45"/>
      <c r="AH34" s="46"/>
      <c r="AI34" s="46"/>
      <c r="AJ34" s="46"/>
      <c r="AK34" s="46"/>
    </row>
    <row r="35" spans="1:37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18" ref="F35:F41">E35/D35*100</f>
        <v>1987.28813559322</v>
      </c>
      <c r="G35" s="44">
        <v>-18</v>
      </c>
      <c r="H35" s="44">
        <v>501.9</v>
      </c>
      <c r="I35" s="11">
        <f t="shared" si="14"/>
        <v>-2788.3333333333335</v>
      </c>
      <c r="J35" s="44">
        <v>22.2</v>
      </c>
      <c r="K35" s="44">
        <v>537.4</v>
      </c>
      <c r="L35" s="11">
        <f t="shared" si="15"/>
        <v>2420.7207207207207</v>
      </c>
      <c r="M35" s="89">
        <f t="shared" si="9"/>
        <v>27.8</v>
      </c>
      <c r="N35" s="89">
        <f t="shared" si="10"/>
        <v>1508.3</v>
      </c>
      <c r="O35" s="11">
        <f t="shared" si="6"/>
        <v>5425.5395683453235</v>
      </c>
      <c r="P35" s="44">
        <v>628.5</v>
      </c>
      <c r="Q35" s="44">
        <v>475.1</v>
      </c>
      <c r="R35" s="11">
        <f t="shared" si="16"/>
        <v>75.59268098647574</v>
      </c>
      <c r="S35" s="44">
        <v>1848.2</v>
      </c>
      <c r="T35" s="44">
        <v>-2609.6</v>
      </c>
      <c r="U35" s="11">
        <f t="shared" si="17"/>
        <v>-141.19684016881288</v>
      </c>
      <c r="V35" s="72">
        <f t="shared" si="7"/>
        <v>2504.5</v>
      </c>
      <c r="W35" s="72">
        <f t="shared" si="8"/>
        <v>-626.1999999999998</v>
      </c>
      <c r="X35" s="11">
        <f t="shared" si="5"/>
        <v>-25.00299460970253</v>
      </c>
      <c r="Y35" s="89">
        <f t="shared" si="11"/>
        <v>3130.7</v>
      </c>
      <c r="Z35" s="90">
        <f t="shared" si="12"/>
        <v>-432.3000000000002</v>
      </c>
      <c r="AA35" s="45"/>
      <c r="AB35" s="45"/>
      <c r="AC35" s="45"/>
      <c r="AD35" s="45"/>
      <c r="AE35" s="46"/>
      <c r="AF35" s="46"/>
      <c r="AG35" s="45"/>
      <c r="AH35" s="46"/>
      <c r="AI35" s="46"/>
      <c r="AJ35" s="46"/>
      <c r="AK35" s="46"/>
    </row>
    <row r="36" spans="1:37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18"/>
        <v>-13561.111111111111</v>
      </c>
      <c r="G36" s="44">
        <f>-51.5+5.5</f>
        <v>-46</v>
      </c>
      <c r="H36" s="44">
        <f>477.2+15</f>
        <v>492.2</v>
      </c>
      <c r="I36" s="11">
        <f aca="true" t="shared" si="19" ref="I36:I41">H36/G36*100</f>
        <v>-1070</v>
      </c>
      <c r="J36" s="44">
        <f>-0.8+5.5</f>
        <v>4.7</v>
      </c>
      <c r="K36" s="44">
        <f>480.1+16</f>
        <v>496.1</v>
      </c>
      <c r="L36" s="11">
        <f t="shared" si="15"/>
        <v>10555.31914893617</v>
      </c>
      <c r="M36" s="89">
        <f t="shared" si="9"/>
        <v>-44.9</v>
      </c>
      <c r="N36" s="89">
        <f t="shared" si="10"/>
        <v>1476.5</v>
      </c>
      <c r="O36" s="11">
        <f t="shared" si="6"/>
        <v>-3288.4187082405347</v>
      </c>
      <c r="P36" s="44">
        <f>16.2+360.6</f>
        <v>376.8</v>
      </c>
      <c r="Q36" s="44">
        <f>15.4+44.1</f>
        <v>59.5</v>
      </c>
      <c r="R36" s="11">
        <f t="shared" si="16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17"/>
        <v>13.235230749342868</v>
      </c>
      <c r="V36" s="72">
        <f t="shared" si="7"/>
        <v>4973.3</v>
      </c>
      <c r="W36" s="72">
        <f t="shared" si="8"/>
        <v>2150.3</v>
      </c>
      <c r="X36" s="11">
        <f t="shared" si="5"/>
        <v>43.23688496571693</v>
      </c>
      <c r="Y36" s="89">
        <f t="shared" si="11"/>
        <v>2823</v>
      </c>
      <c r="Z36" s="90">
        <f t="shared" si="12"/>
        <v>-3201.7</v>
      </c>
      <c r="AA36" s="45"/>
      <c r="AB36" s="45"/>
      <c r="AC36" s="45"/>
      <c r="AD36" s="45"/>
      <c r="AE36" s="46"/>
      <c r="AF36" s="46"/>
      <c r="AG36" s="45"/>
      <c r="AH36" s="46"/>
      <c r="AI36" s="46"/>
      <c r="AJ36" s="46"/>
      <c r="AK36" s="46"/>
    </row>
    <row r="37" spans="1:37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18"/>
        <v>-227.84352399737017</v>
      </c>
      <c r="G37" s="44">
        <v>-262.5</v>
      </c>
      <c r="H37" s="44">
        <v>680.5</v>
      </c>
      <c r="I37" s="11">
        <f t="shared" si="19"/>
        <v>-259.23809523809524</v>
      </c>
      <c r="J37" s="44">
        <v>-558.3</v>
      </c>
      <c r="K37" s="44">
        <v>703.2</v>
      </c>
      <c r="L37" s="11">
        <f t="shared" si="15"/>
        <v>-125.95378828586783</v>
      </c>
      <c r="M37" s="89">
        <f t="shared" si="9"/>
        <v>-1125</v>
      </c>
      <c r="N37" s="89">
        <f t="shared" si="10"/>
        <v>2076.8</v>
      </c>
      <c r="O37" s="11">
        <f t="shared" si="6"/>
        <v>-184.60444444444445</v>
      </c>
      <c r="P37" s="44">
        <v>850.9</v>
      </c>
      <c r="Q37" s="44">
        <v>595.8</v>
      </c>
      <c r="R37" s="11">
        <f t="shared" si="16"/>
        <v>70.01997884592784</v>
      </c>
      <c r="S37" s="44">
        <v>9225.9</v>
      </c>
      <c r="T37" s="44">
        <v>820.7</v>
      </c>
      <c r="U37" s="11">
        <f t="shared" si="17"/>
        <v>8.895609100467164</v>
      </c>
      <c r="V37" s="72">
        <f t="shared" si="7"/>
        <v>8951.8</v>
      </c>
      <c r="W37" s="72">
        <f t="shared" si="8"/>
        <v>3493.3</v>
      </c>
      <c r="X37" s="11">
        <f t="shared" si="5"/>
        <v>39.0234366272705</v>
      </c>
      <c r="Y37" s="89">
        <f t="shared" si="11"/>
        <v>5458.499999999999</v>
      </c>
      <c r="Z37" s="90">
        <f t="shared" si="12"/>
        <v>12380.399999999998</v>
      </c>
      <c r="AA37" s="45"/>
      <c r="AB37" s="45"/>
      <c r="AC37" s="45"/>
      <c r="AD37" s="45"/>
      <c r="AE37" s="46"/>
      <c r="AF37" s="46"/>
      <c r="AG37" s="45"/>
      <c r="AH37" s="46"/>
      <c r="AI37" s="46"/>
      <c r="AJ37" s="46"/>
      <c r="AK37" s="46"/>
    </row>
    <row r="38" spans="1:37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18"/>
        <v>173.85854968666067</v>
      </c>
      <c r="G38" s="44">
        <v>128.7</v>
      </c>
      <c r="H38" s="44">
        <v>220.2</v>
      </c>
      <c r="I38" s="11">
        <f t="shared" si="19"/>
        <v>171.0955710955711</v>
      </c>
      <c r="J38" s="44">
        <v>129.1</v>
      </c>
      <c r="K38" s="44">
        <v>236</v>
      </c>
      <c r="L38" s="11">
        <f t="shared" si="15"/>
        <v>182.8040278853602</v>
      </c>
      <c r="M38" s="89">
        <f t="shared" si="9"/>
        <v>369.5</v>
      </c>
      <c r="N38" s="89">
        <f t="shared" si="10"/>
        <v>650.4</v>
      </c>
      <c r="O38" s="11">
        <f t="shared" si="6"/>
        <v>176.02165087956698</v>
      </c>
      <c r="P38" s="44">
        <v>307.3</v>
      </c>
      <c r="Q38" s="44">
        <v>210</v>
      </c>
      <c r="R38" s="11">
        <f t="shared" si="16"/>
        <v>68.3371298405467</v>
      </c>
      <c r="S38" s="44">
        <v>470.1</v>
      </c>
      <c r="T38" s="44">
        <v>-254.3</v>
      </c>
      <c r="U38" s="11">
        <f t="shared" si="17"/>
        <v>-54.09487343118485</v>
      </c>
      <c r="V38" s="72">
        <f t="shared" si="7"/>
        <v>1146.9</v>
      </c>
      <c r="W38" s="72">
        <f t="shared" si="8"/>
        <v>606.0999999999999</v>
      </c>
      <c r="X38" s="11">
        <f t="shared" si="5"/>
        <v>52.84680442933123</v>
      </c>
      <c r="Y38" s="89">
        <f t="shared" si="11"/>
        <v>540.8000000000002</v>
      </c>
      <c r="Z38" s="90">
        <f t="shared" si="12"/>
        <v>1216.2000000000003</v>
      </c>
      <c r="AA38" s="45"/>
      <c r="AB38" s="45"/>
      <c r="AC38" s="45"/>
      <c r="AD38" s="45"/>
      <c r="AE38" s="46"/>
      <c r="AF38" s="46"/>
      <c r="AG38" s="45"/>
      <c r="AH38" s="46"/>
      <c r="AI38" s="46"/>
      <c r="AJ38" s="46"/>
      <c r="AK38" s="46"/>
    </row>
    <row r="39" spans="1:37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18"/>
        <v>-166.6176470588235</v>
      </c>
      <c r="G39" s="44">
        <v>-216.7</v>
      </c>
      <c r="H39" s="44">
        <v>365.9</v>
      </c>
      <c r="I39" s="11">
        <f t="shared" si="19"/>
        <v>-168.8509460083064</v>
      </c>
      <c r="J39" s="44">
        <v>-262.3</v>
      </c>
      <c r="K39" s="44">
        <v>371.7</v>
      </c>
      <c r="L39" s="11">
        <f t="shared" si="15"/>
        <v>-141.70796797560047</v>
      </c>
      <c r="M39" s="89">
        <f t="shared" si="9"/>
        <v>-683</v>
      </c>
      <c r="N39" s="89">
        <f t="shared" si="10"/>
        <v>1077.5</v>
      </c>
      <c r="O39" s="11">
        <f t="shared" si="6"/>
        <v>-157.75988286969255</v>
      </c>
      <c r="P39" s="44">
        <v>414.1</v>
      </c>
      <c r="Q39" s="44">
        <v>332.2</v>
      </c>
      <c r="R39" s="11">
        <f t="shared" si="16"/>
        <v>80.22216855831924</v>
      </c>
      <c r="S39" s="44">
        <v>4434</v>
      </c>
      <c r="T39" s="44">
        <v>429.8</v>
      </c>
      <c r="U39" s="11">
        <f t="shared" si="17"/>
        <v>9.693279206134415</v>
      </c>
      <c r="V39" s="72">
        <f t="shared" si="7"/>
        <v>4165.1</v>
      </c>
      <c r="W39" s="72">
        <f t="shared" si="8"/>
        <v>1839.5</v>
      </c>
      <c r="X39" s="11">
        <f t="shared" si="5"/>
        <v>44.16460589181532</v>
      </c>
      <c r="Y39" s="89">
        <f t="shared" si="11"/>
        <v>2325.6000000000004</v>
      </c>
      <c r="Z39" s="90">
        <f t="shared" si="12"/>
        <v>-1164.8999999999996</v>
      </c>
      <c r="AA39" s="45"/>
      <c r="AB39" s="45"/>
      <c r="AC39" s="45"/>
      <c r="AD39" s="45"/>
      <c r="AE39" s="46"/>
      <c r="AF39" s="46"/>
      <c r="AG39" s="45"/>
      <c r="AH39" s="46"/>
      <c r="AI39" s="46"/>
      <c r="AJ39" s="46"/>
      <c r="AK39" s="46"/>
    </row>
    <row r="40" spans="1:37" ht="24.75" customHeight="1">
      <c r="A40" s="13" t="s">
        <v>45</v>
      </c>
      <c r="B40" s="15" t="s">
        <v>119</v>
      </c>
      <c r="C40" s="88">
        <v>2198.7</v>
      </c>
      <c r="D40" s="44">
        <v>371.7</v>
      </c>
      <c r="E40" s="44">
        <v>509.8</v>
      </c>
      <c r="F40" s="11">
        <f t="shared" si="18"/>
        <v>137.1536185095507</v>
      </c>
      <c r="G40" s="44">
        <v>355.9</v>
      </c>
      <c r="H40" s="44">
        <v>516.9</v>
      </c>
      <c r="I40" s="11">
        <f t="shared" si="19"/>
        <v>145.23742624332678</v>
      </c>
      <c r="J40" s="44">
        <v>361.4</v>
      </c>
      <c r="K40" s="44">
        <v>597.5</v>
      </c>
      <c r="L40" s="11">
        <f t="shared" si="15"/>
        <v>165.32927504150527</v>
      </c>
      <c r="M40" s="89">
        <f t="shared" si="9"/>
        <v>1089</v>
      </c>
      <c r="N40" s="89">
        <f t="shared" si="10"/>
        <v>1624.2</v>
      </c>
      <c r="O40" s="11">
        <f t="shared" si="6"/>
        <v>149.14600550964187</v>
      </c>
      <c r="P40" s="44">
        <v>697.5</v>
      </c>
      <c r="Q40" s="44">
        <v>482.8</v>
      </c>
      <c r="R40" s="11">
        <f t="shared" si="16"/>
        <v>69.21863799283155</v>
      </c>
      <c r="S40" s="44">
        <v>2309.6</v>
      </c>
      <c r="T40" s="44">
        <v>653.2</v>
      </c>
      <c r="U40" s="11">
        <f t="shared" si="17"/>
        <v>28.281953585036373</v>
      </c>
      <c r="V40" s="72">
        <f t="shared" si="7"/>
        <v>4096.1</v>
      </c>
      <c r="W40" s="72">
        <f t="shared" si="8"/>
        <v>2760.2</v>
      </c>
      <c r="X40" s="11">
        <f t="shared" si="5"/>
        <v>67.38605014526011</v>
      </c>
      <c r="Y40" s="89">
        <f t="shared" si="11"/>
        <v>1335.9000000000005</v>
      </c>
      <c r="Z40" s="90">
        <f t="shared" si="12"/>
        <v>3534.6000000000004</v>
      </c>
      <c r="AA40" s="45"/>
      <c r="AB40" s="45"/>
      <c r="AC40" s="45"/>
      <c r="AD40" s="45"/>
      <c r="AE40" s="46"/>
      <c r="AF40" s="46"/>
      <c r="AG40" s="45"/>
      <c r="AH40" s="46"/>
      <c r="AI40" s="46"/>
      <c r="AJ40" s="46"/>
      <c r="AK40" s="46"/>
    </row>
    <row r="41" spans="1:37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18"/>
        <v>107.2599564685022</v>
      </c>
      <c r="G41" s="18">
        <f>SUM(G42:G42)</f>
        <v>50376.8</v>
      </c>
      <c r="H41" s="18">
        <f>SUM(H42:H42)</f>
        <v>49979.4</v>
      </c>
      <c r="I41" s="11">
        <f t="shared" si="19"/>
        <v>99.21114481269156</v>
      </c>
      <c r="J41" s="18">
        <f>SUM(J42:J42)</f>
        <v>50679.4</v>
      </c>
      <c r="K41" s="18">
        <f>SUM(K42:K42)</f>
        <v>51612.5</v>
      </c>
      <c r="L41" s="11">
        <f t="shared" si="15"/>
        <v>101.8411820187295</v>
      </c>
      <c r="M41" s="18">
        <f>SUM(M42:M42)</f>
        <v>150629.5</v>
      </c>
      <c r="N41" s="18">
        <f>SUM(N42:N42)</f>
        <v>154764.2</v>
      </c>
      <c r="O41" s="11">
        <f t="shared" si="6"/>
        <v>102.74494703892665</v>
      </c>
      <c r="P41" s="18">
        <f>SUM(P42:P42)</f>
        <v>56450.4</v>
      </c>
      <c r="Q41" s="18">
        <f>SUM(Q42:Q42)</f>
        <v>44934.9</v>
      </c>
      <c r="R41" s="11">
        <f t="shared" si="16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17"/>
        <v>79.95638382236322</v>
      </c>
      <c r="V41" s="150">
        <f>V42</f>
        <v>277191.5</v>
      </c>
      <c r="W41" s="150">
        <f>W42</f>
        <v>255757.80000000002</v>
      </c>
      <c r="X41" s="11">
        <f t="shared" si="5"/>
        <v>92.2675478865694</v>
      </c>
      <c r="Y41" s="10">
        <f>Y42</f>
        <v>21433.699999999983</v>
      </c>
      <c r="Z41" s="10">
        <f>Z42</f>
        <v>209003.19999999998</v>
      </c>
      <c r="AA41" s="85"/>
      <c r="AB41" s="85"/>
      <c r="AC41" s="85"/>
      <c r="AD41" s="85"/>
      <c r="AE41" s="24"/>
      <c r="AF41" s="24"/>
      <c r="AG41" s="27"/>
      <c r="AH41" s="24"/>
      <c r="AI41" s="24"/>
      <c r="AJ41" s="24"/>
      <c r="AK41" s="24"/>
    </row>
    <row r="42" spans="1:37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15"/>
        <v>101.8411820187295</v>
      </c>
      <c r="M42" s="89">
        <f t="shared" si="9"/>
        <v>150629.5</v>
      </c>
      <c r="N42" s="89">
        <f t="shared" si="10"/>
        <v>154764.2</v>
      </c>
      <c r="O42" s="11">
        <f t="shared" si="6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72">
        <f>M42+P42+S42</f>
        <v>277191.5</v>
      </c>
      <c r="W42" s="72">
        <f>N42+Q42+T42</f>
        <v>255757.80000000002</v>
      </c>
      <c r="X42" s="11">
        <f t="shared" si="5"/>
        <v>92.2675478865694</v>
      </c>
      <c r="Y42" s="89">
        <f t="shared" si="11"/>
        <v>21433.699999999983</v>
      </c>
      <c r="Z42" s="90">
        <f t="shared" si="12"/>
        <v>209003.19999999998</v>
      </c>
      <c r="AA42" s="45"/>
      <c r="AB42" s="45"/>
      <c r="AC42" s="45"/>
      <c r="AD42" s="45"/>
      <c r="AE42" s="24"/>
      <c r="AF42" s="24"/>
      <c r="AG42" s="45"/>
      <c r="AH42" s="24"/>
      <c r="AI42" s="24"/>
      <c r="AJ42" s="24"/>
      <c r="AK42" s="24"/>
    </row>
    <row r="43" spans="1:37" ht="27.75" customHeight="1">
      <c r="A43" s="13"/>
      <c r="B43" s="16" t="s">
        <v>122</v>
      </c>
      <c r="C43" s="17">
        <f>C41+C7</f>
        <v>172893.2</v>
      </c>
      <c r="D43" s="18">
        <f>D41+D7</f>
        <v>51561.4</v>
      </c>
      <c r="E43" s="18">
        <f>E41+E7</f>
        <v>60324.8</v>
      </c>
      <c r="F43" s="11">
        <f>E43/D43*100</f>
        <v>116.99604743083005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15"/>
        <v>113.04024498606127</v>
      </c>
      <c r="M43" s="18">
        <f>M41+M7</f>
        <v>155998.1</v>
      </c>
      <c r="N43" s="18">
        <f>N41+N7</f>
        <v>176414.2</v>
      </c>
      <c r="O43" s="11">
        <f t="shared" si="6"/>
        <v>113.0874029876005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60873.200000000004</v>
      </c>
      <c r="U43" s="11">
        <f>T43/S43*100</f>
        <v>54.59288867923006</v>
      </c>
      <c r="V43" s="150">
        <f>V41+V7</f>
        <v>332335</v>
      </c>
      <c r="W43" s="150">
        <f>W41+W7</f>
        <v>288146.9</v>
      </c>
      <c r="X43" s="11">
        <f>W43/V43*100</f>
        <v>86.70374772443469</v>
      </c>
      <c r="Y43" s="18">
        <f>Y41+Y7</f>
        <v>44188.099999999984</v>
      </c>
      <c r="Z43" s="18">
        <f>Z41+Z7</f>
        <v>217081.3</v>
      </c>
      <c r="AA43" s="85"/>
      <c r="AB43" s="85"/>
      <c r="AC43" s="85"/>
      <c r="AD43" s="85"/>
      <c r="AE43" s="85"/>
      <c r="AF43" s="85"/>
      <c r="AG43" s="85"/>
      <c r="AH43" s="46"/>
      <c r="AI43" s="46"/>
      <c r="AJ43" s="46"/>
      <c r="AK43" s="46"/>
    </row>
    <row r="44" spans="1:37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5"/>
      <c r="W44" s="85"/>
      <c r="X44" s="86"/>
      <c r="Y44" s="86"/>
      <c r="Z44" s="85"/>
      <c r="AA44" s="85"/>
      <c r="AB44" s="85"/>
      <c r="AC44" s="85"/>
      <c r="AD44" s="85"/>
      <c r="AE44" s="85"/>
      <c r="AF44" s="85"/>
      <c r="AG44" s="85"/>
      <c r="AH44" s="46"/>
      <c r="AI44" s="46"/>
      <c r="AJ44" s="46"/>
      <c r="AK44" s="46"/>
    </row>
    <row r="45" spans="1:37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7"/>
      <c r="AF45" s="6"/>
      <c r="AG45" s="6"/>
      <c r="AH45" s="29"/>
      <c r="AI45" s="6"/>
      <c r="AK45" s="6"/>
    </row>
    <row r="46" spans="1:37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7"/>
      <c r="AF46" s="6"/>
      <c r="AG46" s="6"/>
      <c r="AH46" s="29"/>
      <c r="AI46" s="6"/>
      <c r="AK46" s="6"/>
    </row>
    <row r="47" spans="1:37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7"/>
      <c r="AF47" s="6"/>
      <c r="AG47" s="6"/>
      <c r="AH47" s="29"/>
      <c r="AI47" s="6"/>
      <c r="AK47" s="6"/>
    </row>
    <row r="48" spans="1:37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21"/>
      <c r="W48" s="21"/>
      <c r="X48" s="60"/>
      <c r="Y48" s="21"/>
      <c r="Z48" s="21"/>
      <c r="AA48" s="21"/>
      <c r="AB48" s="21"/>
      <c r="AC48" s="21"/>
      <c r="AD48" s="21"/>
      <c r="AE48" s="21"/>
      <c r="AF48" s="7"/>
      <c r="AG48" s="7"/>
      <c r="AH48" s="32"/>
      <c r="AI48" s="7"/>
      <c r="AK48" s="7"/>
    </row>
    <row r="49" spans="1:26" s="38" customFormat="1" ht="96.75" customHeight="1">
      <c r="A49" s="33"/>
      <c r="B49" s="168" t="s">
        <v>138</v>
      </c>
      <c r="C49" s="168"/>
      <c r="D49" s="168"/>
      <c r="E49" s="168"/>
      <c r="F49" s="168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34"/>
      <c r="W49" s="34"/>
      <c r="X49" s="61"/>
      <c r="Y49" s="174" t="s">
        <v>137</v>
      </c>
      <c r="Z49" s="174"/>
    </row>
    <row r="50" spans="1:26" ht="73.5" customHeight="1" hidden="1">
      <c r="A50" s="164" t="s">
        <v>134</v>
      </c>
      <c r="B50" s="164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0"/>
      <c r="W50" s="40"/>
      <c r="X50" s="41"/>
      <c r="Z50" s="4" t="s">
        <v>135</v>
      </c>
    </row>
    <row r="51" spans="27:37" ht="24.75" customHeight="1"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3" spans="27:37" ht="24.75" customHeight="1"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27:37" ht="24.75" customHeight="1"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27:37" ht="24.75" customHeight="1"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27:37" ht="24.75" customHeight="1"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27:37" ht="24.75" customHeight="1"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27:37" ht="18.75"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27:37" ht="18.75"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27:37" ht="18.75"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27:37" ht="18.75"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27:37" ht="18.75"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27:37" ht="18.75"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27:37" ht="18.75"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27:37" ht="18.75"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27:37" ht="18.75"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27:37" ht="18.75"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27:37" ht="18.75"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27:37" ht="18.75"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27:37" ht="18.75"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27:37" ht="18.75"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27:37" ht="18.75"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27:37" ht="18.75"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27:37" ht="18.75"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27:37" ht="18.75"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27:37" ht="18.75"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27:37" ht="18.75"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27:37" ht="18.75"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27:37" ht="18.75"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27:37" ht="18.75"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27:37" ht="18.75"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27:37" ht="18.75"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27:37" ht="18.75"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27:37" ht="18.75"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27:37" ht="18.75"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27:37" ht="18.75"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27:37" ht="18.75"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27:37" ht="18.75"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27:37" ht="18.75"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27:37" ht="18.75"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27:37" ht="18.75"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27:37" ht="18.75"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27:37" ht="18.75"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</sheetData>
  <sheetProtection/>
  <mergeCells count="16">
    <mergeCell ref="B49:F49"/>
    <mergeCell ref="A50:B50"/>
    <mergeCell ref="Y49:Z49"/>
    <mergeCell ref="M5:O5"/>
    <mergeCell ref="I1:Z1"/>
    <mergeCell ref="B4:F4"/>
    <mergeCell ref="B2:Z2"/>
    <mergeCell ref="B3:Z3"/>
    <mergeCell ref="D5:F5"/>
    <mergeCell ref="J5:L5"/>
    <mergeCell ref="G5:I5"/>
    <mergeCell ref="V5:X5"/>
    <mergeCell ref="Y5:Y6"/>
    <mergeCell ref="Z5:Z6"/>
    <mergeCell ref="S5:U5"/>
    <mergeCell ref="P5:R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view="pageBreakPreview" zoomScale="78" zoomScaleNormal="50" zoomScaleSheetLayoutView="78" zoomScalePageLayoutView="0" workbookViewId="0" topLeftCell="A1">
      <pane xSplit="6" ySplit="8" topLeftCell="R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3" width="14.75390625" style="2" customWidth="1"/>
    <col min="24" max="24" width="11.125" style="12" customWidth="1"/>
    <col min="25" max="25" width="16.75390625" style="2" customWidth="1"/>
    <col min="26" max="26" width="18.25390625" style="2" customWidth="1"/>
    <col min="27" max="27" width="9.125" style="2" customWidth="1"/>
    <col min="28" max="28" width="18.875" style="2" customWidth="1"/>
    <col min="29" max="29" width="9.125" style="2" customWidth="1"/>
    <col min="30" max="16384" width="7.875" style="2" customWidth="1"/>
  </cols>
  <sheetData>
    <row r="1" spans="9:26" ht="18.75">
      <c r="I1" s="161" t="s">
        <v>50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68"/>
      <c r="B2" s="162" t="s">
        <v>54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8.75">
      <c r="B4" s="176"/>
      <c r="C4" s="176"/>
      <c r="D4" s="176"/>
      <c r="E4" s="176"/>
      <c r="F4" s="176"/>
      <c r="Z4" s="5" t="s">
        <v>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29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666.9</v>
      </c>
      <c r="T7" s="11">
        <f>SUM(T8:T40)</f>
        <v>339.8</v>
      </c>
      <c r="U7" s="11">
        <f aca="true" t="shared" si="4" ref="U7:U28">T7/S7*100</f>
        <v>50.952166741640426</v>
      </c>
      <c r="V7" s="67">
        <f>SUM(V8:V40)</f>
        <v>2945.0999999999995</v>
      </c>
      <c r="W7" s="67">
        <f>SUM(W8:W40)</f>
        <v>2427.4999999999995</v>
      </c>
      <c r="X7" s="11">
        <f aca="true" t="shared" si="5" ref="X7:X42">W7/V7*100</f>
        <v>82.42504498998336</v>
      </c>
      <c r="Y7" s="11">
        <f>SUM(Y8:Y40)</f>
        <v>517.5999999999999</v>
      </c>
      <c r="Z7" s="11">
        <f>SUM(Z8:Z40)</f>
        <v>1560.2999999999997</v>
      </c>
      <c r="AA7" s="27">
        <f>SUM(Y8:Y40)</f>
        <v>517.5999999999999</v>
      </c>
      <c r="AB7" s="27">
        <f>SUM(Z8:Z40)</f>
        <v>1560.2999999999997</v>
      </c>
      <c r="AC7" s="48"/>
    </row>
    <row r="8" spans="1:29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6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72">
        <f>M8+P8+S8</f>
        <v>241.49999999999997</v>
      </c>
      <c r="W8" s="72">
        <f>N8+Q8+T8</f>
        <v>258.9</v>
      </c>
      <c r="X8" s="11">
        <f t="shared" si="5"/>
        <v>107.20496894409939</v>
      </c>
      <c r="Y8" s="72">
        <f>V8-W8</f>
        <v>-17.400000000000006</v>
      </c>
      <c r="Z8" s="18">
        <f>C8+V8-W8</f>
        <v>51.39999999999998</v>
      </c>
      <c r="AA8" s="109"/>
      <c r="AB8" s="19"/>
      <c r="AC8" s="19"/>
    </row>
    <row r="9" spans="1:29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7" ref="M9:M42">D9+G9+J9</f>
        <v>23.5</v>
      </c>
      <c r="N9" s="89">
        <f aca="true" t="shared" si="8" ref="N9:N42">E9+H9+K9</f>
        <v>14.9</v>
      </c>
      <c r="O9" s="11">
        <f t="shared" si="6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7.1</v>
      </c>
      <c r="T9" s="44">
        <v>0</v>
      </c>
      <c r="U9" s="11">
        <f t="shared" si="4"/>
        <v>0</v>
      </c>
      <c r="V9" s="72">
        <f aca="true" t="shared" si="9" ref="V9:V40">M9+P9+S9</f>
        <v>39.5</v>
      </c>
      <c r="W9" s="72">
        <f aca="true" t="shared" si="10" ref="W9:W40">N9+Q9+T9</f>
        <v>30.8</v>
      </c>
      <c r="X9" s="11">
        <f t="shared" si="5"/>
        <v>77.9746835443038</v>
      </c>
      <c r="Y9" s="72">
        <f aca="true" t="shared" si="11" ref="Y9:Y42">V9-W9</f>
        <v>8.7</v>
      </c>
      <c r="Z9" s="18">
        <f aca="true" t="shared" si="12" ref="Z9:Z42">C9+V9-W9</f>
        <v>23.499999999999996</v>
      </c>
      <c r="AA9" s="110"/>
      <c r="AB9" s="19"/>
      <c r="AC9" s="19"/>
    </row>
    <row r="10" spans="1:29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7"/>
        <v>6.3999999999999995</v>
      </c>
      <c r="N10" s="89">
        <f t="shared" si="8"/>
        <v>2.2</v>
      </c>
      <c r="O10" s="11">
        <f t="shared" si="6"/>
        <v>34.37500000000001</v>
      </c>
      <c r="P10" s="44">
        <v>2.7</v>
      </c>
      <c r="Q10" s="44">
        <v>6.5</v>
      </c>
      <c r="R10" s="150">
        <f t="shared" si="3"/>
        <v>240.74074074074073</v>
      </c>
      <c r="S10" s="44">
        <v>2.8</v>
      </c>
      <c r="T10" s="44">
        <v>2.7</v>
      </c>
      <c r="U10" s="150">
        <f t="shared" si="4"/>
        <v>96.42857142857144</v>
      </c>
      <c r="V10" s="72">
        <f t="shared" si="9"/>
        <v>11.899999999999999</v>
      </c>
      <c r="W10" s="72">
        <f t="shared" si="10"/>
        <v>11.399999999999999</v>
      </c>
      <c r="X10" s="11">
        <f t="shared" si="5"/>
        <v>95.7983193277311</v>
      </c>
      <c r="Y10" s="72">
        <f t="shared" si="11"/>
        <v>0.5</v>
      </c>
      <c r="Z10" s="18">
        <f t="shared" si="12"/>
        <v>2.6999999999999993</v>
      </c>
      <c r="AA10" s="109"/>
      <c r="AB10" s="19"/>
      <c r="AC10" s="19"/>
    </row>
    <row r="11" spans="1:29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7"/>
        <v>23.6</v>
      </c>
      <c r="N11" s="89">
        <f t="shared" si="8"/>
        <v>50.9</v>
      </c>
      <c r="O11" s="11">
        <f t="shared" si="6"/>
        <v>215.6779661016949</v>
      </c>
      <c r="P11" s="44">
        <v>12.9</v>
      </c>
      <c r="Q11" s="44">
        <v>7.4</v>
      </c>
      <c r="R11" s="150">
        <f t="shared" si="3"/>
        <v>57.36434108527132</v>
      </c>
      <c r="S11" s="44">
        <v>15.3</v>
      </c>
      <c r="T11" s="44">
        <v>0</v>
      </c>
      <c r="U11" s="150">
        <f t="shared" si="4"/>
        <v>0</v>
      </c>
      <c r="V11" s="72">
        <f t="shared" si="9"/>
        <v>51.8</v>
      </c>
      <c r="W11" s="72">
        <f t="shared" si="10"/>
        <v>58.3</v>
      </c>
      <c r="X11" s="11">
        <f t="shared" si="5"/>
        <v>112.54826254826256</v>
      </c>
      <c r="Y11" s="72">
        <f t="shared" si="11"/>
        <v>-6.5</v>
      </c>
      <c r="Z11" s="18">
        <f t="shared" si="12"/>
        <v>62.7</v>
      </c>
      <c r="AA11" s="109"/>
      <c r="AB11" s="19"/>
      <c r="AC11" s="19"/>
    </row>
    <row r="12" spans="1:29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7"/>
        <v>14</v>
      </c>
      <c r="N12" s="89">
        <f t="shared" si="8"/>
        <v>12.899999999999999</v>
      </c>
      <c r="O12" s="11">
        <f t="shared" si="6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72">
        <f t="shared" si="9"/>
        <v>24.6</v>
      </c>
      <c r="W12" s="72">
        <f t="shared" si="10"/>
        <v>21.9</v>
      </c>
      <c r="X12" s="11">
        <f t="shared" si="5"/>
        <v>89.02439024390243</v>
      </c>
      <c r="Y12" s="72">
        <f t="shared" si="11"/>
        <v>2.700000000000003</v>
      </c>
      <c r="Z12" s="18">
        <f t="shared" si="12"/>
        <v>11.200000000000003</v>
      </c>
      <c r="AA12" s="109"/>
      <c r="AB12" s="19"/>
      <c r="AC12" s="19"/>
    </row>
    <row r="13" spans="1:29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13" ref="L13:L28">K13/J13*100</f>
        <v>52.94117647058824</v>
      </c>
      <c r="M13" s="89">
        <f t="shared" si="7"/>
        <v>41.5</v>
      </c>
      <c r="N13" s="89">
        <f t="shared" si="8"/>
        <v>7.2</v>
      </c>
      <c r="O13" s="11">
        <f t="shared" si="6"/>
        <v>17.349397590361445</v>
      </c>
      <c r="P13" s="44">
        <v>13.4</v>
      </c>
      <c r="Q13" s="44">
        <v>0</v>
      </c>
      <c r="R13" s="150">
        <f t="shared" si="3"/>
        <v>0</v>
      </c>
      <c r="S13" s="44">
        <v>13.5</v>
      </c>
      <c r="T13" s="44">
        <v>0</v>
      </c>
      <c r="U13" s="150">
        <f t="shared" si="4"/>
        <v>0</v>
      </c>
      <c r="V13" s="72">
        <f t="shared" si="9"/>
        <v>68.4</v>
      </c>
      <c r="W13" s="72">
        <f t="shared" si="10"/>
        <v>7.2</v>
      </c>
      <c r="X13" s="11">
        <f t="shared" si="5"/>
        <v>10.526315789473683</v>
      </c>
      <c r="Y13" s="72">
        <f t="shared" si="11"/>
        <v>61.2</v>
      </c>
      <c r="Z13" s="18">
        <f t="shared" si="12"/>
        <v>89.9</v>
      </c>
      <c r="AA13" s="109"/>
      <c r="AB13" s="19"/>
      <c r="AC13" s="19"/>
    </row>
    <row r="14" spans="1:29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13"/>
        <v>115.90909090909089</v>
      </c>
      <c r="M14" s="89">
        <f t="shared" si="7"/>
        <v>10.1</v>
      </c>
      <c r="N14" s="89">
        <f t="shared" si="8"/>
        <v>5.1</v>
      </c>
      <c r="O14" s="11">
        <f t="shared" si="6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72">
        <f t="shared" si="9"/>
        <v>17.9</v>
      </c>
      <c r="W14" s="72">
        <f t="shared" si="10"/>
        <v>20</v>
      </c>
      <c r="X14" s="11">
        <f t="shared" si="5"/>
        <v>111.731843575419</v>
      </c>
      <c r="Y14" s="72">
        <f t="shared" si="11"/>
        <v>-2.1000000000000014</v>
      </c>
      <c r="Z14" s="18">
        <f t="shared" si="12"/>
        <v>0</v>
      </c>
      <c r="AA14" s="109"/>
      <c r="AB14" s="19"/>
      <c r="AC14" s="19"/>
    </row>
    <row r="15" spans="1:29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13"/>
        <v>96.83257918552034</v>
      </c>
      <c r="M15" s="89">
        <f t="shared" si="7"/>
        <v>99.2</v>
      </c>
      <c r="N15" s="89">
        <f t="shared" si="8"/>
        <v>63.199999999999996</v>
      </c>
      <c r="O15" s="11">
        <f t="shared" si="6"/>
        <v>63.70967741935484</v>
      </c>
      <c r="P15" s="44">
        <v>58.9</v>
      </c>
      <c r="Q15" s="44">
        <v>69.9</v>
      </c>
      <c r="R15" s="150">
        <f t="shared" si="3"/>
        <v>118.67572156196945</v>
      </c>
      <c r="S15" s="44">
        <v>77.2</v>
      </c>
      <c r="T15" s="44">
        <v>9</v>
      </c>
      <c r="U15" s="150">
        <f t="shared" si="4"/>
        <v>11.658031088082902</v>
      </c>
      <c r="V15" s="72">
        <f t="shared" si="9"/>
        <v>235.3</v>
      </c>
      <c r="W15" s="72">
        <f t="shared" si="10"/>
        <v>142.1</v>
      </c>
      <c r="X15" s="11">
        <f t="shared" si="5"/>
        <v>60.390990225244366</v>
      </c>
      <c r="Y15" s="72">
        <f t="shared" si="11"/>
        <v>93.20000000000002</v>
      </c>
      <c r="Z15" s="18">
        <f t="shared" si="12"/>
        <v>149.30000000000004</v>
      </c>
      <c r="AA15" s="109"/>
      <c r="AB15" s="19"/>
      <c r="AC15" s="19"/>
    </row>
    <row r="16" spans="1:29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13"/>
        <v>-16.666666666666668</v>
      </c>
      <c r="M16" s="89">
        <f t="shared" si="7"/>
        <v>1.4</v>
      </c>
      <c r="N16" s="89">
        <f t="shared" si="8"/>
        <v>1</v>
      </c>
      <c r="O16" s="11">
        <f t="shared" si="6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72">
        <f t="shared" si="9"/>
        <v>3.5</v>
      </c>
      <c r="W16" s="72">
        <f t="shared" si="10"/>
        <v>1</v>
      </c>
      <c r="X16" s="11">
        <f t="shared" si="5"/>
        <v>28.57142857142857</v>
      </c>
      <c r="Y16" s="72">
        <f t="shared" si="11"/>
        <v>2.5</v>
      </c>
      <c r="Z16" s="18">
        <f t="shared" si="12"/>
        <v>3.5</v>
      </c>
      <c r="AA16" s="109"/>
      <c r="AB16" s="19"/>
      <c r="AC16" s="19"/>
    </row>
    <row r="17" spans="1:29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13"/>
        <v>75.00000000000001</v>
      </c>
      <c r="M17" s="89">
        <f t="shared" si="7"/>
        <v>88.5</v>
      </c>
      <c r="N17" s="89">
        <f t="shared" si="8"/>
        <v>92.5</v>
      </c>
      <c r="O17" s="11">
        <f t="shared" si="6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72">
        <f t="shared" si="9"/>
        <v>196.9</v>
      </c>
      <c r="W17" s="72">
        <f t="shared" si="10"/>
        <v>187.60000000000002</v>
      </c>
      <c r="X17" s="11">
        <f t="shared" si="5"/>
        <v>95.2767902488573</v>
      </c>
      <c r="Y17" s="72">
        <f t="shared" si="11"/>
        <v>9.299999999999983</v>
      </c>
      <c r="Z17" s="18">
        <f t="shared" si="12"/>
        <v>71.39999999999998</v>
      </c>
      <c r="AA17" s="109"/>
      <c r="AB17" s="19"/>
      <c r="AC17" s="19"/>
    </row>
    <row r="18" spans="1:29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13"/>
        <v>101.61290322580645</v>
      </c>
      <c r="M18" s="89">
        <f t="shared" si="7"/>
        <v>18.5</v>
      </c>
      <c r="N18" s="89">
        <f t="shared" si="8"/>
        <v>12.8</v>
      </c>
      <c r="O18" s="11">
        <f t="shared" si="6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72">
        <f t="shared" si="9"/>
        <v>30.8</v>
      </c>
      <c r="W18" s="72">
        <f t="shared" si="10"/>
        <v>37.3</v>
      </c>
      <c r="X18" s="11">
        <f t="shared" si="5"/>
        <v>121.10389610389609</v>
      </c>
      <c r="Y18" s="72">
        <f t="shared" si="11"/>
        <v>-6.4999999999999964</v>
      </c>
      <c r="Z18" s="18">
        <f t="shared" si="12"/>
        <v>0</v>
      </c>
      <c r="AA18" s="109"/>
      <c r="AB18" s="19"/>
      <c r="AC18" s="19"/>
    </row>
    <row r="19" spans="1:29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14" ref="I19:I24">H19/G19*100</f>
        <v>0</v>
      </c>
      <c r="J19" s="44">
        <v>15</v>
      </c>
      <c r="K19" s="44">
        <v>0</v>
      </c>
      <c r="L19" s="75">
        <f t="shared" si="13"/>
        <v>0</v>
      </c>
      <c r="M19" s="89">
        <f t="shared" si="7"/>
        <v>43.8</v>
      </c>
      <c r="N19" s="89">
        <f t="shared" si="8"/>
        <v>49.5</v>
      </c>
      <c r="O19" s="11">
        <f t="shared" si="6"/>
        <v>113.013698630137</v>
      </c>
      <c r="P19" s="44">
        <v>16.8</v>
      </c>
      <c r="Q19" s="44">
        <v>13.7</v>
      </c>
      <c r="R19" s="150">
        <f t="shared" si="3"/>
        <v>81.54761904761904</v>
      </c>
      <c r="S19" s="44">
        <v>22.4</v>
      </c>
      <c r="T19" s="44">
        <v>0</v>
      </c>
      <c r="U19" s="150">
        <f t="shared" si="4"/>
        <v>0</v>
      </c>
      <c r="V19" s="72">
        <f t="shared" si="9"/>
        <v>83</v>
      </c>
      <c r="W19" s="72">
        <f t="shared" si="10"/>
        <v>63.2</v>
      </c>
      <c r="X19" s="11">
        <f t="shared" si="5"/>
        <v>76.14457831325302</v>
      </c>
      <c r="Y19" s="72">
        <f t="shared" si="11"/>
        <v>19.799999999999997</v>
      </c>
      <c r="Z19" s="18">
        <f t="shared" si="12"/>
        <v>69.3</v>
      </c>
      <c r="AA19" s="109"/>
      <c r="AB19" s="19"/>
      <c r="AC19" s="19"/>
    </row>
    <row r="20" spans="1:29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14"/>
        <v>33.87096774193549</v>
      </c>
      <c r="J20" s="44">
        <v>5.9</v>
      </c>
      <c r="K20" s="44">
        <v>5</v>
      </c>
      <c r="L20" s="75">
        <f t="shared" si="13"/>
        <v>84.7457627118644</v>
      </c>
      <c r="M20" s="89">
        <f t="shared" si="7"/>
        <v>12.100000000000001</v>
      </c>
      <c r="N20" s="89">
        <f t="shared" si="8"/>
        <v>26.8</v>
      </c>
      <c r="O20" s="11">
        <f t="shared" si="6"/>
        <v>221.4876033057851</v>
      </c>
      <c r="P20" s="44">
        <v>17.3</v>
      </c>
      <c r="Q20" s="44">
        <v>7.3</v>
      </c>
      <c r="R20" s="150">
        <f t="shared" si="3"/>
        <v>42.19653179190751</v>
      </c>
      <c r="S20" s="44">
        <v>7.3</v>
      </c>
      <c r="T20" s="44">
        <v>2.1</v>
      </c>
      <c r="U20" s="150">
        <f t="shared" si="4"/>
        <v>28.767123287671236</v>
      </c>
      <c r="V20" s="72">
        <f t="shared" si="9"/>
        <v>36.7</v>
      </c>
      <c r="W20" s="72">
        <f t="shared" si="10"/>
        <v>36.2</v>
      </c>
      <c r="X20" s="11">
        <f t="shared" si="5"/>
        <v>98.63760217983652</v>
      </c>
      <c r="Y20" s="72">
        <f t="shared" si="11"/>
        <v>0.5</v>
      </c>
      <c r="Z20" s="18">
        <f t="shared" si="12"/>
        <v>20.200000000000003</v>
      </c>
      <c r="AA20" s="109"/>
      <c r="AB20" s="19"/>
      <c r="AC20" s="19"/>
    </row>
    <row r="21" spans="1:29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14"/>
        <v>0</v>
      </c>
      <c r="J21" s="44">
        <v>0.7</v>
      </c>
      <c r="K21" s="44">
        <v>0.7</v>
      </c>
      <c r="L21" s="75">
        <f t="shared" si="13"/>
        <v>100</v>
      </c>
      <c r="M21" s="89">
        <f t="shared" si="7"/>
        <v>2.5999999999999996</v>
      </c>
      <c r="N21" s="89">
        <f t="shared" si="8"/>
        <v>2.3</v>
      </c>
      <c r="O21" s="11">
        <f t="shared" si="6"/>
        <v>88.46153846153847</v>
      </c>
      <c r="P21" s="44">
        <v>1.5</v>
      </c>
      <c r="Q21" s="44">
        <v>0.9</v>
      </c>
      <c r="R21" s="150">
        <f t="shared" si="3"/>
        <v>60</v>
      </c>
      <c r="S21" s="44">
        <v>1.2</v>
      </c>
      <c r="T21" s="44">
        <v>0</v>
      </c>
      <c r="U21" s="150">
        <f t="shared" si="4"/>
        <v>0</v>
      </c>
      <c r="V21" s="72">
        <f t="shared" si="9"/>
        <v>5.3</v>
      </c>
      <c r="W21" s="72">
        <f t="shared" si="10"/>
        <v>3.1999999999999997</v>
      </c>
      <c r="X21" s="11">
        <f t="shared" si="5"/>
        <v>60.37735849056604</v>
      </c>
      <c r="Y21" s="72">
        <f t="shared" si="11"/>
        <v>2.1</v>
      </c>
      <c r="Z21" s="18">
        <f t="shared" si="12"/>
        <v>3.9999999999999996</v>
      </c>
      <c r="AA21" s="109"/>
      <c r="AB21" s="19"/>
      <c r="AC21" s="19"/>
    </row>
    <row r="22" spans="1:29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14"/>
        <v>3.571428571428572</v>
      </c>
      <c r="J22" s="44">
        <v>18.3</v>
      </c>
      <c r="K22" s="44">
        <v>1.3</v>
      </c>
      <c r="L22" s="75">
        <f t="shared" si="13"/>
        <v>7.103825136612022</v>
      </c>
      <c r="M22" s="89">
        <f t="shared" si="7"/>
        <v>31.3</v>
      </c>
      <c r="N22" s="89">
        <f t="shared" si="8"/>
        <v>11.700000000000001</v>
      </c>
      <c r="O22" s="11">
        <f t="shared" si="6"/>
        <v>37.38019169329074</v>
      </c>
      <c r="P22" s="44">
        <v>7.1</v>
      </c>
      <c r="Q22" s="44">
        <v>20.9</v>
      </c>
      <c r="R22" s="150">
        <f t="shared" si="3"/>
        <v>294.3661971830986</v>
      </c>
      <c r="S22" s="44">
        <v>1.8</v>
      </c>
      <c r="T22" s="44">
        <v>0.2</v>
      </c>
      <c r="U22" s="150">
        <f t="shared" si="4"/>
        <v>11.111111111111112</v>
      </c>
      <c r="V22" s="72">
        <f t="shared" si="9"/>
        <v>40.199999999999996</v>
      </c>
      <c r="W22" s="72">
        <f t="shared" si="10"/>
        <v>32.800000000000004</v>
      </c>
      <c r="X22" s="11">
        <f t="shared" si="5"/>
        <v>81.59203980099504</v>
      </c>
      <c r="Y22" s="72">
        <f t="shared" si="11"/>
        <v>7.3999999999999915</v>
      </c>
      <c r="Z22" s="18">
        <f t="shared" si="12"/>
        <v>19.099999999999987</v>
      </c>
      <c r="AA22" s="109"/>
      <c r="AB22" s="19"/>
      <c r="AC22" s="19"/>
    </row>
    <row r="23" spans="1:29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14"/>
        <v>0</v>
      </c>
      <c r="J23" s="44">
        <v>1</v>
      </c>
      <c r="K23" s="44">
        <v>2.1</v>
      </c>
      <c r="L23" s="11">
        <f t="shared" si="13"/>
        <v>210</v>
      </c>
      <c r="M23" s="89">
        <f t="shared" si="7"/>
        <v>3.1</v>
      </c>
      <c r="N23" s="89">
        <f t="shared" si="8"/>
        <v>4.2</v>
      </c>
      <c r="O23" s="11">
        <f t="shared" si="6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72">
        <f t="shared" si="9"/>
        <v>5.7</v>
      </c>
      <c r="W23" s="72">
        <f t="shared" si="10"/>
        <v>7.800000000000001</v>
      </c>
      <c r="X23" s="11">
        <f t="shared" si="5"/>
        <v>136.8421052631579</v>
      </c>
      <c r="Y23" s="72">
        <f t="shared" si="11"/>
        <v>-2.1000000000000005</v>
      </c>
      <c r="Z23" s="18">
        <f t="shared" si="12"/>
        <v>0</v>
      </c>
      <c r="AA23" s="109"/>
      <c r="AB23" s="19"/>
      <c r="AC23" s="19"/>
    </row>
    <row r="24" spans="1:29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14"/>
        <v>0</v>
      </c>
      <c r="J24" s="44">
        <v>32.8</v>
      </c>
      <c r="K24" s="44">
        <v>0</v>
      </c>
      <c r="L24" s="11">
        <f t="shared" si="13"/>
        <v>0</v>
      </c>
      <c r="M24" s="89">
        <f t="shared" si="7"/>
        <v>98.99999999999999</v>
      </c>
      <c r="N24" s="89">
        <f t="shared" si="8"/>
        <v>93.8</v>
      </c>
      <c r="O24" s="11">
        <f t="shared" si="6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72">
        <f t="shared" si="9"/>
        <v>170.5</v>
      </c>
      <c r="W24" s="72">
        <f t="shared" si="10"/>
        <v>115.5</v>
      </c>
      <c r="X24" s="11">
        <f t="shared" si="5"/>
        <v>67.74193548387096</v>
      </c>
      <c r="Y24" s="72">
        <f t="shared" si="11"/>
        <v>55</v>
      </c>
      <c r="Z24" s="18">
        <f t="shared" si="12"/>
        <v>148.8</v>
      </c>
      <c r="AA24" s="109"/>
      <c r="AB24" s="19"/>
      <c r="AC24" s="19"/>
    </row>
    <row r="25" spans="1:29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15" ref="I25:I34">H25/G25*100</f>
        <v>0</v>
      </c>
      <c r="J25" s="44">
        <v>9.5</v>
      </c>
      <c r="K25" s="44">
        <v>14.6</v>
      </c>
      <c r="L25" s="11">
        <f t="shared" si="13"/>
        <v>153.68421052631578</v>
      </c>
      <c r="M25" s="89">
        <f t="shared" si="7"/>
        <v>25.9</v>
      </c>
      <c r="N25" s="89">
        <f t="shared" si="8"/>
        <v>30.4</v>
      </c>
      <c r="O25" s="11">
        <f t="shared" si="6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72">
        <f t="shared" si="9"/>
        <v>44.599999999999994</v>
      </c>
      <c r="W25" s="72">
        <f t="shared" si="10"/>
        <v>39.3</v>
      </c>
      <c r="X25" s="11">
        <f t="shared" si="5"/>
        <v>88.11659192825113</v>
      </c>
      <c r="Y25" s="72">
        <f t="shared" si="11"/>
        <v>5.299999999999997</v>
      </c>
      <c r="Z25" s="18">
        <f t="shared" si="12"/>
        <v>28.200000000000003</v>
      </c>
      <c r="AA25" s="109"/>
      <c r="AB25" s="19"/>
      <c r="AC25" s="19"/>
    </row>
    <row r="26" spans="1:29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15"/>
        <v>0</v>
      </c>
      <c r="J26" s="44">
        <v>1.8</v>
      </c>
      <c r="K26" s="44">
        <v>5</v>
      </c>
      <c r="L26" s="11">
        <f t="shared" si="13"/>
        <v>277.77777777777777</v>
      </c>
      <c r="M26" s="89">
        <f t="shared" si="7"/>
        <v>5.3</v>
      </c>
      <c r="N26" s="89">
        <f t="shared" si="8"/>
        <v>5</v>
      </c>
      <c r="O26" s="11">
        <f t="shared" si="6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72">
        <f t="shared" si="9"/>
        <v>9.5</v>
      </c>
      <c r="W26" s="72">
        <f t="shared" si="10"/>
        <v>10.299999999999999</v>
      </c>
      <c r="X26" s="11">
        <f t="shared" si="5"/>
        <v>108.42105263157893</v>
      </c>
      <c r="Y26" s="72">
        <f t="shared" si="11"/>
        <v>-0.7999999999999989</v>
      </c>
      <c r="Z26" s="18">
        <f t="shared" si="12"/>
        <v>2.4000000000000004</v>
      </c>
      <c r="AA26" s="109"/>
      <c r="AB26" s="19"/>
      <c r="AC26" s="19"/>
    </row>
    <row r="27" spans="1:29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15"/>
        <v>0</v>
      </c>
      <c r="J27" s="44">
        <v>14.2</v>
      </c>
      <c r="K27" s="44">
        <v>25.5</v>
      </c>
      <c r="L27" s="11">
        <f t="shared" si="13"/>
        <v>179.5774647887324</v>
      </c>
      <c r="M27" s="89">
        <f t="shared" si="7"/>
        <v>39.7</v>
      </c>
      <c r="N27" s="89">
        <f t="shared" si="8"/>
        <v>48.7</v>
      </c>
      <c r="O27" s="11">
        <f t="shared" si="6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72">
        <f t="shared" si="9"/>
        <v>70.1</v>
      </c>
      <c r="W27" s="72">
        <f t="shared" si="10"/>
        <v>66</v>
      </c>
      <c r="X27" s="11">
        <f t="shared" si="5"/>
        <v>94.15121255349501</v>
      </c>
      <c r="Y27" s="72">
        <f t="shared" si="11"/>
        <v>4.099999999999994</v>
      </c>
      <c r="Z27" s="18">
        <f t="shared" si="12"/>
        <v>28.299999999999997</v>
      </c>
      <c r="AA27" s="109"/>
      <c r="AB27" s="19"/>
      <c r="AC27" s="19"/>
    </row>
    <row r="28" spans="1:29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15"/>
        <v>0</v>
      </c>
      <c r="J28" s="44">
        <v>2</v>
      </c>
      <c r="K28" s="44">
        <v>0</v>
      </c>
      <c r="L28" s="11">
        <f t="shared" si="13"/>
        <v>0</v>
      </c>
      <c r="M28" s="89">
        <f t="shared" si="7"/>
        <v>11.100000000000001</v>
      </c>
      <c r="N28" s="89">
        <f t="shared" si="8"/>
        <v>10.1</v>
      </c>
      <c r="O28" s="11">
        <f t="shared" si="6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72">
        <f t="shared" si="9"/>
        <v>24.3</v>
      </c>
      <c r="W28" s="72">
        <f t="shared" si="10"/>
        <v>14.5</v>
      </c>
      <c r="X28" s="11">
        <f t="shared" si="5"/>
        <v>59.67078189300411</v>
      </c>
      <c r="Y28" s="72">
        <f t="shared" si="11"/>
        <v>9.8</v>
      </c>
      <c r="Z28" s="18">
        <f t="shared" si="12"/>
        <v>19.9</v>
      </c>
      <c r="AA28" s="109"/>
      <c r="AB28" s="19"/>
      <c r="AC28" s="19"/>
    </row>
    <row r="29" spans="1:29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72">
        <f t="shared" si="9"/>
        <v>0</v>
      </c>
      <c r="W29" s="72">
        <f t="shared" si="10"/>
        <v>0</v>
      </c>
      <c r="X29" s="66"/>
      <c r="Y29" s="72"/>
      <c r="Z29" s="112"/>
      <c r="AA29" s="109"/>
      <c r="AB29" s="19"/>
      <c r="AC29" s="19"/>
    </row>
    <row r="30" spans="1:29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15"/>
        <v>0</v>
      </c>
      <c r="J30" s="44">
        <v>4.5</v>
      </c>
      <c r="K30" s="44">
        <v>4.1</v>
      </c>
      <c r="L30" s="75">
        <f aca="true" t="shared" si="16" ref="L30:L43">K30/J30*100</f>
        <v>91.1111111111111</v>
      </c>
      <c r="M30" s="89">
        <f t="shared" si="7"/>
        <v>12.3</v>
      </c>
      <c r="N30" s="89">
        <f t="shared" si="8"/>
        <v>11.6</v>
      </c>
      <c r="O30" s="11">
        <f t="shared" si="6"/>
        <v>94.30894308943088</v>
      </c>
      <c r="P30" s="44">
        <v>4.2</v>
      </c>
      <c r="Q30" s="44">
        <v>3.7</v>
      </c>
      <c r="R30" s="150">
        <f aca="true" t="shared" si="17" ref="R30:R43">Q30/P30*100</f>
        <v>88.09523809523809</v>
      </c>
      <c r="S30" s="44">
        <v>4.7</v>
      </c>
      <c r="T30" s="44">
        <v>0</v>
      </c>
      <c r="U30" s="150">
        <f aca="true" t="shared" si="18" ref="U30:U43">T30/S30*100</f>
        <v>0</v>
      </c>
      <c r="V30" s="72">
        <f t="shared" si="9"/>
        <v>21.2</v>
      </c>
      <c r="W30" s="72">
        <f t="shared" si="10"/>
        <v>15.3</v>
      </c>
      <c r="X30" s="11">
        <f t="shared" si="5"/>
        <v>72.16981132075472</v>
      </c>
      <c r="Y30" s="72">
        <f t="shared" si="11"/>
        <v>5.899999999999999</v>
      </c>
      <c r="Z30" s="18">
        <f t="shared" si="12"/>
        <v>13.399999999999999</v>
      </c>
      <c r="AA30" s="109"/>
      <c r="AB30" s="19"/>
      <c r="AC30" s="19"/>
    </row>
    <row r="31" spans="1:29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15"/>
        <v>0</v>
      </c>
      <c r="J31" s="44">
        <v>4.5</v>
      </c>
      <c r="K31" s="44">
        <v>8.8</v>
      </c>
      <c r="L31" s="11">
        <f t="shared" si="16"/>
        <v>195.55555555555557</v>
      </c>
      <c r="M31" s="89">
        <f t="shared" si="7"/>
        <v>13.3</v>
      </c>
      <c r="N31" s="89">
        <f t="shared" si="8"/>
        <v>18.700000000000003</v>
      </c>
      <c r="O31" s="11">
        <f t="shared" si="6"/>
        <v>140.6015037593985</v>
      </c>
      <c r="P31" s="44">
        <v>4.2</v>
      </c>
      <c r="Q31" s="44">
        <v>0</v>
      </c>
      <c r="R31" s="11">
        <f t="shared" si="17"/>
        <v>0</v>
      </c>
      <c r="S31" s="44">
        <v>4.9</v>
      </c>
      <c r="T31" s="44">
        <v>3.9</v>
      </c>
      <c r="U31" s="11">
        <f t="shared" si="18"/>
        <v>79.59183673469387</v>
      </c>
      <c r="V31" s="72">
        <f t="shared" si="9"/>
        <v>22.4</v>
      </c>
      <c r="W31" s="72">
        <f t="shared" si="10"/>
        <v>22.6</v>
      </c>
      <c r="X31" s="11">
        <f t="shared" si="5"/>
        <v>100.89285714285717</v>
      </c>
      <c r="Y31" s="72">
        <f t="shared" si="11"/>
        <v>-0.20000000000000284</v>
      </c>
      <c r="Z31" s="18">
        <f t="shared" si="12"/>
        <v>9.699999999999996</v>
      </c>
      <c r="AA31" s="109"/>
      <c r="AB31" s="19"/>
      <c r="AC31" s="19"/>
    </row>
    <row r="32" spans="1:29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15"/>
        <v>0</v>
      </c>
      <c r="J32" s="44">
        <v>33.8</v>
      </c>
      <c r="K32" s="44">
        <v>78.6</v>
      </c>
      <c r="L32" s="11">
        <f t="shared" si="16"/>
        <v>232.54437869822488</v>
      </c>
      <c r="M32" s="89">
        <f t="shared" si="7"/>
        <v>107.99999999999999</v>
      </c>
      <c r="N32" s="89">
        <f t="shared" si="8"/>
        <v>112.89999999999999</v>
      </c>
      <c r="O32" s="11">
        <f t="shared" si="6"/>
        <v>104.53703703703705</v>
      </c>
      <c r="P32" s="44">
        <v>39.1</v>
      </c>
      <c r="Q32" s="44">
        <v>0.1</v>
      </c>
      <c r="R32" s="11">
        <f t="shared" si="17"/>
        <v>0.2557544757033248</v>
      </c>
      <c r="S32" s="44">
        <v>38.5</v>
      </c>
      <c r="T32" s="44">
        <v>33.3</v>
      </c>
      <c r="U32" s="11">
        <f t="shared" si="18"/>
        <v>86.49350649350649</v>
      </c>
      <c r="V32" s="72">
        <f t="shared" si="9"/>
        <v>185.6</v>
      </c>
      <c r="W32" s="72">
        <f t="shared" si="10"/>
        <v>146.29999999999998</v>
      </c>
      <c r="X32" s="11">
        <f t="shared" si="5"/>
        <v>78.82543103448275</v>
      </c>
      <c r="Y32" s="72">
        <f t="shared" si="11"/>
        <v>39.30000000000001</v>
      </c>
      <c r="Z32" s="18">
        <f t="shared" si="12"/>
        <v>111.4</v>
      </c>
      <c r="AA32" s="109"/>
      <c r="AB32" s="19"/>
      <c r="AC32" s="19"/>
    </row>
    <row r="33" spans="1:29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15"/>
        <v>39</v>
      </c>
      <c r="J33" s="44">
        <v>18.1</v>
      </c>
      <c r="K33" s="44">
        <v>14.8</v>
      </c>
      <c r="L33" s="11">
        <f t="shared" si="16"/>
        <v>81.76795580110497</v>
      </c>
      <c r="M33" s="89">
        <f t="shared" si="7"/>
        <v>55.800000000000004</v>
      </c>
      <c r="N33" s="89">
        <f t="shared" si="8"/>
        <v>53.3</v>
      </c>
      <c r="O33" s="11">
        <f t="shared" si="6"/>
        <v>95.51971326164873</v>
      </c>
      <c r="P33" s="44">
        <v>20.9</v>
      </c>
      <c r="Q33" s="44">
        <v>22.7</v>
      </c>
      <c r="R33" s="11">
        <f t="shared" si="17"/>
        <v>108.61244019138756</v>
      </c>
      <c r="S33" s="44">
        <v>20.7</v>
      </c>
      <c r="T33" s="44">
        <v>0</v>
      </c>
      <c r="U33" s="11">
        <f t="shared" si="18"/>
        <v>0</v>
      </c>
      <c r="V33" s="72">
        <f t="shared" si="9"/>
        <v>97.4</v>
      </c>
      <c r="W33" s="72">
        <f t="shared" si="10"/>
        <v>76</v>
      </c>
      <c r="X33" s="11">
        <f t="shared" si="5"/>
        <v>78.02874743326488</v>
      </c>
      <c r="Y33" s="72">
        <f t="shared" si="11"/>
        <v>21.400000000000006</v>
      </c>
      <c r="Z33" s="18">
        <f t="shared" si="12"/>
        <v>52.30000000000001</v>
      </c>
      <c r="AA33" s="109"/>
      <c r="AB33" s="19"/>
      <c r="AC33" s="19"/>
    </row>
    <row r="34" spans="1:29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15"/>
        <v>0</v>
      </c>
      <c r="J34" s="44">
        <v>4.6</v>
      </c>
      <c r="K34" s="44">
        <v>3.7</v>
      </c>
      <c r="L34" s="75">
        <f t="shared" si="16"/>
        <v>80.43478260869567</v>
      </c>
      <c r="M34" s="89">
        <f t="shared" si="7"/>
        <v>13.499999999999998</v>
      </c>
      <c r="N34" s="89">
        <f t="shared" si="8"/>
        <v>6.1</v>
      </c>
      <c r="O34" s="11">
        <f t="shared" si="6"/>
        <v>45.18518518518519</v>
      </c>
      <c r="P34" s="44">
        <v>5.1</v>
      </c>
      <c r="Q34" s="44">
        <v>8.9</v>
      </c>
      <c r="R34" s="150">
        <f t="shared" si="17"/>
        <v>174.50980392156865</v>
      </c>
      <c r="S34" s="44">
        <v>4.9</v>
      </c>
      <c r="T34" s="44">
        <v>0.1</v>
      </c>
      <c r="U34" s="150">
        <f t="shared" si="18"/>
        <v>2.0408163265306123</v>
      </c>
      <c r="V34" s="72">
        <f t="shared" si="9"/>
        <v>23.5</v>
      </c>
      <c r="W34" s="72">
        <f t="shared" si="10"/>
        <v>15.1</v>
      </c>
      <c r="X34" s="11">
        <f t="shared" si="5"/>
        <v>64.25531914893618</v>
      </c>
      <c r="Y34" s="72">
        <f t="shared" si="11"/>
        <v>8.4</v>
      </c>
      <c r="Z34" s="18">
        <f t="shared" si="12"/>
        <v>14.500000000000002</v>
      </c>
      <c r="AA34" s="109"/>
      <c r="AB34" s="19"/>
      <c r="AC34" s="19"/>
    </row>
    <row r="35" spans="1:29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19" ref="I35:I43">H35/G35*100</f>
        <v>0</v>
      </c>
      <c r="J35" s="44">
        <v>39.3</v>
      </c>
      <c r="K35" s="44">
        <v>41.3</v>
      </c>
      <c r="L35" s="11">
        <f t="shared" si="16"/>
        <v>105.08905852417303</v>
      </c>
      <c r="M35" s="89">
        <f t="shared" si="7"/>
        <v>118.3</v>
      </c>
      <c r="N35" s="89">
        <f t="shared" si="8"/>
        <v>83.3</v>
      </c>
      <c r="O35" s="11">
        <f t="shared" si="6"/>
        <v>70.41420118343196</v>
      </c>
      <c r="P35" s="44">
        <v>47.5</v>
      </c>
      <c r="Q35" s="44">
        <v>37.8</v>
      </c>
      <c r="R35" s="11">
        <f t="shared" si="17"/>
        <v>79.57894736842105</v>
      </c>
      <c r="S35" s="44">
        <v>50.6</v>
      </c>
      <c r="T35" s="44">
        <v>84.1</v>
      </c>
      <c r="U35" s="11">
        <f t="shared" si="18"/>
        <v>166.2055335968379</v>
      </c>
      <c r="V35" s="72">
        <f t="shared" si="9"/>
        <v>216.4</v>
      </c>
      <c r="W35" s="72">
        <f t="shared" si="10"/>
        <v>205.2</v>
      </c>
      <c r="X35" s="11">
        <f t="shared" si="5"/>
        <v>94.82439926062845</v>
      </c>
      <c r="Y35" s="72">
        <f t="shared" si="11"/>
        <v>11.200000000000017</v>
      </c>
      <c r="Z35" s="18">
        <f t="shared" si="12"/>
        <v>53.19999999999999</v>
      </c>
      <c r="AA35" s="109"/>
      <c r="AB35" s="19"/>
      <c r="AC35" s="19"/>
    </row>
    <row r="36" spans="1:29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19"/>
        <v>0</v>
      </c>
      <c r="J36" s="44">
        <f>34.8+1.3</f>
        <v>36.099999999999994</v>
      </c>
      <c r="K36" s="44">
        <f>34.9+1.4</f>
        <v>36.3</v>
      </c>
      <c r="L36" s="11">
        <f t="shared" si="16"/>
        <v>100.55401662049863</v>
      </c>
      <c r="M36" s="89">
        <f t="shared" si="7"/>
        <v>108.89999999999999</v>
      </c>
      <c r="N36" s="89">
        <f t="shared" si="8"/>
        <v>73.89999999999999</v>
      </c>
      <c r="O36" s="11">
        <f t="shared" si="6"/>
        <v>67.86042240587695</v>
      </c>
      <c r="P36" s="44">
        <f>1.3+37.9</f>
        <v>39.199999999999996</v>
      </c>
      <c r="Q36" s="44">
        <f>2.4+35.4</f>
        <v>37.8</v>
      </c>
      <c r="R36" s="11">
        <f t="shared" si="17"/>
        <v>96.42857142857143</v>
      </c>
      <c r="S36" s="44">
        <f>1.4+37.1</f>
        <v>38.5</v>
      </c>
      <c r="T36" s="44">
        <f>1.3+71.7</f>
        <v>73</v>
      </c>
      <c r="U36" s="11">
        <f t="shared" si="18"/>
        <v>189.6103896103896</v>
      </c>
      <c r="V36" s="72">
        <f t="shared" si="9"/>
        <v>186.6</v>
      </c>
      <c r="W36" s="72">
        <f t="shared" si="10"/>
        <v>184.7</v>
      </c>
      <c r="X36" s="11">
        <f t="shared" si="5"/>
        <v>98.98177920685958</v>
      </c>
      <c r="Y36" s="72">
        <f t="shared" si="11"/>
        <v>1.9000000000000057</v>
      </c>
      <c r="Z36" s="18">
        <f t="shared" si="12"/>
        <v>17.30000000000001</v>
      </c>
      <c r="AA36" s="109"/>
      <c r="AB36" s="19"/>
      <c r="AC36" s="19"/>
    </row>
    <row r="37" spans="1:29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19"/>
        <v>0</v>
      </c>
      <c r="J37" s="44">
        <v>40.1</v>
      </c>
      <c r="K37" s="44">
        <v>88.4</v>
      </c>
      <c r="L37" s="11">
        <f t="shared" si="16"/>
        <v>220.4488778054863</v>
      </c>
      <c r="M37" s="89">
        <f t="shared" si="7"/>
        <v>128.5</v>
      </c>
      <c r="N37" s="89">
        <f t="shared" si="8"/>
        <v>132</v>
      </c>
      <c r="O37" s="11">
        <f t="shared" si="6"/>
        <v>102.7237354085603</v>
      </c>
      <c r="P37" s="44">
        <v>49.2</v>
      </c>
      <c r="Q37" s="44">
        <v>0</v>
      </c>
      <c r="R37" s="11">
        <f t="shared" si="17"/>
        <v>0</v>
      </c>
      <c r="S37" s="44">
        <v>51</v>
      </c>
      <c r="T37" s="44">
        <v>0</v>
      </c>
      <c r="U37" s="11">
        <f t="shared" si="18"/>
        <v>0</v>
      </c>
      <c r="V37" s="72">
        <f t="shared" si="9"/>
        <v>228.7</v>
      </c>
      <c r="W37" s="72">
        <f t="shared" si="10"/>
        <v>132</v>
      </c>
      <c r="X37" s="11">
        <f t="shared" si="5"/>
        <v>57.71753388718845</v>
      </c>
      <c r="Y37" s="72">
        <f t="shared" si="11"/>
        <v>96.69999999999999</v>
      </c>
      <c r="Z37" s="18">
        <f t="shared" si="12"/>
        <v>140.3</v>
      </c>
      <c r="AA37" s="109"/>
      <c r="AB37" s="19"/>
      <c r="AC37" s="19"/>
    </row>
    <row r="38" spans="1:29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19"/>
        <v>0</v>
      </c>
      <c r="J38" s="44">
        <v>13.1</v>
      </c>
      <c r="K38" s="44">
        <v>10.9</v>
      </c>
      <c r="L38" s="11">
        <f t="shared" si="16"/>
        <v>83.20610687022901</v>
      </c>
      <c r="M38" s="89">
        <f t="shared" si="7"/>
        <v>34.8</v>
      </c>
      <c r="N38" s="89">
        <f t="shared" si="8"/>
        <v>21.200000000000003</v>
      </c>
      <c r="O38" s="11">
        <f t="shared" si="6"/>
        <v>60.91954022988507</v>
      </c>
      <c r="P38" s="44">
        <v>13.6</v>
      </c>
      <c r="Q38" s="44">
        <v>21.7</v>
      </c>
      <c r="R38" s="11">
        <f t="shared" si="17"/>
        <v>159.55882352941174</v>
      </c>
      <c r="S38" s="44">
        <v>13.7</v>
      </c>
      <c r="T38" s="44">
        <v>26.8</v>
      </c>
      <c r="U38" s="11">
        <f t="shared" si="18"/>
        <v>195.6204379562044</v>
      </c>
      <c r="V38" s="72">
        <f t="shared" si="9"/>
        <v>62.099999999999994</v>
      </c>
      <c r="W38" s="72">
        <f t="shared" si="10"/>
        <v>69.7</v>
      </c>
      <c r="X38" s="11">
        <f t="shared" si="5"/>
        <v>112.23832528180355</v>
      </c>
      <c r="Y38" s="72">
        <f t="shared" si="11"/>
        <v>-7.6000000000000085</v>
      </c>
      <c r="Z38" s="18">
        <f t="shared" si="12"/>
        <v>33.19999999999999</v>
      </c>
      <c r="AA38" s="109"/>
      <c r="AB38" s="19"/>
      <c r="AC38" s="19"/>
    </row>
    <row r="39" spans="1:29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19"/>
        <v>94.34628975265016</v>
      </c>
      <c r="J39" s="44">
        <v>27.2</v>
      </c>
      <c r="K39" s="44">
        <v>28.3</v>
      </c>
      <c r="L39" s="148">
        <f t="shared" si="16"/>
        <v>104.04411764705883</v>
      </c>
      <c r="M39" s="89">
        <f t="shared" si="7"/>
        <v>82.2</v>
      </c>
      <c r="N39" s="89">
        <f t="shared" si="8"/>
        <v>83.5</v>
      </c>
      <c r="O39" s="11">
        <f t="shared" si="6"/>
        <v>101.58150851581509</v>
      </c>
      <c r="P39" s="44">
        <v>27.7</v>
      </c>
      <c r="Q39" s="44">
        <v>0</v>
      </c>
      <c r="R39" s="150">
        <f t="shared" si="17"/>
        <v>0</v>
      </c>
      <c r="S39" s="44">
        <v>32</v>
      </c>
      <c r="T39" s="44">
        <v>54.9</v>
      </c>
      <c r="U39" s="150">
        <f t="shared" si="18"/>
        <v>171.5625</v>
      </c>
      <c r="V39" s="72">
        <f t="shared" si="9"/>
        <v>141.9</v>
      </c>
      <c r="W39" s="72">
        <f t="shared" si="10"/>
        <v>138.4</v>
      </c>
      <c r="X39" s="11">
        <f t="shared" si="5"/>
        <v>97.53347427766033</v>
      </c>
      <c r="Y39" s="72">
        <f t="shared" si="11"/>
        <v>3.5</v>
      </c>
      <c r="Z39" s="18">
        <f t="shared" si="12"/>
        <v>32</v>
      </c>
      <c r="AA39" s="109"/>
      <c r="AB39" s="19"/>
      <c r="AC39" s="19"/>
    </row>
    <row r="40" spans="1:29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19"/>
        <v>0</v>
      </c>
      <c r="J40" s="44">
        <v>67.3</v>
      </c>
      <c r="K40" s="44">
        <v>0</v>
      </c>
      <c r="L40" s="148">
        <f t="shared" si="16"/>
        <v>0</v>
      </c>
      <c r="M40" s="89">
        <f t="shared" si="7"/>
        <v>202.89999999999998</v>
      </c>
      <c r="N40" s="89">
        <f t="shared" si="8"/>
        <v>119</v>
      </c>
      <c r="O40" s="11">
        <f t="shared" si="6"/>
        <v>58.64958107442091</v>
      </c>
      <c r="P40" s="44">
        <v>72</v>
      </c>
      <c r="Q40" s="44">
        <v>137.9</v>
      </c>
      <c r="R40" s="150">
        <f t="shared" si="17"/>
        <v>191.52777777777777</v>
      </c>
      <c r="S40" s="44">
        <v>72.4</v>
      </c>
      <c r="T40" s="44">
        <v>0</v>
      </c>
      <c r="U40" s="150">
        <f t="shared" si="18"/>
        <v>0</v>
      </c>
      <c r="V40" s="72">
        <f t="shared" si="9"/>
        <v>347.29999999999995</v>
      </c>
      <c r="W40" s="72">
        <f t="shared" si="10"/>
        <v>256.9</v>
      </c>
      <c r="X40" s="11">
        <f t="shared" si="5"/>
        <v>73.97063057875036</v>
      </c>
      <c r="Y40" s="72">
        <f t="shared" si="11"/>
        <v>90.39999999999998</v>
      </c>
      <c r="Z40" s="18">
        <f t="shared" si="12"/>
        <v>277.19999999999993</v>
      </c>
      <c r="AA40" s="109"/>
      <c r="AB40" s="19"/>
      <c r="AC40" s="19"/>
    </row>
    <row r="41" spans="1:29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19"/>
        <v>0</v>
      </c>
      <c r="J41" s="18">
        <f>SUM(J42:J42)</f>
        <v>1138.7</v>
      </c>
      <c r="K41" s="18">
        <f>SUM(K42:K42)</f>
        <v>77.3</v>
      </c>
      <c r="L41" s="148">
        <f t="shared" si="16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6"/>
        <v>72.42236726851459</v>
      </c>
      <c r="P41" s="18">
        <f>SUM(P42:P42)</f>
        <v>1230.5</v>
      </c>
      <c r="Q41" s="18">
        <f>SUM(Q42:Q42)</f>
        <v>1162.8</v>
      </c>
      <c r="R41" s="11">
        <f t="shared" si="17"/>
        <v>94.49817147501015</v>
      </c>
      <c r="S41" s="18">
        <f>SUM(S42:S42)</f>
        <v>1285.1</v>
      </c>
      <c r="T41" s="18">
        <f>SUM(T42:T42)</f>
        <v>0</v>
      </c>
      <c r="U41" s="11">
        <f t="shared" si="18"/>
        <v>0</v>
      </c>
      <c r="V41" s="18">
        <f>SUM(V42:V42)</f>
        <v>6054.700000000001</v>
      </c>
      <c r="W41" s="18">
        <f>SUM(W42:W42)</f>
        <v>3725.9000000000005</v>
      </c>
      <c r="X41" s="11">
        <f t="shared" si="5"/>
        <v>61.53731811650454</v>
      </c>
      <c r="Y41" s="18">
        <f>SUM(Y42:Y42)</f>
        <v>2328.8</v>
      </c>
      <c r="Z41" s="18">
        <f>SUM(Z42:Z42)</f>
        <v>5349.500000000001</v>
      </c>
      <c r="AA41" s="109"/>
      <c r="AB41" s="48"/>
      <c r="AC41" s="48"/>
    </row>
    <row r="42" spans="1:29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19"/>
        <v>0</v>
      </c>
      <c r="J42" s="44">
        <v>1138.7</v>
      </c>
      <c r="K42" s="44">
        <v>77.3</v>
      </c>
      <c r="L42" s="148">
        <f t="shared" si="16"/>
        <v>6.788442961271625</v>
      </c>
      <c r="M42" s="89">
        <f t="shared" si="7"/>
        <v>3539.1000000000004</v>
      </c>
      <c r="N42" s="89">
        <f t="shared" si="8"/>
        <v>2563.1000000000004</v>
      </c>
      <c r="O42" s="11">
        <f t="shared" si="6"/>
        <v>72.42236726851459</v>
      </c>
      <c r="P42" s="44">
        <v>1230.5</v>
      </c>
      <c r="Q42" s="44">
        <v>1162.8</v>
      </c>
      <c r="R42" s="11">
        <f t="shared" si="17"/>
        <v>94.49817147501015</v>
      </c>
      <c r="S42" s="44">
        <v>1285.1</v>
      </c>
      <c r="T42" s="44">
        <v>0</v>
      </c>
      <c r="U42" s="11">
        <f t="shared" si="18"/>
        <v>0</v>
      </c>
      <c r="V42" s="72">
        <f>M42+P42+S42</f>
        <v>6054.700000000001</v>
      </c>
      <c r="W42" s="153">
        <f>N42+Q42+T42</f>
        <v>3725.9000000000005</v>
      </c>
      <c r="X42" s="11">
        <f t="shared" si="5"/>
        <v>61.53731811650454</v>
      </c>
      <c r="Y42" s="72">
        <f t="shared" si="11"/>
        <v>2328.8</v>
      </c>
      <c r="Z42" s="18">
        <f t="shared" si="12"/>
        <v>5349.500000000001</v>
      </c>
      <c r="AA42" s="109"/>
      <c r="AB42" s="48"/>
      <c r="AC42" s="48"/>
    </row>
    <row r="43" spans="1:29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19"/>
        <v>10.562170826654453</v>
      </c>
      <c r="J43" s="18">
        <f>J7+J41</f>
        <v>1713.9</v>
      </c>
      <c r="K43" s="18">
        <f>K7+K41</f>
        <v>601.4999999999999</v>
      </c>
      <c r="L43" s="148">
        <f t="shared" si="16"/>
        <v>35.095396464204434</v>
      </c>
      <c r="M43" s="18">
        <f>M7+M41</f>
        <v>5160.9</v>
      </c>
      <c r="N43" s="18">
        <f>N7+N41</f>
        <v>3943.6000000000004</v>
      </c>
      <c r="O43" s="11">
        <f t="shared" si="6"/>
        <v>76.41302873529811</v>
      </c>
      <c r="P43" s="18">
        <f>P7+P41</f>
        <v>1886.9</v>
      </c>
      <c r="Q43" s="18">
        <f>Q7+Q41</f>
        <v>1870</v>
      </c>
      <c r="R43" s="11">
        <f t="shared" si="17"/>
        <v>99.10435105199004</v>
      </c>
      <c r="S43" s="18">
        <f>S7+S41</f>
        <v>1952</v>
      </c>
      <c r="T43" s="18">
        <f>T7+T41</f>
        <v>339.8</v>
      </c>
      <c r="U43" s="11">
        <f t="shared" si="18"/>
        <v>17.4077868852459</v>
      </c>
      <c r="V43" s="83">
        <f>V7+V41</f>
        <v>8999.8</v>
      </c>
      <c r="W43" s="83">
        <f>W7+W41</f>
        <v>6153.4</v>
      </c>
      <c r="X43" s="11">
        <f>W43/V43*100</f>
        <v>68.37263050290007</v>
      </c>
      <c r="Y43" s="18">
        <f>Y7+Y41</f>
        <v>2846.4</v>
      </c>
      <c r="Z43" s="18">
        <f>Z7+Z41</f>
        <v>6909.800000000001</v>
      </c>
      <c r="AA43" s="109"/>
      <c r="AB43" s="48"/>
      <c r="AC43" s="48"/>
    </row>
    <row r="44" spans="1:29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25"/>
      <c r="W44" s="25"/>
      <c r="X44" s="86"/>
      <c r="Y44" s="86"/>
      <c r="Z44" s="85"/>
      <c r="AA44" s="109"/>
      <c r="AB44" s="48"/>
      <c r="AC44" s="48"/>
    </row>
    <row r="45" spans="1:27" s="38" customFormat="1" ht="96.75" customHeight="1">
      <c r="A45" s="33"/>
      <c r="B45" s="168" t="s">
        <v>136</v>
      </c>
      <c r="C45" s="168"/>
      <c r="D45" s="168"/>
      <c r="E45" s="168"/>
      <c r="F45" s="16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34"/>
      <c r="W45" s="34"/>
      <c r="X45" s="61"/>
      <c r="Y45" s="177" t="s">
        <v>137</v>
      </c>
      <c r="Z45" s="178"/>
      <c r="AA45" s="116"/>
    </row>
    <row r="46" spans="1:26" ht="73.5" customHeight="1" hidden="1">
      <c r="A46" s="164" t="s">
        <v>134</v>
      </c>
      <c r="B46" s="164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0"/>
      <c r="W46" s="40"/>
      <c r="X46" s="41"/>
      <c r="Z46" s="4" t="s">
        <v>135</v>
      </c>
    </row>
    <row r="47" spans="2:25" ht="32.25" customHeight="1" hidden="1">
      <c r="B47" s="175" t="s">
        <v>52</v>
      </c>
      <c r="C47" s="175"/>
      <c r="D47" s="175"/>
      <c r="E47" s="175"/>
      <c r="F47" s="175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V47" s="12"/>
      <c r="W47" s="12"/>
      <c r="Y47" s="12"/>
    </row>
    <row r="50" spans="3:26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  <c r="X50" s="60"/>
      <c r="Y50" s="21"/>
      <c r="Z50" s="21"/>
    </row>
    <row r="51" spans="3:26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</row>
    <row r="52" spans="3:26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  <c r="X52" s="60"/>
      <c r="Y52" s="21"/>
      <c r="Z52" s="21"/>
    </row>
    <row r="53" spans="3:26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  <c r="X53" s="60"/>
      <c r="Y53" s="21"/>
      <c r="Z53" s="21"/>
    </row>
    <row r="54" spans="3:26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  <c r="X54" s="60"/>
      <c r="Y54" s="21"/>
      <c r="Z54" s="21"/>
    </row>
    <row r="55" spans="3:26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  <c r="X55" s="60"/>
      <c r="Y55" s="21"/>
      <c r="Z55" s="21"/>
    </row>
    <row r="56" spans="3:26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  <c r="X56" s="60"/>
      <c r="Y56" s="21"/>
      <c r="Z56" s="21"/>
    </row>
    <row r="57" spans="3:26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  <c r="X57" s="60"/>
      <c r="Y57" s="21"/>
      <c r="Z57" s="21"/>
    </row>
    <row r="58" spans="3:26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  <c r="X58" s="60"/>
      <c r="Y58" s="21"/>
      <c r="Z58" s="21"/>
    </row>
    <row r="59" spans="3:26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  <c r="X59" s="60"/>
      <c r="Y59" s="21"/>
      <c r="Z59" s="21"/>
    </row>
    <row r="60" spans="3:26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  <c r="X60" s="60"/>
      <c r="Y60" s="21"/>
      <c r="Z60" s="21"/>
    </row>
    <row r="61" spans="3:26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  <c r="X61" s="60"/>
      <c r="Y61" s="21"/>
      <c r="Z61" s="21"/>
    </row>
    <row r="62" spans="3:26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  <c r="X62" s="60"/>
      <c r="Y62" s="21"/>
      <c r="Z62" s="21"/>
    </row>
    <row r="63" spans="3:26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  <c r="X63" s="60"/>
      <c r="Y63" s="21"/>
      <c r="Z63" s="21"/>
    </row>
    <row r="64" spans="3:26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  <c r="X64" s="60"/>
      <c r="Y64" s="21"/>
      <c r="Z64" s="21"/>
    </row>
    <row r="65" spans="3:26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  <c r="X65" s="60"/>
      <c r="Y65" s="21"/>
      <c r="Z65" s="21"/>
    </row>
    <row r="66" spans="3:26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  <c r="X66" s="60"/>
      <c r="Y66" s="21"/>
      <c r="Z66" s="21"/>
    </row>
    <row r="67" spans="3:26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  <c r="X67" s="60"/>
      <c r="Y67" s="21"/>
      <c r="Z67" s="21"/>
    </row>
    <row r="68" spans="3:26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  <c r="X68" s="60"/>
      <c r="Y68" s="21"/>
      <c r="Z68" s="21"/>
    </row>
    <row r="69" spans="3:26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  <c r="X69" s="60"/>
      <c r="Y69" s="21"/>
      <c r="Z69" s="21"/>
    </row>
    <row r="70" spans="3:26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  <c r="X70" s="60"/>
      <c r="Y70" s="21"/>
      <c r="Z70" s="21"/>
    </row>
    <row r="71" spans="3:26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  <c r="X71" s="60"/>
      <c r="Y71" s="21"/>
      <c r="Z71" s="21"/>
    </row>
    <row r="72" spans="3:26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  <c r="X72" s="60"/>
      <c r="Y72" s="21"/>
      <c r="Z72" s="21"/>
    </row>
    <row r="73" spans="3:26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  <c r="X73" s="60"/>
      <c r="Y73" s="21"/>
      <c r="Z73" s="21"/>
    </row>
    <row r="74" spans="3:26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  <c r="X74" s="60"/>
      <c r="Y74" s="21"/>
      <c r="Z74" s="21"/>
    </row>
    <row r="75" spans="3:26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  <c r="X75" s="60"/>
      <c r="Y75" s="21"/>
      <c r="Z75" s="21"/>
    </row>
    <row r="76" spans="3:26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  <c r="X76" s="60"/>
      <c r="Y76" s="21"/>
      <c r="Z76" s="21"/>
    </row>
    <row r="77" spans="3:26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  <c r="X77" s="60"/>
      <c r="Y77" s="21"/>
      <c r="Z77" s="21"/>
    </row>
    <row r="78" spans="3:26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  <c r="X78" s="60"/>
      <c r="Y78" s="21"/>
      <c r="Z78" s="21"/>
    </row>
    <row r="79" spans="3:26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  <c r="X79" s="60"/>
      <c r="Y79" s="21"/>
      <c r="Z79" s="21"/>
    </row>
    <row r="80" spans="3:26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  <c r="X80" s="60"/>
      <c r="Y80" s="21"/>
      <c r="Z80" s="21"/>
    </row>
    <row r="81" spans="3:26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  <c r="X81" s="60"/>
      <c r="Y81" s="21"/>
      <c r="Z81" s="21"/>
    </row>
    <row r="82" spans="3:26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  <c r="X82" s="60"/>
      <c r="Y82" s="21"/>
      <c r="Z82" s="21"/>
    </row>
    <row r="83" spans="3:26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  <c r="X83" s="60"/>
      <c r="Y83" s="21"/>
      <c r="Z83" s="21"/>
    </row>
    <row r="84" spans="3:26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  <c r="X84" s="60"/>
      <c r="Y84" s="21"/>
      <c r="Z84" s="21"/>
    </row>
    <row r="85" spans="3:26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  <c r="X85" s="60"/>
      <c r="Y85" s="21"/>
      <c r="Z85" s="21"/>
    </row>
    <row r="86" spans="3:26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  <c r="X86" s="60"/>
      <c r="Y86" s="21"/>
      <c r="Z86" s="21"/>
    </row>
    <row r="87" spans="3:26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  <c r="X87" s="60"/>
      <c r="Y87" s="21"/>
      <c r="Z87" s="21"/>
    </row>
    <row r="88" spans="3:26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  <c r="X88" s="60"/>
      <c r="Y88" s="21"/>
      <c r="Z88" s="21"/>
    </row>
    <row r="89" spans="3:26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  <c r="X89" s="60"/>
      <c r="Y89" s="21"/>
      <c r="Z89" s="21"/>
    </row>
    <row r="90" spans="3:26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  <c r="X90" s="60"/>
      <c r="Y90" s="21"/>
      <c r="Z90" s="21"/>
    </row>
    <row r="91" spans="3:26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  <c r="X91" s="60"/>
      <c r="Y91" s="21"/>
      <c r="Z91" s="21"/>
    </row>
    <row r="92" spans="3:26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  <c r="X92" s="60"/>
      <c r="Y92" s="21"/>
      <c r="Z92" s="21"/>
    </row>
    <row r="93" spans="3:26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  <c r="X93" s="60"/>
      <c r="Y93" s="21"/>
      <c r="Z93" s="21"/>
    </row>
    <row r="94" spans="3:26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  <c r="X94" s="60"/>
      <c r="Y94" s="21"/>
      <c r="Z94" s="21"/>
    </row>
    <row r="95" spans="3:26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  <c r="X95" s="60"/>
      <c r="Y95" s="21"/>
      <c r="Z95" s="21"/>
    </row>
  </sheetData>
  <sheetProtection/>
  <mergeCells count="17">
    <mergeCell ref="I1:Z1"/>
    <mergeCell ref="B2:Z2"/>
    <mergeCell ref="B3:Z3"/>
    <mergeCell ref="B4:F4"/>
    <mergeCell ref="Y45:Z45"/>
    <mergeCell ref="B45:F45"/>
    <mergeCell ref="D5:F5"/>
    <mergeCell ref="G5:I5"/>
    <mergeCell ref="V5:X5"/>
    <mergeCell ref="M5:O5"/>
    <mergeCell ref="B47:F47"/>
    <mergeCell ref="Y5:Y6"/>
    <mergeCell ref="P5:R5"/>
    <mergeCell ref="Z5:Z6"/>
    <mergeCell ref="A46:B46"/>
    <mergeCell ref="J5:L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view="pageBreakPreview" zoomScale="80" zoomScaleNormal="50" zoomScaleSheetLayoutView="80" zoomScalePageLayoutView="0" workbookViewId="0" topLeftCell="A1">
      <pane xSplit="6" ySplit="8" topLeftCell="S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3" width="14.75390625" style="2" customWidth="1"/>
    <col min="24" max="24" width="11.125" style="12" customWidth="1"/>
    <col min="25" max="25" width="16.75390625" style="2" customWidth="1"/>
    <col min="26" max="26" width="18.25390625" style="2" customWidth="1"/>
    <col min="27" max="27" width="15.375" style="2" customWidth="1"/>
    <col min="28" max="28" width="13.625" style="2" customWidth="1"/>
    <col min="29" max="16384" width="7.875" style="2" customWidth="1"/>
  </cols>
  <sheetData>
    <row r="1" spans="9:26" ht="22.5" customHeight="1">
      <c r="I1" s="161" t="s">
        <v>50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68"/>
      <c r="B2" s="162" t="s">
        <v>57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9.5" customHeight="1">
      <c r="B4" s="176"/>
      <c r="C4" s="176"/>
      <c r="D4" s="176"/>
      <c r="E4" s="176"/>
      <c r="F4" s="176"/>
      <c r="Z4" s="5" t="s">
        <v>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28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17784.8</v>
      </c>
      <c r="L7" s="11">
        <f aca="true" t="shared" si="2" ref="L7:L28">K7/J7*100</f>
        <v>105.7548908842243</v>
      </c>
      <c r="M7" s="11">
        <f>SUM(M8:M40)</f>
        <v>48297.499999999985</v>
      </c>
      <c r="N7" s="11">
        <f>SUM(N8:N40)</f>
        <v>38919.3</v>
      </c>
      <c r="O7" s="11">
        <f>N7/M7*100</f>
        <v>80.58243180288838</v>
      </c>
      <c r="P7" s="11">
        <f>SUM(P8:P40)</f>
        <v>9508.5</v>
      </c>
      <c r="Q7" s="11">
        <f>SUM(Q8:Q40)</f>
        <v>17255.2</v>
      </c>
      <c r="R7" s="11">
        <f aca="true" t="shared" si="3" ref="R7:R28">Q7/P7*100</f>
        <v>181.4713151390861</v>
      </c>
      <c r="S7" s="11">
        <f>SUM(S8:S40)</f>
        <v>-26220.000000000004</v>
      </c>
      <c r="T7" s="11">
        <f>SUM(T8:T40)</f>
        <v>5930.2</v>
      </c>
      <c r="U7" s="11">
        <f aca="true" t="shared" si="4" ref="U7:U28">T7/S7*100</f>
        <v>-22.61708619374523</v>
      </c>
      <c r="V7" s="67">
        <f>SUM(V8:V40)</f>
        <v>31586</v>
      </c>
      <c r="W7" s="67">
        <f>SUM(W8:W40)</f>
        <v>62104.7</v>
      </c>
      <c r="X7" s="11">
        <f aca="true" t="shared" si="5" ref="X7:X42">W7/V7*100</f>
        <v>196.62097131640598</v>
      </c>
      <c r="Y7" s="11">
        <f>SUM(Y8:Y40)</f>
        <v>-30518.7</v>
      </c>
      <c r="Z7" s="11">
        <f>SUM(Z8:Z40)</f>
        <v>-7087.4</v>
      </c>
      <c r="AA7" s="27">
        <f>SUM(Y8:Y40)</f>
        <v>-30518.7</v>
      </c>
      <c r="AB7" s="27">
        <f>SUM(Z8:Z40)</f>
        <v>-7087.4</v>
      </c>
    </row>
    <row r="8" spans="1:27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6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72">
        <f>M8+P8+S8</f>
        <v>4094.2999999999997</v>
      </c>
      <c r="W8" s="72">
        <f>N8+Q8+T8</f>
        <v>5144.6</v>
      </c>
      <c r="X8" s="11">
        <f t="shared" si="5"/>
        <v>125.65273673155363</v>
      </c>
      <c r="Y8" s="72">
        <f>V8-W8</f>
        <v>-1050.3000000000006</v>
      </c>
      <c r="Z8" s="18">
        <f>C8+V8-W8</f>
        <v>1059.199999999999</v>
      </c>
      <c r="AA8" s="19"/>
    </row>
    <row r="9" spans="1:27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7" ref="M9:M42">D9+G9+J9</f>
        <v>861.8</v>
      </c>
      <c r="N9" s="89">
        <f aca="true" t="shared" si="8" ref="N9:N42">E9+H9+K9</f>
        <v>995.1999999999999</v>
      </c>
      <c r="O9" s="11">
        <f t="shared" si="6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72">
        <f aca="true" t="shared" si="9" ref="V9:V40">M9+P9+S9</f>
        <v>93.39999999999986</v>
      </c>
      <c r="W9" s="72">
        <f aca="true" t="shared" si="10" ref="W9:W40">N9+Q9+T9</f>
        <v>1282.1999999999998</v>
      </c>
      <c r="X9" s="11">
        <f t="shared" si="5"/>
        <v>1372.8051391862973</v>
      </c>
      <c r="Y9" s="72">
        <f aca="true" t="shared" si="11" ref="Y9:Y42">V9-W9</f>
        <v>-1188.8</v>
      </c>
      <c r="Z9" s="18">
        <f aca="true" t="shared" si="12" ref="Z9:Z42">C9+V9-W9</f>
        <v>-481.5</v>
      </c>
      <c r="AA9" s="19"/>
    </row>
    <row r="10" spans="1:27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7"/>
        <v>304.8</v>
      </c>
      <c r="N10" s="89">
        <f t="shared" si="8"/>
        <v>95.5</v>
      </c>
      <c r="O10" s="11">
        <f t="shared" si="6"/>
        <v>31.332020997375327</v>
      </c>
      <c r="P10" s="44">
        <v>74.9</v>
      </c>
      <c r="Q10" s="44">
        <v>382.9</v>
      </c>
      <c r="R10" s="149">
        <f t="shared" si="3"/>
        <v>511.214953271028</v>
      </c>
      <c r="S10" s="44">
        <v>4.7</v>
      </c>
      <c r="T10" s="44">
        <v>4.7</v>
      </c>
      <c r="U10" s="149">
        <f t="shared" si="4"/>
        <v>100</v>
      </c>
      <c r="V10" s="72">
        <f t="shared" si="9"/>
        <v>384.40000000000003</v>
      </c>
      <c r="W10" s="72">
        <f t="shared" si="10"/>
        <v>483.09999999999997</v>
      </c>
      <c r="X10" s="11">
        <f t="shared" si="5"/>
        <v>125.67637877211237</v>
      </c>
      <c r="Y10" s="72">
        <f t="shared" si="11"/>
        <v>-98.69999999999993</v>
      </c>
      <c r="Z10" s="18">
        <f t="shared" si="12"/>
        <v>0</v>
      </c>
      <c r="AA10" s="19"/>
    </row>
    <row r="11" spans="1:27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7"/>
        <v>768.1</v>
      </c>
      <c r="N11" s="89">
        <f t="shared" si="8"/>
        <v>752.2</v>
      </c>
      <c r="O11" s="11">
        <f t="shared" si="6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72">
        <f t="shared" si="9"/>
        <v>867.8000000000001</v>
      </c>
      <c r="W11" s="72">
        <f t="shared" si="10"/>
        <v>752.2</v>
      </c>
      <c r="X11" s="11">
        <f t="shared" si="5"/>
        <v>86.6789582853192</v>
      </c>
      <c r="Y11" s="72">
        <f t="shared" si="11"/>
        <v>115.60000000000002</v>
      </c>
      <c r="Z11" s="18">
        <f t="shared" si="12"/>
        <v>576</v>
      </c>
      <c r="AA11" s="19"/>
    </row>
    <row r="12" spans="1:27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7"/>
        <v>1050.6</v>
      </c>
      <c r="N12" s="89">
        <f t="shared" si="8"/>
        <v>804.9</v>
      </c>
      <c r="O12" s="11">
        <f t="shared" si="6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72">
        <f t="shared" si="9"/>
        <v>635.9999999999999</v>
      </c>
      <c r="W12" s="72">
        <f t="shared" si="10"/>
        <v>923.6999999999999</v>
      </c>
      <c r="X12" s="11">
        <f t="shared" si="5"/>
        <v>145.2358490566038</v>
      </c>
      <c r="Y12" s="72">
        <f t="shared" si="11"/>
        <v>-287.70000000000005</v>
      </c>
      <c r="Z12" s="18">
        <f t="shared" si="12"/>
        <v>280.4999999999999</v>
      </c>
      <c r="AA12" s="19"/>
    </row>
    <row r="13" spans="1:27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7"/>
        <v>1124.1999999999998</v>
      </c>
      <c r="N13" s="89">
        <f t="shared" si="8"/>
        <v>1082.5</v>
      </c>
      <c r="O13" s="11">
        <f t="shared" si="6"/>
        <v>96.29069560576411</v>
      </c>
      <c r="P13" s="44">
        <v>204.6</v>
      </c>
      <c r="Q13" s="44">
        <v>12</v>
      </c>
      <c r="R13" s="149">
        <f t="shared" si="3"/>
        <v>5.865102639296188</v>
      </c>
      <c r="S13" s="44">
        <v>-1077.7</v>
      </c>
      <c r="T13" s="44">
        <v>5.2</v>
      </c>
      <c r="U13" s="149">
        <f t="shared" si="4"/>
        <v>-0.48250904704463204</v>
      </c>
      <c r="V13" s="72">
        <f t="shared" si="9"/>
        <v>251.09999999999968</v>
      </c>
      <c r="W13" s="72">
        <f t="shared" si="10"/>
        <v>1099.7</v>
      </c>
      <c r="X13" s="11">
        <f t="shared" si="5"/>
        <v>437.9530067702117</v>
      </c>
      <c r="Y13" s="72">
        <f t="shared" si="11"/>
        <v>-848.6000000000004</v>
      </c>
      <c r="Z13" s="18">
        <f t="shared" si="12"/>
        <v>136.49999999999977</v>
      </c>
      <c r="AA13" s="19"/>
    </row>
    <row r="14" spans="1:27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7"/>
        <v>460.8</v>
      </c>
      <c r="N14" s="89">
        <f t="shared" si="8"/>
        <v>292.7</v>
      </c>
      <c r="O14" s="11">
        <f t="shared" si="6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72">
        <f t="shared" si="9"/>
        <v>536.8</v>
      </c>
      <c r="W14" s="72">
        <f t="shared" si="10"/>
        <v>690.3</v>
      </c>
      <c r="X14" s="11">
        <f t="shared" si="5"/>
        <v>128.59538002980625</v>
      </c>
      <c r="Y14" s="72">
        <f t="shared" si="11"/>
        <v>-153.5</v>
      </c>
      <c r="Z14" s="18">
        <f t="shared" si="12"/>
        <v>0</v>
      </c>
      <c r="AA14" s="19"/>
    </row>
    <row r="15" spans="1:27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7"/>
        <v>1691.6999999999998</v>
      </c>
      <c r="N15" s="89">
        <f t="shared" si="8"/>
        <v>692.7</v>
      </c>
      <c r="O15" s="11">
        <f t="shared" si="6"/>
        <v>40.946976414257854</v>
      </c>
      <c r="P15" s="44">
        <v>330.1</v>
      </c>
      <c r="Q15" s="44">
        <v>1222.2</v>
      </c>
      <c r="R15" s="149">
        <f t="shared" si="3"/>
        <v>370.25143895789154</v>
      </c>
      <c r="S15" s="44">
        <v>-572.1</v>
      </c>
      <c r="T15" s="44">
        <v>198.1</v>
      </c>
      <c r="U15" s="149">
        <f t="shared" si="4"/>
        <v>-34.62681349414438</v>
      </c>
      <c r="V15" s="72">
        <f t="shared" si="9"/>
        <v>1449.6999999999998</v>
      </c>
      <c r="W15" s="72">
        <f t="shared" si="10"/>
        <v>2113</v>
      </c>
      <c r="X15" s="11">
        <f t="shared" si="5"/>
        <v>145.7542939918604</v>
      </c>
      <c r="Y15" s="72">
        <f t="shared" si="11"/>
        <v>-663.3000000000002</v>
      </c>
      <c r="Z15" s="18">
        <f t="shared" si="12"/>
        <v>-193.9000000000001</v>
      </c>
      <c r="AA15" s="19"/>
    </row>
    <row r="16" spans="1:27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7"/>
        <v>108.99999999999999</v>
      </c>
      <c r="N16" s="89">
        <f t="shared" si="8"/>
        <v>106.4</v>
      </c>
      <c r="O16" s="11">
        <f t="shared" si="6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72">
        <f t="shared" si="9"/>
        <v>126.99999999999997</v>
      </c>
      <c r="W16" s="72">
        <f t="shared" si="10"/>
        <v>136.4</v>
      </c>
      <c r="X16" s="11">
        <f t="shared" si="5"/>
        <v>107.40157480314963</v>
      </c>
      <c r="Y16" s="72">
        <f t="shared" si="11"/>
        <v>-9.400000000000034</v>
      </c>
      <c r="Z16" s="18">
        <f t="shared" si="12"/>
        <v>56.89999999999995</v>
      </c>
      <c r="AA16" s="19"/>
    </row>
    <row r="17" spans="1:27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7"/>
        <v>943.6999999999999</v>
      </c>
      <c r="N17" s="89">
        <f t="shared" si="8"/>
        <v>939.8</v>
      </c>
      <c r="O17" s="11">
        <f t="shared" si="6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72">
        <f t="shared" si="9"/>
        <v>1534.8</v>
      </c>
      <c r="W17" s="72">
        <f t="shared" si="10"/>
        <v>1756.1</v>
      </c>
      <c r="X17" s="11">
        <f t="shared" si="5"/>
        <v>114.41881678394579</v>
      </c>
      <c r="Y17" s="72">
        <f t="shared" si="11"/>
        <v>-221.29999999999995</v>
      </c>
      <c r="Z17" s="18">
        <f t="shared" si="12"/>
        <v>271.79999999999995</v>
      </c>
      <c r="AA17" s="19"/>
    </row>
    <row r="18" spans="1:27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7"/>
        <v>516.9</v>
      </c>
      <c r="N18" s="89">
        <f t="shared" si="8"/>
        <v>537.3</v>
      </c>
      <c r="O18" s="11">
        <f t="shared" si="6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72">
        <f t="shared" si="9"/>
        <v>633.0999999999999</v>
      </c>
      <c r="W18" s="72">
        <f t="shared" si="10"/>
        <v>1051.8</v>
      </c>
      <c r="X18" s="11">
        <f t="shared" si="5"/>
        <v>166.13489180224295</v>
      </c>
      <c r="Y18" s="72">
        <f t="shared" si="11"/>
        <v>-418.70000000000005</v>
      </c>
      <c r="Z18" s="18">
        <f t="shared" si="12"/>
        <v>10.399999999999864</v>
      </c>
      <c r="AA18" s="19"/>
    </row>
    <row r="19" spans="1:27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7"/>
        <v>1271</v>
      </c>
      <c r="N19" s="89">
        <f t="shared" si="8"/>
        <v>157.1</v>
      </c>
      <c r="O19" s="11">
        <f t="shared" si="6"/>
        <v>12.360346184107001</v>
      </c>
      <c r="P19" s="44">
        <v>212.4</v>
      </c>
      <c r="Q19" s="44">
        <v>443.8</v>
      </c>
      <c r="R19" s="149">
        <f t="shared" si="3"/>
        <v>208.94538606403015</v>
      </c>
      <c r="S19" s="44">
        <v>-603.7</v>
      </c>
      <c r="T19" s="44">
        <v>0</v>
      </c>
      <c r="U19" s="149">
        <f t="shared" si="4"/>
        <v>0</v>
      </c>
      <c r="V19" s="72">
        <f t="shared" si="9"/>
        <v>879.7</v>
      </c>
      <c r="W19" s="72">
        <f t="shared" si="10"/>
        <v>600.9</v>
      </c>
      <c r="X19" s="11">
        <f t="shared" si="5"/>
        <v>68.30737751506194</v>
      </c>
      <c r="Y19" s="72">
        <f t="shared" si="11"/>
        <v>278.80000000000007</v>
      </c>
      <c r="Z19" s="18">
        <f t="shared" si="12"/>
        <v>1005.0000000000001</v>
      </c>
      <c r="AA19" s="19"/>
    </row>
    <row r="20" spans="1:27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7"/>
        <v>334.7</v>
      </c>
      <c r="N20" s="89">
        <f t="shared" si="8"/>
        <v>280.7</v>
      </c>
      <c r="O20" s="11">
        <f t="shared" si="6"/>
        <v>83.86614878996116</v>
      </c>
      <c r="P20" s="44">
        <v>229.3</v>
      </c>
      <c r="Q20" s="44">
        <v>259.2</v>
      </c>
      <c r="R20" s="149">
        <f t="shared" si="3"/>
        <v>113.03968600087222</v>
      </c>
      <c r="S20" s="44">
        <v>-140.3</v>
      </c>
      <c r="T20" s="44">
        <v>0.2</v>
      </c>
      <c r="U20" s="149">
        <f t="shared" si="4"/>
        <v>-0.14255167498218102</v>
      </c>
      <c r="V20" s="72">
        <f t="shared" si="9"/>
        <v>423.7</v>
      </c>
      <c r="W20" s="72">
        <f t="shared" si="10"/>
        <v>540.1</v>
      </c>
      <c r="X20" s="11">
        <f t="shared" si="5"/>
        <v>127.47226811423178</v>
      </c>
      <c r="Y20" s="72">
        <f t="shared" si="11"/>
        <v>-116.40000000000003</v>
      </c>
      <c r="Z20" s="18">
        <f t="shared" si="12"/>
        <v>91.10000000000002</v>
      </c>
      <c r="AA20" s="19"/>
    </row>
    <row r="21" spans="1:27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7"/>
        <v>77.9</v>
      </c>
      <c r="N21" s="89">
        <f t="shared" si="8"/>
        <v>81.6</v>
      </c>
      <c r="O21" s="11">
        <f t="shared" si="6"/>
        <v>104.74967907573811</v>
      </c>
      <c r="P21" s="44">
        <v>17</v>
      </c>
      <c r="Q21" s="44">
        <v>25.3</v>
      </c>
      <c r="R21" s="149">
        <f t="shared" si="3"/>
        <v>148.8235294117647</v>
      </c>
      <c r="S21" s="44">
        <v>-57.9</v>
      </c>
      <c r="T21" s="44">
        <v>0</v>
      </c>
      <c r="U21" s="149">
        <f t="shared" si="4"/>
        <v>0</v>
      </c>
      <c r="V21" s="72">
        <f t="shared" si="9"/>
        <v>37.00000000000001</v>
      </c>
      <c r="W21" s="72">
        <f t="shared" si="10"/>
        <v>106.89999999999999</v>
      </c>
      <c r="X21" s="11">
        <f t="shared" si="5"/>
        <v>288.91891891891885</v>
      </c>
      <c r="Y21" s="72">
        <f t="shared" si="11"/>
        <v>-69.89999999999998</v>
      </c>
      <c r="Z21" s="18">
        <f t="shared" si="12"/>
        <v>-14.699999999999974</v>
      </c>
      <c r="AA21" s="19"/>
    </row>
    <row r="22" spans="1:27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7"/>
        <v>524.6</v>
      </c>
      <c r="N22" s="89">
        <f t="shared" si="8"/>
        <v>511.29999999999995</v>
      </c>
      <c r="O22" s="11">
        <f t="shared" si="6"/>
        <v>97.46473503621806</v>
      </c>
      <c r="P22" s="44">
        <v>82.2</v>
      </c>
      <c r="Q22" s="44">
        <v>233.1</v>
      </c>
      <c r="R22" s="149">
        <f t="shared" si="3"/>
        <v>283.5766423357664</v>
      </c>
      <c r="S22" s="44">
        <v>-223.4</v>
      </c>
      <c r="T22" s="44">
        <v>0</v>
      </c>
      <c r="U22" s="149">
        <f t="shared" si="4"/>
        <v>0</v>
      </c>
      <c r="V22" s="72">
        <f t="shared" si="9"/>
        <v>383.4000000000001</v>
      </c>
      <c r="W22" s="72">
        <f t="shared" si="10"/>
        <v>744.4</v>
      </c>
      <c r="X22" s="11">
        <f t="shared" si="5"/>
        <v>194.1575378195096</v>
      </c>
      <c r="Y22" s="72">
        <f t="shared" si="11"/>
        <v>-360.9999999999999</v>
      </c>
      <c r="Z22" s="18">
        <f t="shared" si="12"/>
        <v>33.30000000000007</v>
      </c>
      <c r="AA22" s="19"/>
    </row>
    <row r="23" spans="1:27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7"/>
        <v>83.2</v>
      </c>
      <c r="N23" s="89">
        <f t="shared" si="8"/>
        <v>88.4</v>
      </c>
      <c r="O23" s="11">
        <f t="shared" si="6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72">
        <f t="shared" si="9"/>
        <v>37.900000000000006</v>
      </c>
      <c r="W23" s="72">
        <f t="shared" si="10"/>
        <v>163.6</v>
      </c>
      <c r="X23" s="11">
        <f t="shared" si="5"/>
        <v>431.6622691292875</v>
      </c>
      <c r="Y23" s="72">
        <f t="shared" si="11"/>
        <v>-125.69999999999999</v>
      </c>
      <c r="Z23" s="18">
        <f t="shared" si="12"/>
        <v>-58.39999999999999</v>
      </c>
      <c r="AA23" s="19"/>
    </row>
    <row r="24" spans="1:27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7"/>
        <v>3256.3</v>
      </c>
      <c r="N24" s="89">
        <f t="shared" si="8"/>
        <v>3259.6</v>
      </c>
      <c r="O24" s="11">
        <f t="shared" si="6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72">
        <f t="shared" si="9"/>
        <v>2088.0000000000005</v>
      </c>
      <c r="W24" s="72">
        <f t="shared" si="10"/>
        <v>3638.2</v>
      </c>
      <c r="X24" s="11">
        <f t="shared" si="5"/>
        <v>174.24329501915705</v>
      </c>
      <c r="Y24" s="72">
        <f t="shared" si="11"/>
        <v>-1550.1999999999994</v>
      </c>
      <c r="Z24" s="18">
        <f t="shared" si="12"/>
        <v>747.7000000000007</v>
      </c>
      <c r="AA24" s="19"/>
    </row>
    <row r="25" spans="1:27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7"/>
        <v>788.1</v>
      </c>
      <c r="N25" s="89">
        <f t="shared" si="8"/>
        <v>645</v>
      </c>
      <c r="O25" s="11">
        <f t="shared" si="6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72">
        <f t="shared" si="9"/>
        <v>345.79999999999995</v>
      </c>
      <c r="W25" s="72">
        <f t="shared" si="10"/>
        <v>685</v>
      </c>
      <c r="X25" s="11">
        <f t="shared" si="5"/>
        <v>198.09138230190862</v>
      </c>
      <c r="Y25" s="72">
        <f t="shared" si="11"/>
        <v>-339.20000000000005</v>
      </c>
      <c r="Z25" s="18">
        <f t="shared" si="12"/>
        <v>140.89999999999998</v>
      </c>
      <c r="AA25" s="19"/>
    </row>
    <row r="26" spans="1:27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7"/>
        <v>35.2</v>
      </c>
      <c r="N26" s="89">
        <f t="shared" si="8"/>
        <v>34.4</v>
      </c>
      <c r="O26" s="11">
        <f t="shared" si="6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72">
        <f t="shared" si="9"/>
        <v>41.3</v>
      </c>
      <c r="W26" s="72">
        <f t="shared" si="10"/>
        <v>65.3</v>
      </c>
      <c r="X26" s="11">
        <f t="shared" si="5"/>
        <v>158.11138014527845</v>
      </c>
      <c r="Y26" s="72">
        <f t="shared" si="11"/>
        <v>-24</v>
      </c>
      <c r="Z26" s="18">
        <f t="shared" si="12"/>
        <v>6.200000000000003</v>
      </c>
      <c r="AA26" s="19"/>
    </row>
    <row r="27" spans="1:27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7"/>
        <v>2059.8999999999996</v>
      </c>
      <c r="N27" s="89">
        <f t="shared" si="8"/>
        <v>1679.1999999999998</v>
      </c>
      <c r="O27" s="11">
        <f t="shared" si="6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72">
        <f t="shared" si="9"/>
        <v>1087.9999999999995</v>
      </c>
      <c r="W27" s="72">
        <f t="shared" si="10"/>
        <v>2224.8999999999996</v>
      </c>
      <c r="X27" s="11">
        <f t="shared" si="5"/>
        <v>204.49448529411768</v>
      </c>
      <c r="Y27" s="72">
        <f t="shared" si="11"/>
        <v>-1136.9</v>
      </c>
      <c r="Z27" s="18">
        <f t="shared" si="12"/>
        <v>10.300000000000182</v>
      </c>
      <c r="AA27" s="19"/>
    </row>
    <row r="28" spans="1:27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7"/>
        <v>326.8</v>
      </c>
      <c r="N28" s="89">
        <f t="shared" si="8"/>
        <v>365.8</v>
      </c>
      <c r="O28" s="11">
        <f t="shared" si="6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55">
        <v>1.8</v>
      </c>
      <c r="T28" s="44">
        <v>245.4</v>
      </c>
      <c r="U28" s="11">
        <f t="shared" si="4"/>
        <v>13633.333333333334</v>
      </c>
      <c r="V28" s="72">
        <f t="shared" si="9"/>
        <v>396.8</v>
      </c>
      <c r="W28" s="72">
        <f t="shared" si="10"/>
        <v>704.4</v>
      </c>
      <c r="X28" s="11">
        <f t="shared" si="5"/>
        <v>177.52016129032256</v>
      </c>
      <c r="Y28" s="72">
        <f t="shared" si="11"/>
        <v>-307.59999999999997</v>
      </c>
      <c r="Z28" s="18">
        <f t="shared" si="12"/>
        <v>1.3999999999999773</v>
      </c>
      <c r="AA28" s="19"/>
    </row>
    <row r="29" spans="1:27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2">
        <f t="shared" si="9"/>
        <v>0</v>
      </c>
      <c r="W29" s="72">
        <f t="shared" si="10"/>
        <v>0</v>
      </c>
      <c r="X29" s="77"/>
      <c r="Y29" s="77"/>
      <c r="Z29" s="77"/>
      <c r="AA29" s="19"/>
    </row>
    <row r="30" spans="1:27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13" ref="L30:L43">K30/J30*100</f>
        <v>119.97780244173141</v>
      </c>
      <c r="M30" s="89">
        <f t="shared" si="7"/>
        <v>270.1</v>
      </c>
      <c r="N30" s="89">
        <f t="shared" si="8"/>
        <v>295.29999999999995</v>
      </c>
      <c r="O30" s="11">
        <f t="shared" si="6"/>
        <v>109.32987782302848</v>
      </c>
      <c r="P30" s="44">
        <v>51.4</v>
      </c>
      <c r="Q30" s="44">
        <v>111.3</v>
      </c>
      <c r="R30" s="149">
        <f aca="true" t="shared" si="14" ref="R30:R43">Q30/P30*100</f>
        <v>216.53696498054472</v>
      </c>
      <c r="S30" s="44">
        <v>109.2</v>
      </c>
      <c r="T30" s="44">
        <v>0</v>
      </c>
      <c r="U30" s="149">
        <f aca="true" t="shared" si="15" ref="U30:U43">T30/S30*100</f>
        <v>0</v>
      </c>
      <c r="V30" s="72">
        <f t="shared" si="9"/>
        <v>430.7</v>
      </c>
      <c r="W30" s="72">
        <f t="shared" si="10"/>
        <v>406.59999999999997</v>
      </c>
      <c r="X30" s="11">
        <f t="shared" si="5"/>
        <v>94.4044578592988</v>
      </c>
      <c r="Y30" s="72">
        <f t="shared" si="11"/>
        <v>24.100000000000023</v>
      </c>
      <c r="Z30" s="18">
        <f t="shared" si="12"/>
        <v>250.7</v>
      </c>
      <c r="AA30" s="19"/>
    </row>
    <row r="31" spans="1:27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183.1</v>
      </c>
      <c r="L31" s="11">
        <f t="shared" si="13"/>
        <v>111.17182756527019</v>
      </c>
      <c r="M31" s="89">
        <f t="shared" si="7"/>
        <v>489.4</v>
      </c>
      <c r="N31" s="89">
        <f t="shared" si="8"/>
        <v>491.20000000000005</v>
      </c>
      <c r="O31" s="11">
        <f t="shared" si="6"/>
        <v>100.3677973028198</v>
      </c>
      <c r="P31" s="44">
        <v>85.3</v>
      </c>
      <c r="Q31" s="44">
        <v>175.6</v>
      </c>
      <c r="R31" s="11">
        <f t="shared" si="14"/>
        <v>205.86166471277843</v>
      </c>
      <c r="S31" s="44">
        <v>23.3</v>
      </c>
      <c r="T31" s="44">
        <v>0</v>
      </c>
      <c r="U31" s="11">
        <f t="shared" si="15"/>
        <v>0</v>
      </c>
      <c r="V31" s="72">
        <f t="shared" si="9"/>
        <v>597.9999999999999</v>
      </c>
      <c r="W31" s="72">
        <f t="shared" si="10"/>
        <v>666.8000000000001</v>
      </c>
      <c r="X31" s="11">
        <f t="shared" si="5"/>
        <v>111.50501672240807</v>
      </c>
      <c r="Y31" s="72">
        <f t="shared" si="11"/>
        <v>-68.80000000000018</v>
      </c>
      <c r="Z31" s="18">
        <f t="shared" si="12"/>
        <v>284.1999999999998</v>
      </c>
      <c r="AA31" s="19"/>
    </row>
    <row r="32" spans="1:27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13"/>
        <v>196.12199834391387</v>
      </c>
      <c r="M32" s="89">
        <f t="shared" si="7"/>
        <v>2145.7</v>
      </c>
      <c r="N32" s="89">
        <f t="shared" si="8"/>
        <v>2040.6999999999998</v>
      </c>
      <c r="O32" s="11">
        <f t="shared" si="6"/>
        <v>95.10649205387519</v>
      </c>
      <c r="P32" s="44">
        <v>313.9</v>
      </c>
      <c r="Q32" s="44">
        <v>0</v>
      </c>
      <c r="R32" s="11">
        <f t="shared" si="14"/>
        <v>0</v>
      </c>
      <c r="S32" s="44">
        <v>6.6</v>
      </c>
      <c r="T32" s="44">
        <v>724.6</v>
      </c>
      <c r="U32" s="11">
        <f t="shared" si="15"/>
        <v>10978.78787878788</v>
      </c>
      <c r="V32" s="72">
        <f t="shared" si="9"/>
        <v>2466.2</v>
      </c>
      <c r="W32" s="72">
        <f t="shared" si="10"/>
        <v>2765.2999999999997</v>
      </c>
      <c r="X32" s="11">
        <f t="shared" si="5"/>
        <v>112.1279701565161</v>
      </c>
      <c r="Y32" s="72">
        <f t="shared" si="11"/>
        <v>-299.0999999999999</v>
      </c>
      <c r="Z32" s="18">
        <f t="shared" si="12"/>
        <v>320.5</v>
      </c>
      <c r="AA32" s="19"/>
    </row>
    <row r="33" spans="1:27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13"/>
        <v>64.75804408411452</v>
      </c>
      <c r="M33" s="89">
        <f t="shared" si="7"/>
        <v>1022.3</v>
      </c>
      <c r="N33" s="89">
        <f t="shared" si="8"/>
        <v>863</v>
      </c>
      <c r="O33" s="11">
        <f t="shared" si="6"/>
        <v>84.41748997358897</v>
      </c>
      <c r="P33" s="44">
        <v>210.8</v>
      </c>
      <c r="Q33" s="44">
        <v>80.6</v>
      </c>
      <c r="R33" s="11">
        <f t="shared" si="14"/>
        <v>38.23529411764706</v>
      </c>
      <c r="S33" s="44">
        <v>10.2</v>
      </c>
      <c r="T33" s="44">
        <v>0</v>
      </c>
      <c r="U33" s="11">
        <f t="shared" si="15"/>
        <v>0</v>
      </c>
      <c r="V33" s="72">
        <f t="shared" si="9"/>
        <v>1243.3</v>
      </c>
      <c r="W33" s="72">
        <f t="shared" si="10"/>
        <v>943.6</v>
      </c>
      <c r="X33" s="11">
        <f t="shared" si="5"/>
        <v>75.89479610713424</v>
      </c>
      <c r="Y33" s="72">
        <f t="shared" si="11"/>
        <v>299.69999999999993</v>
      </c>
      <c r="Z33" s="18">
        <f t="shared" si="12"/>
        <v>960.8000000000001</v>
      </c>
      <c r="AA33" s="19"/>
    </row>
    <row r="34" spans="1:27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13"/>
        <v>102.13973799126639</v>
      </c>
      <c r="M34" s="89">
        <f t="shared" si="7"/>
        <v>693.1</v>
      </c>
      <c r="N34" s="89">
        <f t="shared" si="8"/>
        <v>743.6</v>
      </c>
      <c r="O34" s="11">
        <f t="shared" si="6"/>
        <v>107.28610590102438</v>
      </c>
      <c r="P34" s="44">
        <v>130.6</v>
      </c>
      <c r="Q34" s="44">
        <v>230.2</v>
      </c>
      <c r="R34" s="149">
        <f t="shared" si="14"/>
        <v>176.26339969372128</v>
      </c>
      <c r="S34" s="44">
        <v>-716.7</v>
      </c>
      <c r="T34" s="44">
        <v>0</v>
      </c>
      <c r="U34" s="149">
        <f t="shared" si="15"/>
        <v>0</v>
      </c>
      <c r="V34" s="72">
        <f t="shared" si="9"/>
        <v>107</v>
      </c>
      <c r="W34" s="72">
        <f t="shared" si="10"/>
        <v>973.8</v>
      </c>
      <c r="X34" s="11">
        <f t="shared" si="5"/>
        <v>910.0934579439253</v>
      </c>
      <c r="Y34" s="72">
        <f t="shared" si="11"/>
        <v>-866.8</v>
      </c>
      <c r="Z34" s="18">
        <f t="shared" si="12"/>
        <v>-357.0999999999999</v>
      </c>
      <c r="AA34" s="19"/>
    </row>
    <row r="35" spans="1:27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13"/>
        <v>84.99656743431319</v>
      </c>
      <c r="M35" s="89">
        <f t="shared" si="7"/>
        <v>4859.3</v>
      </c>
      <c r="N35" s="89">
        <f t="shared" si="8"/>
        <v>2960.3</v>
      </c>
      <c r="O35" s="11">
        <f t="shared" si="6"/>
        <v>60.9202971621427</v>
      </c>
      <c r="P35" s="44">
        <v>1090.1</v>
      </c>
      <c r="Q35" s="44">
        <v>3994.2</v>
      </c>
      <c r="R35" s="11">
        <f t="shared" si="14"/>
        <v>366.40675167415833</v>
      </c>
      <c r="S35" s="44">
        <v>-3285.5</v>
      </c>
      <c r="T35" s="44">
        <v>814.3</v>
      </c>
      <c r="U35" s="11">
        <f t="shared" si="15"/>
        <v>-24.784659869121896</v>
      </c>
      <c r="V35" s="72">
        <f t="shared" si="9"/>
        <v>2663.8999999999996</v>
      </c>
      <c r="W35" s="72">
        <f t="shared" si="10"/>
        <v>7768.8</v>
      </c>
      <c r="X35" s="11">
        <f t="shared" si="5"/>
        <v>291.63256879011976</v>
      </c>
      <c r="Y35" s="72">
        <f t="shared" si="11"/>
        <v>-5104.900000000001</v>
      </c>
      <c r="Z35" s="18">
        <f t="shared" si="12"/>
        <v>-3242.3</v>
      </c>
      <c r="AA35" s="19"/>
    </row>
    <row r="36" spans="1:27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13"/>
        <v>99.13840262582058</v>
      </c>
      <c r="M36" s="89">
        <f t="shared" si="7"/>
        <v>4358.7</v>
      </c>
      <c r="N36" s="89">
        <f t="shared" si="8"/>
        <v>2975.7</v>
      </c>
      <c r="O36" s="11">
        <f t="shared" si="6"/>
        <v>68.27035584004405</v>
      </c>
      <c r="P36" s="44">
        <f>18.8+927.5</f>
        <v>946.3</v>
      </c>
      <c r="Q36" s="44">
        <f>61.4+2647.2</f>
        <v>2708.6</v>
      </c>
      <c r="R36" s="11">
        <f t="shared" si="14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15"/>
        <v>-34.97441657306876</v>
      </c>
      <c r="V36" s="72">
        <f t="shared" si="9"/>
        <v>2099.7999999999997</v>
      </c>
      <c r="W36" s="72">
        <f t="shared" si="10"/>
        <v>6805.299999999999</v>
      </c>
      <c r="X36" s="11">
        <f t="shared" si="5"/>
        <v>324.0927707400705</v>
      </c>
      <c r="Y36" s="72">
        <f t="shared" si="11"/>
        <v>-4705.5</v>
      </c>
      <c r="Z36" s="18">
        <f t="shared" si="12"/>
        <v>-3179.5999999999995</v>
      </c>
      <c r="AA36" s="19"/>
    </row>
    <row r="37" spans="1:27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13"/>
        <v>181.19681581114466</v>
      </c>
      <c r="M37" s="89">
        <f t="shared" si="7"/>
        <v>7703</v>
      </c>
      <c r="N37" s="89">
        <f t="shared" si="8"/>
        <v>7173.6</v>
      </c>
      <c r="O37" s="11">
        <f t="shared" si="6"/>
        <v>93.12735297935869</v>
      </c>
      <c r="P37" s="44">
        <v>1364.5</v>
      </c>
      <c r="Q37" s="44">
        <v>576.4</v>
      </c>
      <c r="R37" s="11">
        <f t="shared" si="14"/>
        <v>42.24257969952364</v>
      </c>
      <c r="S37" s="44">
        <v>-6727.9</v>
      </c>
      <c r="T37" s="44">
        <v>0</v>
      </c>
      <c r="U37" s="11">
        <f t="shared" si="15"/>
        <v>0</v>
      </c>
      <c r="V37" s="72">
        <f t="shared" si="9"/>
        <v>2339.6000000000004</v>
      </c>
      <c r="W37" s="72">
        <f t="shared" si="10"/>
        <v>7750</v>
      </c>
      <c r="X37" s="11">
        <f t="shared" si="5"/>
        <v>331.25320567618394</v>
      </c>
      <c r="Y37" s="72">
        <f t="shared" si="11"/>
        <v>-5410.4</v>
      </c>
      <c r="Z37" s="18">
        <f t="shared" si="12"/>
        <v>-2810.5</v>
      </c>
      <c r="AA37" s="19"/>
    </row>
    <row r="38" spans="1:27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13"/>
        <v>74.34656340755083</v>
      </c>
      <c r="M38" s="89">
        <f t="shared" si="7"/>
        <v>805.2</v>
      </c>
      <c r="N38" s="89">
        <f t="shared" si="8"/>
        <v>413.3</v>
      </c>
      <c r="O38" s="11">
        <f t="shared" si="6"/>
        <v>51.32886239443616</v>
      </c>
      <c r="P38" s="44">
        <v>136.2</v>
      </c>
      <c r="Q38" s="44">
        <v>608.4</v>
      </c>
      <c r="R38" s="11">
        <f t="shared" si="14"/>
        <v>446.6960352422908</v>
      </c>
      <c r="S38" s="44">
        <v>0.8</v>
      </c>
      <c r="T38" s="44">
        <v>684.4</v>
      </c>
      <c r="U38" s="11">
        <f t="shared" si="15"/>
        <v>85549.99999999999</v>
      </c>
      <c r="V38" s="72">
        <f t="shared" si="9"/>
        <v>942.2</v>
      </c>
      <c r="W38" s="72">
        <f t="shared" si="10"/>
        <v>1706.1</v>
      </c>
      <c r="X38" s="11">
        <f t="shared" si="5"/>
        <v>181.0762046274676</v>
      </c>
      <c r="Y38" s="72">
        <f t="shared" si="11"/>
        <v>-763.8999999999999</v>
      </c>
      <c r="Z38" s="18">
        <f t="shared" si="12"/>
        <v>-529.9999999999998</v>
      </c>
      <c r="AA38" s="19"/>
    </row>
    <row r="39" spans="1:27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13"/>
        <v>93.19831868551776</v>
      </c>
      <c r="M39" s="89">
        <f t="shared" si="7"/>
        <v>3927.7</v>
      </c>
      <c r="N39" s="89">
        <f t="shared" si="8"/>
        <v>3109.2</v>
      </c>
      <c r="O39" s="11">
        <f t="shared" si="6"/>
        <v>79.16083203910685</v>
      </c>
      <c r="P39" s="44">
        <v>663</v>
      </c>
      <c r="Q39" s="44">
        <v>1235.8</v>
      </c>
      <c r="R39" s="149">
        <f t="shared" si="14"/>
        <v>186.395173453997</v>
      </c>
      <c r="S39" s="44">
        <v>-3406.9</v>
      </c>
      <c r="T39" s="44">
        <v>634.5</v>
      </c>
      <c r="U39" s="149">
        <f t="shared" si="15"/>
        <v>-18.623969004079953</v>
      </c>
      <c r="V39" s="72">
        <f t="shared" si="9"/>
        <v>1183.7999999999997</v>
      </c>
      <c r="W39" s="72">
        <f t="shared" si="10"/>
        <v>4979.5</v>
      </c>
      <c r="X39" s="11">
        <f t="shared" si="5"/>
        <v>420.6369319141748</v>
      </c>
      <c r="Y39" s="72">
        <f t="shared" si="11"/>
        <v>-3795.7000000000003</v>
      </c>
      <c r="Z39" s="18">
        <f t="shared" si="12"/>
        <v>-2496.5</v>
      </c>
      <c r="AA39" s="19"/>
    </row>
    <row r="40" spans="1:27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13"/>
        <v>0</v>
      </c>
      <c r="M40" s="89">
        <f t="shared" si="7"/>
        <v>2012.6</v>
      </c>
      <c r="N40" s="89">
        <f t="shared" si="8"/>
        <v>1284.3</v>
      </c>
      <c r="O40" s="11">
        <f t="shared" si="6"/>
        <v>63.812978237106236</v>
      </c>
      <c r="P40" s="44">
        <v>380.3</v>
      </c>
      <c r="Q40" s="44">
        <v>1147.8</v>
      </c>
      <c r="R40" s="149">
        <f t="shared" si="14"/>
        <v>301.8143570865106</v>
      </c>
      <c r="S40" s="44">
        <v>-1211.4</v>
      </c>
      <c r="T40" s="44">
        <v>0</v>
      </c>
      <c r="U40" s="149">
        <f t="shared" si="15"/>
        <v>0</v>
      </c>
      <c r="V40" s="72">
        <f t="shared" si="9"/>
        <v>1181.5</v>
      </c>
      <c r="W40" s="72">
        <f t="shared" si="10"/>
        <v>2432.1</v>
      </c>
      <c r="X40" s="11">
        <f t="shared" si="5"/>
        <v>205.84849767245026</v>
      </c>
      <c r="Y40" s="72">
        <f t="shared" si="11"/>
        <v>-1250.6</v>
      </c>
      <c r="Z40" s="18">
        <f t="shared" si="12"/>
        <v>33.70000000000027</v>
      </c>
      <c r="AA40" s="19"/>
    </row>
    <row r="41" spans="1:27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13"/>
        <v>91.5496157977361</v>
      </c>
      <c r="M41" s="18">
        <f>SUM(M42:M42)</f>
        <v>42369</v>
      </c>
      <c r="N41" s="18">
        <f>SUM(N42:N42)</f>
        <v>26432.3</v>
      </c>
      <c r="O41" s="11">
        <f t="shared" si="6"/>
        <v>62.385942552337795</v>
      </c>
      <c r="P41" s="18">
        <f>SUM(P42:P42)</f>
        <v>7814.3</v>
      </c>
      <c r="Q41" s="18">
        <f>SUM(Q42:Q42)</f>
        <v>14339.1</v>
      </c>
      <c r="R41" s="11">
        <f t="shared" si="14"/>
        <v>183.4982020142559</v>
      </c>
      <c r="S41" s="18">
        <f>SUM(S42:S42)</f>
        <v>-6750.6</v>
      </c>
      <c r="T41" s="18">
        <f>SUM(T42:T42)</f>
        <v>0</v>
      </c>
      <c r="U41" s="11">
        <f t="shared" si="15"/>
        <v>0</v>
      </c>
      <c r="V41" s="18">
        <f>SUM(V42:V42)</f>
        <v>43432.700000000004</v>
      </c>
      <c r="W41" s="18">
        <f>SUM(W42:W42)</f>
        <v>40771.4</v>
      </c>
      <c r="X41" s="11">
        <f t="shared" si="5"/>
        <v>93.87258908610332</v>
      </c>
      <c r="Y41" s="18">
        <f>SUM(Y42:Y42)</f>
        <v>2661.300000000003</v>
      </c>
      <c r="Z41" s="18">
        <f>SUM(Z42:Z42)</f>
        <v>15797.300000000003</v>
      </c>
      <c r="AA41" s="48"/>
    </row>
    <row r="42" spans="1:27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13"/>
        <v>91.5496157977361</v>
      </c>
      <c r="M42" s="89">
        <f t="shared" si="7"/>
        <v>42369</v>
      </c>
      <c r="N42" s="89">
        <f t="shared" si="8"/>
        <v>26432.3</v>
      </c>
      <c r="O42" s="11">
        <f t="shared" si="6"/>
        <v>62.385942552337795</v>
      </c>
      <c r="P42" s="44">
        <v>7814.3</v>
      </c>
      <c r="Q42" s="44">
        <v>14339.1</v>
      </c>
      <c r="R42" s="11">
        <f t="shared" si="14"/>
        <v>183.4982020142559</v>
      </c>
      <c r="S42" s="44">
        <v>-6750.6</v>
      </c>
      <c r="T42" s="44">
        <v>0</v>
      </c>
      <c r="U42" s="11">
        <f t="shared" si="15"/>
        <v>0</v>
      </c>
      <c r="V42" s="154">
        <f>M42+P42+S42</f>
        <v>43432.700000000004</v>
      </c>
      <c r="W42" s="154">
        <f>N42+Q42+T42</f>
        <v>40771.4</v>
      </c>
      <c r="X42" s="11">
        <f t="shared" si="5"/>
        <v>93.87258908610332</v>
      </c>
      <c r="Y42" s="72">
        <f t="shared" si="11"/>
        <v>2661.300000000003</v>
      </c>
      <c r="Z42" s="18">
        <f t="shared" si="12"/>
        <v>15797.300000000003</v>
      </c>
      <c r="AA42" s="48"/>
    </row>
    <row r="43" spans="1:27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31081.1</v>
      </c>
      <c r="L43" s="11">
        <f t="shared" si="13"/>
        <v>99.1720005360459</v>
      </c>
      <c r="M43" s="18">
        <f>M7+M41</f>
        <v>90666.49999999999</v>
      </c>
      <c r="N43" s="18">
        <f>N7+N41</f>
        <v>65351.600000000006</v>
      </c>
      <c r="O43" s="11">
        <f t="shared" si="6"/>
        <v>72.07910308658657</v>
      </c>
      <c r="P43" s="18">
        <f>P7+P41</f>
        <v>17322.8</v>
      </c>
      <c r="Q43" s="18">
        <f>Q7+Q41</f>
        <v>31594.300000000003</v>
      </c>
      <c r="R43" s="11">
        <f t="shared" si="14"/>
        <v>182.38564204401138</v>
      </c>
      <c r="S43" s="18">
        <f>S7+S41</f>
        <v>-32970.600000000006</v>
      </c>
      <c r="T43" s="18">
        <f>T7+T41</f>
        <v>5930.2</v>
      </c>
      <c r="U43" s="11">
        <f t="shared" si="15"/>
        <v>-17.986327212728913</v>
      </c>
      <c r="V43" s="83">
        <f>V7+V41</f>
        <v>75018.70000000001</v>
      </c>
      <c r="W43" s="83">
        <f>W7+W41</f>
        <v>102876.1</v>
      </c>
      <c r="X43" s="11">
        <f>W43/V43*100</f>
        <v>137.1339412706432</v>
      </c>
      <c r="Y43" s="18">
        <f>Y7+Y41</f>
        <v>-27857.399999999998</v>
      </c>
      <c r="Z43" s="18">
        <f>Z7+Z41</f>
        <v>8709.900000000003</v>
      </c>
      <c r="AA43" s="48"/>
    </row>
    <row r="44" spans="3:26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25"/>
      <c r="W44" s="25"/>
      <c r="X44" s="86"/>
      <c r="Y44" s="86"/>
      <c r="Z44" s="85"/>
    </row>
    <row r="45" spans="7:26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34"/>
      <c r="W45" s="34"/>
      <c r="X45" s="61"/>
      <c r="Y45" s="177" t="s">
        <v>137</v>
      </c>
      <c r="Z45" s="178"/>
    </row>
    <row r="46" spans="2:26" ht="45.75" customHeight="1" hidden="1">
      <c r="B46" s="175" t="s">
        <v>52</v>
      </c>
      <c r="C46" s="175"/>
      <c r="D46" s="175"/>
      <c r="E46" s="175"/>
      <c r="F46" s="175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0"/>
      <c r="W46" s="40"/>
      <c r="X46" s="41"/>
      <c r="Z46" s="4" t="s">
        <v>135</v>
      </c>
    </row>
    <row r="47" spans="1:25" ht="12.75" customHeight="1" hidden="1">
      <c r="A47" s="164"/>
      <c r="B47" s="164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V47" s="12"/>
      <c r="W47" s="12"/>
      <c r="Y47" s="12"/>
    </row>
    <row r="48" spans="1:26" s="38" customFormat="1" ht="96.75" customHeight="1">
      <c r="A48" s="33"/>
      <c r="B48" s="168" t="s">
        <v>136</v>
      </c>
      <c r="C48" s="168"/>
      <c r="D48" s="168"/>
      <c r="E48" s="168"/>
      <c r="F48" s="168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2"/>
      <c r="W48" s="2"/>
      <c r="X48" s="12"/>
      <c r="Y48" s="2"/>
      <c r="Z48" s="2"/>
    </row>
    <row r="50" spans="3:26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  <c r="X50" s="60"/>
      <c r="Y50" s="21"/>
      <c r="Z50" s="21"/>
    </row>
    <row r="51" spans="3:26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</row>
    <row r="52" spans="3:26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  <c r="X52" s="60"/>
      <c r="Y52" s="21"/>
      <c r="Z52" s="21"/>
    </row>
    <row r="53" spans="7:26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  <c r="X53" s="60"/>
      <c r="Y53" s="21"/>
      <c r="Z53" s="21"/>
    </row>
    <row r="54" spans="3:26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  <c r="X54" s="60"/>
      <c r="Y54" s="21"/>
      <c r="Z54" s="21"/>
    </row>
    <row r="55" spans="3:26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  <c r="X55" s="60"/>
      <c r="Y55" s="21"/>
      <c r="Z55" s="21"/>
    </row>
    <row r="56" spans="3:26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  <c r="X56" s="60"/>
      <c r="Y56" s="21"/>
      <c r="Z56" s="21"/>
    </row>
    <row r="57" spans="3:26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  <c r="X57" s="60"/>
      <c r="Y57" s="21"/>
      <c r="Z57" s="21"/>
    </row>
    <row r="58" spans="3:26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  <c r="X58" s="60"/>
      <c r="Y58" s="21"/>
      <c r="Z58" s="21"/>
    </row>
    <row r="59" spans="3:26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  <c r="X59" s="60"/>
      <c r="Y59" s="21"/>
      <c r="Z59" s="21"/>
    </row>
    <row r="60" spans="3:26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  <c r="X60" s="60"/>
      <c r="Y60" s="21"/>
      <c r="Z60" s="21"/>
    </row>
    <row r="61" spans="3:26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  <c r="X61" s="60"/>
      <c r="Y61" s="21"/>
      <c r="Z61" s="21"/>
    </row>
    <row r="62" spans="3:26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  <c r="X62" s="60"/>
      <c r="Y62" s="21"/>
      <c r="Z62" s="21"/>
    </row>
    <row r="63" spans="3:26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  <c r="X63" s="60"/>
      <c r="Y63" s="21"/>
      <c r="Z63" s="21"/>
    </row>
    <row r="64" spans="3:26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  <c r="X64" s="60"/>
      <c r="Y64" s="21"/>
      <c r="Z64" s="21"/>
    </row>
    <row r="65" spans="3:26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  <c r="X65" s="60"/>
      <c r="Y65" s="21"/>
      <c r="Z65" s="21"/>
    </row>
    <row r="66" spans="3:26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  <c r="X66" s="60"/>
      <c r="Y66" s="21"/>
      <c r="Z66" s="21"/>
    </row>
    <row r="67" spans="3:26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  <c r="X67" s="60"/>
      <c r="Y67" s="21"/>
      <c r="Z67" s="21"/>
    </row>
    <row r="68" spans="3:26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  <c r="X68" s="60"/>
      <c r="Y68" s="21"/>
      <c r="Z68" s="21"/>
    </row>
    <row r="69" spans="3:26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  <c r="X69" s="60"/>
      <c r="Y69" s="21"/>
      <c r="Z69" s="21"/>
    </row>
    <row r="70" spans="3:26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  <c r="X70" s="60"/>
      <c r="Y70" s="21"/>
      <c r="Z70" s="21"/>
    </row>
    <row r="71" spans="3:26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  <c r="X71" s="60"/>
      <c r="Y71" s="21"/>
      <c r="Z71" s="21"/>
    </row>
    <row r="72" spans="3:26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  <c r="X72" s="60"/>
      <c r="Y72" s="21"/>
      <c r="Z72" s="21"/>
    </row>
    <row r="73" spans="3:26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  <c r="X73" s="60"/>
      <c r="Y73" s="21"/>
      <c r="Z73" s="21"/>
    </row>
    <row r="74" spans="3:26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  <c r="X74" s="60"/>
      <c r="Y74" s="21"/>
      <c r="Z74" s="21"/>
    </row>
    <row r="75" spans="3:26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  <c r="X75" s="60"/>
      <c r="Y75" s="21"/>
      <c r="Z75" s="21"/>
    </row>
    <row r="76" spans="3:26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  <c r="X76" s="60"/>
      <c r="Y76" s="21"/>
      <c r="Z76" s="21"/>
    </row>
    <row r="77" spans="3:26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  <c r="X77" s="60"/>
      <c r="Y77" s="21"/>
      <c r="Z77" s="21"/>
    </row>
    <row r="78" spans="3:26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  <c r="X78" s="60"/>
      <c r="Y78" s="21"/>
      <c r="Z78" s="21"/>
    </row>
    <row r="79" spans="3:26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  <c r="X79" s="60"/>
      <c r="Y79" s="21"/>
      <c r="Z79" s="21"/>
    </row>
    <row r="80" spans="3:26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  <c r="X80" s="60"/>
      <c r="Y80" s="21"/>
      <c r="Z80" s="21"/>
    </row>
    <row r="81" spans="3:26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  <c r="X81" s="60"/>
      <c r="Y81" s="21"/>
      <c r="Z81" s="21"/>
    </row>
    <row r="82" spans="3:26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  <c r="X82" s="60"/>
      <c r="Y82" s="21"/>
      <c r="Z82" s="21"/>
    </row>
    <row r="83" spans="3:26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  <c r="X83" s="60"/>
      <c r="Y83" s="21"/>
      <c r="Z83" s="21"/>
    </row>
    <row r="84" spans="3:26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  <c r="X84" s="60"/>
      <c r="Y84" s="21"/>
      <c r="Z84" s="21"/>
    </row>
    <row r="85" spans="3:26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  <c r="X85" s="60"/>
      <c r="Y85" s="21"/>
      <c r="Z85" s="21"/>
    </row>
    <row r="86" spans="3:26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  <c r="X86" s="60"/>
      <c r="Y86" s="21"/>
      <c r="Z86" s="21"/>
    </row>
    <row r="87" spans="3:26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  <c r="X87" s="60"/>
      <c r="Y87" s="21"/>
      <c r="Z87" s="21"/>
    </row>
    <row r="88" spans="3:26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  <c r="X88" s="60"/>
      <c r="Y88" s="21"/>
      <c r="Z88" s="21"/>
    </row>
    <row r="89" spans="3:26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  <c r="X89" s="60"/>
      <c r="Y89" s="21"/>
      <c r="Z89" s="21"/>
    </row>
    <row r="90" spans="3:26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  <c r="X90" s="60"/>
      <c r="Y90" s="21"/>
      <c r="Z90" s="21"/>
    </row>
    <row r="91" spans="3:26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  <c r="X91" s="60"/>
      <c r="Y91" s="21"/>
      <c r="Z91" s="21"/>
    </row>
    <row r="92" spans="3:26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  <c r="X92" s="60"/>
      <c r="Y92" s="21"/>
      <c r="Z92" s="21"/>
    </row>
    <row r="93" spans="3:26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  <c r="X93" s="60"/>
      <c r="Y93" s="21"/>
      <c r="Z93" s="21"/>
    </row>
    <row r="94" spans="3:26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  <c r="X94" s="60"/>
      <c r="Y94" s="21"/>
      <c r="Z94" s="21"/>
    </row>
    <row r="95" spans="3:26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  <c r="X95" s="60"/>
      <c r="Y95" s="21"/>
      <c r="Z95" s="21"/>
    </row>
    <row r="96" spans="3:6" ht="18.75">
      <c r="C96" s="87"/>
      <c r="D96" s="21"/>
      <c r="E96" s="21"/>
      <c r="F96" s="60"/>
    </row>
  </sheetData>
  <sheetProtection/>
  <mergeCells count="17">
    <mergeCell ref="I1:Z1"/>
    <mergeCell ref="B2:Z2"/>
    <mergeCell ref="B3:Z3"/>
    <mergeCell ref="B4:F4"/>
    <mergeCell ref="D5:F5"/>
    <mergeCell ref="G5:I5"/>
    <mergeCell ref="V5:X5"/>
    <mergeCell ref="M5:O5"/>
    <mergeCell ref="B48:F48"/>
    <mergeCell ref="B46:F46"/>
    <mergeCell ref="Y5:Y6"/>
    <mergeCell ref="Z5:Z6"/>
    <mergeCell ref="Y45:Z45"/>
    <mergeCell ref="A47:B47"/>
    <mergeCell ref="J5:L5"/>
    <mergeCell ref="P5:R5"/>
    <mergeCell ref="S5:U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95"/>
  <sheetViews>
    <sheetView view="pageBreakPreview" zoomScale="75" zoomScaleNormal="50" zoomScaleSheetLayoutView="75" zoomScalePageLayoutView="0" workbookViewId="0" topLeftCell="A1">
      <pane xSplit="6" ySplit="8" topLeftCell="R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3" width="14.75390625" style="2" customWidth="1"/>
    <col min="24" max="24" width="11.125" style="12" customWidth="1"/>
    <col min="25" max="25" width="16.75390625" style="2" customWidth="1"/>
    <col min="26" max="26" width="18.25390625" style="2" customWidth="1"/>
    <col min="27" max="27" width="12.25390625" style="2" customWidth="1"/>
    <col min="28" max="28" width="10.125" style="2" customWidth="1"/>
    <col min="29" max="16384" width="6.75390625" style="2" customWidth="1"/>
  </cols>
  <sheetData>
    <row r="1" spans="9:26" ht="21" customHeight="1">
      <c r="I1" s="161" t="s">
        <v>50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62"/>
      <c r="B2" s="162" t="s">
        <v>129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8.75">
      <c r="B4" s="163"/>
      <c r="C4" s="163"/>
      <c r="D4" s="163"/>
      <c r="E4" s="163"/>
      <c r="F4" s="163"/>
      <c r="Z4" s="5" t="s">
        <v>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28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466.3</v>
      </c>
      <c r="K7" s="11">
        <f>SUM(K8:K40)</f>
        <v>759.1</v>
      </c>
      <c r="L7" s="11">
        <f>K7/J7*100</f>
        <v>162.79219386660947</v>
      </c>
      <c r="M7" s="11">
        <f>SUM(M8:M40)</f>
        <v>1368.1999999999998</v>
      </c>
      <c r="N7" s="11">
        <f>SUM(N8:N40)</f>
        <v>1037.4</v>
      </c>
      <c r="O7" s="11">
        <f>N7/M7*100</f>
        <v>75.82224820932613</v>
      </c>
      <c r="P7" s="11">
        <f>SUM(P8:P40)</f>
        <v>468.1</v>
      </c>
      <c r="Q7" s="11">
        <f>SUM(Q8:Q40)</f>
        <v>479.8</v>
      </c>
      <c r="R7" s="11">
        <f>Q7/P7*100</f>
        <v>102.49946592608417</v>
      </c>
      <c r="S7" s="11">
        <f>SUM(S8:S40)</f>
        <v>466.59999999999997</v>
      </c>
      <c r="T7" s="11">
        <f>SUM(T8:T40)</f>
        <v>205.4</v>
      </c>
      <c r="U7" s="11">
        <f>T7/S7*100</f>
        <v>44.02057436776683</v>
      </c>
      <c r="V7" s="67">
        <f>SUM(V8:V40)</f>
        <v>2302.8999999999996</v>
      </c>
      <c r="W7" s="67">
        <f>SUM(W8:W40)</f>
        <v>1722.6</v>
      </c>
      <c r="X7" s="11">
        <f aca="true" t="shared" si="1" ref="X7:X42">W7/V7*100</f>
        <v>74.80133744409224</v>
      </c>
      <c r="Y7" s="67">
        <f>SUM(Y8:Y40)</f>
        <v>580.3000000000001</v>
      </c>
      <c r="Z7" s="67">
        <f>SUM(Z8:Z40)</f>
        <v>520.9000000000002</v>
      </c>
      <c r="AA7" s="27">
        <f>SUM(Y8:Y40)</f>
        <v>580.3000000000001</v>
      </c>
      <c r="AB7" s="27">
        <f>SUM(Z8:Z40)</f>
        <v>520.9000000000002</v>
      </c>
    </row>
    <row r="8" spans="1:26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72">
        <f aca="true" t="shared" si="3" ref="V8:V40">M8+P8+S8</f>
        <v>110.6</v>
      </c>
      <c r="W8" s="72">
        <f aca="true" t="shared" si="4" ref="W8:W40">N8+Q8+T8</f>
        <v>83.1</v>
      </c>
      <c r="X8" s="11">
        <f t="shared" si="1"/>
        <v>75.13562386980108</v>
      </c>
      <c r="Y8" s="72">
        <f>V8-W8</f>
        <v>27.5</v>
      </c>
      <c r="Z8" s="18">
        <f>C8+V8-W8</f>
        <v>30.700000000000003</v>
      </c>
    </row>
    <row r="9" spans="1:26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5" ref="M9:M42">D9+G9+J9</f>
        <v>4.5</v>
      </c>
      <c r="N9" s="89">
        <f aca="true" t="shared" si="6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72">
        <f t="shared" si="3"/>
        <v>7.5</v>
      </c>
      <c r="W9" s="72">
        <f t="shared" si="4"/>
        <v>5.4</v>
      </c>
      <c r="X9" s="11">
        <f t="shared" si="1"/>
        <v>72.00000000000001</v>
      </c>
      <c r="Y9" s="72">
        <f aca="true" t="shared" si="7" ref="Y9:Y42">V9-W9</f>
        <v>2.0999999999999996</v>
      </c>
      <c r="Z9" s="18">
        <f aca="true" t="shared" si="8" ref="Z9:Z42">C9+V9-W9</f>
        <v>-10.3</v>
      </c>
    </row>
    <row r="10" spans="1:26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72">
        <f t="shared" si="3"/>
        <v>0</v>
      </c>
      <c r="W10" s="72">
        <f t="shared" si="4"/>
        <v>0</v>
      </c>
      <c r="X10" s="111"/>
      <c r="Y10" s="72"/>
      <c r="Z10" s="18"/>
    </row>
    <row r="11" spans="1:26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9" ref="L11:L19">K11/J11*100</f>
        <v>138.1818181818182</v>
      </c>
      <c r="M11" s="89">
        <f t="shared" si="5"/>
        <v>13.8</v>
      </c>
      <c r="N11" s="89">
        <f t="shared" si="6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10" ref="R11:R19">Q11/P11*100</f>
        <v>109.6774193548387</v>
      </c>
      <c r="S11" s="44">
        <v>3.7</v>
      </c>
      <c r="T11" s="44">
        <v>3.9</v>
      </c>
      <c r="U11" s="11">
        <f aca="true" t="shared" si="11" ref="U11:U19">T11/S11*100</f>
        <v>105.40540540540539</v>
      </c>
      <c r="V11" s="72">
        <f t="shared" si="3"/>
        <v>23.7</v>
      </c>
      <c r="W11" s="72">
        <f t="shared" si="4"/>
        <v>23.499999999999996</v>
      </c>
      <c r="X11" s="11">
        <f t="shared" si="1"/>
        <v>99.1561181434599</v>
      </c>
      <c r="Y11" s="72">
        <f t="shared" si="7"/>
        <v>0.20000000000000284</v>
      </c>
      <c r="Z11" s="18">
        <f t="shared" si="8"/>
        <v>-8.599999999999998</v>
      </c>
    </row>
    <row r="12" spans="1:26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9"/>
        <v>176.40449438202245</v>
      </c>
      <c r="M12" s="89">
        <f t="shared" si="5"/>
        <v>26.5</v>
      </c>
      <c r="N12" s="89">
        <f t="shared" si="6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10"/>
        <v>34.831460674157306</v>
      </c>
      <c r="S12" s="44">
        <v>8.7</v>
      </c>
      <c r="T12" s="44">
        <v>2.2</v>
      </c>
      <c r="U12" s="11">
        <f t="shared" si="11"/>
        <v>25.287356321839084</v>
      </c>
      <c r="V12" s="72">
        <f t="shared" si="3"/>
        <v>44.099999999999994</v>
      </c>
      <c r="W12" s="72">
        <f t="shared" si="4"/>
        <v>31.3</v>
      </c>
      <c r="X12" s="11">
        <f t="shared" si="1"/>
        <v>70.97505668934242</v>
      </c>
      <c r="Y12" s="72">
        <f t="shared" si="7"/>
        <v>12.799999999999994</v>
      </c>
      <c r="Z12" s="18">
        <f t="shared" si="8"/>
        <v>11.899999999999995</v>
      </c>
    </row>
    <row r="13" spans="1:26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12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9"/>
        <v>110.44776119402985</v>
      </c>
      <c r="M13" s="89">
        <f t="shared" si="5"/>
        <v>19.6</v>
      </c>
      <c r="N13" s="89">
        <f t="shared" si="6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10"/>
        <v>73.52941176470588</v>
      </c>
      <c r="S13" s="44">
        <v>7.8</v>
      </c>
      <c r="T13" s="44">
        <v>5.6</v>
      </c>
      <c r="U13" s="11">
        <f t="shared" si="11"/>
        <v>71.7948717948718</v>
      </c>
      <c r="V13" s="72">
        <f t="shared" si="3"/>
        <v>34.2</v>
      </c>
      <c r="W13" s="72">
        <f t="shared" si="4"/>
        <v>28.300000000000004</v>
      </c>
      <c r="X13" s="11">
        <f t="shared" si="1"/>
        <v>82.74853801169591</v>
      </c>
      <c r="Y13" s="72">
        <f t="shared" si="7"/>
        <v>5.899999999999999</v>
      </c>
      <c r="Z13" s="18">
        <f t="shared" si="8"/>
        <v>13.799999999999997</v>
      </c>
    </row>
    <row r="14" spans="1:26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12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9"/>
        <v>164.10256410256412</v>
      </c>
      <c r="M14" s="89">
        <f t="shared" si="5"/>
        <v>7.5</v>
      </c>
      <c r="N14" s="89">
        <f t="shared" si="6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10"/>
        <v>100</v>
      </c>
      <c r="S14" s="44">
        <v>3.5</v>
      </c>
      <c r="T14" s="44">
        <v>1.3</v>
      </c>
      <c r="U14" s="11">
        <f t="shared" si="11"/>
        <v>37.142857142857146</v>
      </c>
      <c r="V14" s="72">
        <f t="shared" si="3"/>
        <v>11.5</v>
      </c>
      <c r="W14" s="72">
        <f t="shared" si="4"/>
        <v>11.5</v>
      </c>
      <c r="X14" s="11">
        <f t="shared" si="1"/>
        <v>100</v>
      </c>
      <c r="Y14" s="72">
        <f t="shared" si="7"/>
        <v>0</v>
      </c>
      <c r="Z14" s="18">
        <f t="shared" si="8"/>
        <v>-3.7</v>
      </c>
    </row>
    <row r="15" spans="1:26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12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9"/>
        <v>158.24175824175825</v>
      </c>
      <c r="M15" s="89">
        <f t="shared" si="5"/>
        <v>21.799999999999997</v>
      </c>
      <c r="N15" s="89">
        <f t="shared" si="6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10"/>
        <v>118.74999999999997</v>
      </c>
      <c r="S15" s="44">
        <v>12.6</v>
      </c>
      <c r="T15" s="44">
        <v>8.2</v>
      </c>
      <c r="U15" s="11">
        <f t="shared" si="11"/>
        <v>65.07936507936508</v>
      </c>
      <c r="V15" s="72">
        <f t="shared" si="3"/>
        <v>40.8</v>
      </c>
      <c r="W15" s="72">
        <f t="shared" si="4"/>
        <v>39.099999999999994</v>
      </c>
      <c r="X15" s="11">
        <f t="shared" si="1"/>
        <v>95.83333333333333</v>
      </c>
      <c r="Y15" s="72">
        <f t="shared" si="7"/>
        <v>1.7000000000000028</v>
      </c>
      <c r="Z15" s="18">
        <f t="shared" si="8"/>
        <v>6.200000000000003</v>
      </c>
    </row>
    <row r="16" spans="1:26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12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9"/>
        <v>133.33333333333334</v>
      </c>
      <c r="M16" s="89">
        <f t="shared" si="5"/>
        <v>3.6000000000000005</v>
      </c>
      <c r="N16" s="89">
        <f t="shared" si="6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10"/>
        <v>84.61538461538461</v>
      </c>
      <c r="S16" s="44">
        <v>1.3</v>
      </c>
      <c r="T16" s="44">
        <v>1</v>
      </c>
      <c r="U16" s="11">
        <f t="shared" si="11"/>
        <v>76.92307692307692</v>
      </c>
      <c r="V16" s="72">
        <f t="shared" si="3"/>
        <v>6.2</v>
      </c>
      <c r="W16" s="72">
        <f t="shared" si="4"/>
        <v>4.800000000000001</v>
      </c>
      <c r="X16" s="11">
        <f t="shared" si="1"/>
        <v>77.41935483870968</v>
      </c>
      <c r="Y16" s="72">
        <f t="shared" si="7"/>
        <v>1.3999999999999995</v>
      </c>
      <c r="Z16" s="18">
        <f t="shared" si="8"/>
        <v>1.3999999999999995</v>
      </c>
    </row>
    <row r="17" spans="1:26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12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f>0.2+0.6</f>
        <v>0.8</v>
      </c>
      <c r="K17" s="44">
        <f>0.2+0.6</f>
        <v>0.8</v>
      </c>
      <c r="L17" s="11">
        <f t="shared" si="9"/>
        <v>100</v>
      </c>
      <c r="M17" s="89">
        <f t="shared" si="5"/>
        <v>1.9000000000000001</v>
      </c>
      <c r="N17" s="89">
        <f t="shared" si="6"/>
        <v>1.7000000000000002</v>
      </c>
      <c r="O17" s="11">
        <f t="shared" si="2"/>
        <v>89.47368421052632</v>
      </c>
      <c r="P17" s="44">
        <f>0.6+0.2</f>
        <v>0.8</v>
      </c>
      <c r="Q17" s="44">
        <f>0.6+0.1</f>
        <v>0.7</v>
      </c>
      <c r="R17" s="11">
        <f t="shared" si="10"/>
        <v>87.49999999999999</v>
      </c>
      <c r="S17" s="44">
        <f>0.2+0.6</f>
        <v>0.8</v>
      </c>
      <c r="T17" s="44">
        <f>0.1+0.6</f>
        <v>0.7</v>
      </c>
      <c r="U17" s="11">
        <f t="shared" si="11"/>
        <v>87.49999999999999</v>
      </c>
      <c r="V17" s="72">
        <f t="shared" si="3"/>
        <v>3.5</v>
      </c>
      <c r="W17" s="72">
        <f t="shared" si="4"/>
        <v>3.1000000000000005</v>
      </c>
      <c r="X17" s="11">
        <f t="shared" si="1"/>
        <v>88.57142857142858</v>
      </c>
      <c r="Y17" s="72">
        <f t="shared" si="7"/>
        <v>0.39999999999999947</v>
      </c>
      <c r="Z17" s="18">
        <f t="shared" si="8"/>
        <v>0.2999999999999994</v>
      </c>
    </row>
    <row r="18" spans="1:26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12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9"/>
        <v>180.55555555555557</v>
      </c>
      <c r="M18" s="89">
        <f t="shared" si="5"/>
        <v>9.799999999999999</v>
      </c>
      <c r="N18" s="89">
        <f t="shared" si="6"/>
        <v>9.2</v>
      </c>
      <c r="O18" s="11">
        <f t="shared" si="2"/>
        <v>93.87755102040816</v>
      </c>
      <c r="P18" s="134">
        <v>3</v>
      </c>
      <c r="Q18" s="134">
        <v>2.8</v>
      </c>
      <c r="R18" s="135">
        <f t="shared" si="10"/>
        <v>93.33333333333333</v>
      </c>
      <c r="S18" s="134">
        <v>3.5</v>
      </c>
      <c r="T18" s="134">
        <v>3.9</v>
      </c>
      <c r="U18" s="135">
        <f t="shared" si="11"/>
        <v>111.42857142857143</v>
      </c>
      <c r="V18" s="72">
        <f t="shared" si="3"/>
        <v>16.299999999999997</v>
      </c>
      <c r="W18" s="72">
        <f t="shared" si="4"/>
        <v>15.9</v>
      </c>
      <c r="X18" s="135">
        <f t="shared" si="1"/>
        <v>97.54601226993867</v>
      </c>
      <c r="Y18" s="136">
        <f t="shared" si="7"/>
        <v>0.3999999999999968</v>
      </c>
      <c r="Z18" s="137">
        <f t="shared" si="8"/>
        <v>1.8999999999999968</v>
      </c>
    </row>
    <row r="19" spans="1:26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9"/>
        <v>151.21951219512198</v>
      </c>
      <c r="M19" s="89">
        <f t="shared" si="5"/>
        <v>13</v>
      </c>
      <c r="N19" s="89">
        <f t="shared" si="6"/>
        <v>9.4</v>
      </c>
      <c r="O19" s="11">
        <f t="shared" si="2"/>
        <v>72.3076923076923</v>
      </c>
      <c r="P19" s="44">
        <v>4.3</v>
      </c>
      <c r="Q19" s="44">
        <v>4.2</v>
      </c>
      <c r="R19" s="149">
        <f t="shared" si="10"/>
        <v>97.67441860465117</v>
      </c>
      <c r="S19" s="44">
        <v>4.8</v>
      </c>
      <c r="T19" s="44">
        <v>5</v>
      </c>
      <c r="U19" s="149">
        <f t="shared" si="11"/>
        <v>104.16666666666667</v>
      </c>
      <c r="V19" s="72">
        <f t="shared" si="3"/>
        <v>22.1</v>
      </c>
      <c r="W19" s="72">
        <f t="shared" si="4"/>
        <v>18.6</v>
      </c>
      <c r="X19" s="11">
        <f t="shared" si="1"/>
        <v>84.16289592760181</v>
      </c>
      <c r="Y19" s="72">
        <f t="shared" si="7"/>
        <v>3.5</v>
      </c>
      <c r="Z19" s="18">
        <f t="shared" si="8"/>
        <v>5.300000000000001</v>
      </c>
    </row>
    <row r="20" spans="1:26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9"/>
      <c r="S20" s="44"/>
      <c r="T20" s="44"/>
      <c r="U20" s="149"/>
      <c r="V20" s="72">
        <f t="shared" si="3"/>
        <v>0</v>
      </c>
      <c r="W20" s="72">
        <f t="shared" si="4"/>
        <v>0</v>
      </c>
      <c r="X20" s="111"/>
      <c r="Y20" s="72"/>
      <c r="Z20" s="18"/>
    </row>
    <row r="21" spans="1:26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13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5"/>
        <v>0.7</v>
      </c>
      <c r="N21" s="89">
        <f t="shared" si="6"/>
        <v>0.7</v>
      </c>
      <c r="O21" s="11">
        <f t="shared" si="2"/>
        <v>100</v>
      </c>
      <c r="P21" s="44">
        <v>0.2</v>
      </c>
      <c r="Q21" s="44">
        <v>0.2</v>
      </c>
      <c r="R21" s="149">
        <f>Q21/P21*100</f>
        <v>100</v>
      </c>
      <c r="S21" s="44">
        <v>1</v>
      </c>
      <c r="T21" s="44">
        <v>1</v>
      </c>
      <c r="U21" s="149">
        <f>T21/S21*100</f>
        <v>100</v>
      </c>
      <c r="V21" s="72">
        <f t="shared" si="3"/>
        <v>1.9</v>
      </c>
      <c r="W21" s="72">
        <f t="shared" si="4"/>
        <v>1.9</v>
      </c>
      <c r="X21" s="11">
        <f t="shared" si="1"/>
        <v>100</v>
      </c>
      <c r="Y21" s="72">
        <f t="shared" si="7"/>
        <v>0</v>
      </c>
      <c r="Z21" s="18">
        <f t="shared" si="8"/>
        <v>0</v>
      </c>
    </row>
    <row r="22" spans="1:26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13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5"/>
        <v>12.200000000000001</v>
      </c>
      <c r="N22" s="89">
        <f t="shared" si="6"/>
        <v>12.200000000000001</v>
      </c>
      <c r="O22" s="11">
        <f t="shared" si="2"/>
        <v>100</v>
      </c>
      <c r="P22" s="44">
        <v>8.1</v>
      </c>
      <c r="Q22" s="44">
        <v>8.1</v>
      </c>
      <c r="R22" s="149">
        <f>Q22/P22*100</f>
        <v>100</v>
      </c>
      <c r="S22" s="44">
        <v>4.5</v>
      </c>
      <c r="T22" s="44">
        <v>1.4</v>
      </c>
      <c r="U22" s="149">
        <f>T22/S22*100</f>
        <v>31.11111111111111</v>
      </c>
      <c r="V22" s="72">
        <f t="shared" si="3"/>
        <v>24.8</v>
      </c>
      <c r="W22" s="72">
        <f t="shared" si="4"/>
        <v>21.7</v>
      </c>
      <c r="X22" s="11">
        <f t="shared" si="1"/>
        <v>87.5</v>
      </c>
      <c r="Y22" s="72">
        <f t="shared" si="7"/>
        <v>3.1000000000000014</v>
      </c>
      <c r="Z22" s="18">
        <f t="shared" si="8"/>
        <v>3.1000000000000014</v>
      </c>
    </row>
    <row r="23" spans="1:26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13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5"/>
        <v>2.5</v>
      </c>
      <c r="N23" s="89">
        <f t="shared" si="6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72">
        <f t="shared" si="3"/>
        <v>4.1</v>
      </c>
      <c r="W23" s="72">
        <f t="shared" si="4"/>
        <v>4.1</v>
      </c>
      <c r="X23" s="11">
        <f t="shared" si="1"/>
        <v>100</v>
      </c>
      <c r="Y23" s="72">
        <f t="shared" si="7"/>
        <v>0</v>
      </c>
      <c r="Z23" s="18">
        <f t="shared" si="8"/>
        <v>0</v>
      </c>
    </row>
    <row r="24" spans="1:26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13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5"/>
        <v>26.6</v>
      </c>
      <c r="N24" s="89">
        <f t="shared" si="6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72">
        <f t="shared" si="3"/>
        <v>42.1</v>
      </c>
      <c r="W24" s="72">
        <f t="shared" si="4"/>
        <v>38.9</v>
      </c>
      <c r="X24" s="11">
        <f t="shared" si="1"/>
        <v>92.39904988123516</v>
      </c>
      <c r="Y24" s="72">
        <f t="shared" si="7"/>
        <v>3.200000000000003</v>
      </c>
      <c r="Z24" s="18">
        <f t="shared" si="8"/>
        <v>3.5</v>
      </c>
    </row>
    <row r="25" spans="1:26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13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5"/>
        <v>16.2</v>
      </c>
      <c r="N25" s="89">
        <f t="shared" si="6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72">
        <f t="shared" si="3"/>
        <v>28.4</v>
      </c>
      <c r="W25" s="72">
        <f t="shared" si="4"/>
        <v>21</v>
      </c>
      <c r="X25" s="11">
        <f t="shared" si="1"/>
        <v>73.94366197183099</v>
      </c>
      <c r="Y25" s="72">
        <f t="shared" si="7"/>
        <v>7.399999999999999</v>
      </c>
      <c r="Z25" s="18">
        <f t="shared" si="8"/>
        <v>8.899999999999999</v>
      </c>
    </row>
    <row r="26" spans="1:26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72">
        <f t="shared" si="3"/>
        <v>0</v>
      </c>
      <c r="W26" s="72">
        <f t="shared" si="4"/>
        <v>0</v>
      </c>
      <c r="X26" s="111"/>
      <c r="Y26" s="72"/>
      <c r="Z26" s="18"/>
    </row>
    <row r="27" spans="1:26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72">
        <f t="shared" si="3"/>
        <v>0</v>
      </c>
      <c r="W27" s="72">
        <f t="shared" si="4"/>
        <v>0</v>
      </c>
      <c r="X27" s="11"/>
      <c r="Y27" s="72"/>
      <c r="Z27" s="18"/>
    </row>
    <row r="28" spans="1:26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13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14" ref="L28:L43">K28/J28*100</f>
        <v>47.05882352941177</v>
      </c>
      <c r="M28" s="89">
        <f t="shared" si="5"/>
        <v>13.5</v>
      </c>
      <c r="N28" s="89">
        <f t="shared" si="6"/>
        <v>10.2</v>
      </c>
      <c r="O28" s="11">
        <f t="shared" si="2"/>
        <v>75.55555555555556</v>
      </c>
      <c r="P28" s="44">
        <v>4.4</v>
      </c>
      <c r="Q28" s="44">
        <v>6.2</v>
      </c>
      <c r="R28" s="149">
        <f>Q28/P28*100</f>
        <v>140.9090909090909</v>
      </c>
      <c r="S28" s="44">
        <v>4</v>
      </c>
      <c r="T28" s="44">
        <v>3</v>
      </c>
      <c r="U28" s="149">
        <f>T28/S28*100</f>
        <v>75</v>
      </c>
      <c r="V28" s="72">
        <f t="shared" si="3"/>
        <v>21.9</v>
      </c>
      <c r="W28" s="72">
        <f t="shared" si="4"/>
        <v>19.4</v>
      </c>
      <c r="X28" s="11">
        <f t="shared" si="1"/>
        <v>88.58447488584474</v>
      </c>
      <c r="Y28" s="72">
        <f t="shared" si="7"/>
        <v>2.5</v>
      </c>
      <c r="Z28" s="18">
        <f t="shared" si="8"/>
        <v>4.199999999999999</v>
      </c>
    </row>
    <row r="29" spans="1:26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2">
        <f t="shared" si="3"/>
        <v>0</v>
      </c>
      <c r="W29" s="72">
        <f t="shared" si="4"/>
        <v>0</v>
      </c>
      <c r="X29" s="77"/>
      <c r="Y29" s="77"/>
      <c r="Z29" s="77"/>
    </row>
    <row r="30" spans="1:26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14"/>
        <v>100</v>
      </c>
      <c r="M30" s="89">
        <f t="shared" si="5"/>
        <v>4.4</v>
      </c>
      <c r="N30" s="89">
        <f t="shared" si="6"/>
        <v>3.0999999999999996</v>
      </c>
      <c r="O30" s="11">
        <f t="shared" si="2"/>
        <v>70.45454545454544</v>
      </c>
      <c r="P30" s="44">
        <v>2.4</v>
      </c>
      <c r="Q30" s="44">
        <v>1.7</v>
      </c>
      <c r="R30" s="149">
        <f aca="true" t="shared" si="15" ref="R30:R43">Q30/P30*100</f>
        <v>70.83333333333334</v>
      </c>
      <c r="S30" s="44">
        <v>1.8</v>
      </c>
      <c r="T30" s="44">
        <v>1</v>
      </c>
      <c r="U30" s="149">
        <f aca="true" t="shared" si="16" ref="U30:U43">T30/S30*100</f>
        <v>55.55555555555556</v>
      </c>
      <c r="V30" s="72">
        <f t="shared" si="3"/>
        <v>8.600000000000001</v>
      </c>
      <c r="W30" s="72">
        <f t="shared" si="4"/>
        <v>5.8</v>
      </c>
      <c r="X30" s="11">
        <f t="shared" si="1"/>
        <v>67.44186046511626</v>
      </c>
      <c r="Y30" s="72">
        <f t="shared" si="7"/>
        <v>2.8000000000000016</v>
      </c>
      <c r="Z30" s="18">
        <f t="shared" si="8"/>
        <v>0.6000000000000014</v>
      </c>
    </row>
    <row r="31" spans="1:26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14"/>
        <v>150</v>
      </c>
      <c r="M31" s="89">
        <f t="shared" si="5"/>
        <v>5</v>
      </c>
      <c r="N31" s="89">
        <f t="shared" si="6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15"/>
        <v>120</v>
      </c>
      <c r="S31" s="44">
        <v>1.3</v>
      </c>
      <c r="T31" s="44">
        <v>1.5</v>
      </c>
      <c r="U31" s="11">
        <f t="shared" si="16"/>
        <v>115.38461538461537</v>
      </c>
      <c r="V31" s="72">
        <f t="shared" si="3"/>
        <v>7.8</v>
      </c>
      <c r="W31" s="72">
        <f t="shared" si="4"/>
        <v>7.8999999999999995</v>
      </c>
      <c r="X31" s="11">
        <f t="shared" si="1"/>
        <v>101.28205128205127</v>
      </c>
      <c r="Y31" s="72">
        <f t="shared" si="7"/>
        <v>-0.09999999999999964</v>
      </c>
      <c r="Z31" s="18">
        <f t="shared" si="8"/>
        <v>-0.2999999999999998</v>
      </c>
    </row>
    <row r="32" spans="1:26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14"/>
        <v>195.21186440677965</v>
      </c>
      <c r="M32" s="89">
        <f t="shared" si="5"/>
        <v>703.3</v>
      </c>
      <c r="N32" s="89">
        <f t="shared" si="6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15"/>
        <v>102.09059233449477</v>
      </c>
      <c r="S32" s="44">
        <v>214</v>
      </c>
      <c r="T32" s="44">
        <v>21.3</v>
      </c>
      <c r="U32" s="11">
        <f t="shared" si="16"/>
        <v>9.953271028037383</v>
      </c>
      <c r="V32" s="72">
        <f t="shared" si="3"/>
        <v>1146.9</v>
      </c>
      <c r="W32" s="72">
        <f t="shared" si="4"/>
        <v>737.5</v>
      </c>
      <c r="X32" s="11">
        <f t="shared" si="1"/>
        <v>64.3037753945418</v>
      </c>
      <c r="Y32" s="72">
        <f t="shared" si="7"/>
        <v>409.4000000000001</v>
      </c>
      <c r="Z32" s="18">
        <f t="shared" si="8"/>
        <v>405.8000000000002</v>
      </c>
    </row>
    <row r="33" spans="1:26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14"/>
        <v>100</v>
      </c>
      <c r="M33" s="89">
        <f t="shared" si="5"/>
        <v>14</v>
      </c>
      <c r="N33" s="89">
        <f t="shared" si="6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15"/>
        <v>100</v>
      </c>
      <c r="S33" s="44">
        <v>8.4</v>
      </c>
      <c r="T33" s="44">
        <v>8.4</v>
      </c>
      <c r="U33" s="11">
        <f t="shared" si="16"/>
        <v>100</v>
      </c>
      <c r="V33" s="72">
        <f t="shared" si="3"/>
        <v>30.1</v>
      </c>
      <c r="W33" s="72">
        <f t="shared" si="4"/>
        <v>40.7</v>
      </c>
      <c r="X33" s="11">
        <f t="shared" si="1"/>
        <v>135.21594684385383</v>
      </c>
      <c r="Y33" s="72">
        <f t="shared" si="7"/>
        <v>-10.600000000000001</v>
      </c>
      <c r="Z33" s="18">
        <f t="shared" si="8"/>
        <v>0</v>
      </c>
    </row>
    <row r="34" spans="1:26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14"/>
        <v>160</v>
      </c>
      <c r="M34" s="89">
        <f t="shared" si="5"/>
        <v>4.6</v>
      </c>
      <c r="N34" s="89">
        <f t="shared" si="6"/>
        <v>4.6</v>
      </c>
      <c r="O34" s="11">
        <f t="shared" si="2"/>
        <v>100</v>
      </c>
      <c r="P34" s="44">
        <v>1.6</v>
      </c>
      <c r="Q34" s="44">
        <v>0.6</v>
      </c>
      <c r="R34" s="149">
        <f t="shared" si="15"/>
        <v>37.49999999999999</v>
      </c>
      <c r="S34" s="44">
        <v>2.1</v>
      </c>
      <c r="T34" s="44">
        <v>2.1</v>
      </c>
      <c r="U34" s="149">
        <f t="shared" si="16"/>
        <v>100</v>
      </c>
      <c r="V34" s="72">
        <f t="shared" si="3"/>
        <v>8.299999999999999</v>
      </c>
      <c r="W34" s="72">
        <f t="shared" si="4"/>
        <v>7.299999999999999</v>
      </c>
      <c r="X34" s="11">
        <f t="shared" si="1"/>
        <v>87.95180722891565</v>
      </c>
      <c r="Y34" s="72">
        <f t="shared" si="7"/>
        <v>1</v>
      </c>
      <c r="Z34" s="18">
        <f t="shared" si="8"/>
        <v>2.0999999999999996</v>
      </c>
    </row>
    <row r="35" spans="1:26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17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14"/>
        <v>180.15873015873015</v>
      </c>
      <c r="M35" s="89">
        <f t="shared" si="5"/>
        <v>76.8</v>
      </c>
      <c r="N35" s="89">
        <f t="shared" si="6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15"/>
        <v>68.29268292682926</v>
      </c>
      <c r="S35" s="44">
        <v>37.4</v>
      </c>
      <c r="T35" s="44">
        <v>37.6</v>
      </c>
      <c r="U35" s="11">
        <f t="shared" si="16"/>
        <v>100.53475935828877</v>
      </c>
      <c r="V35" s="72">
        <f t="shared" si="3"/>
        <v>138.8</v>
      </c>
      <c r="W35" s="72">
        <f t="shared" si="4"/>
        <v>116.30000000000001</v>
      </c>
      <c r="X35" s="11">
        <f t="shared" si="1"/>
        <v>83.78962536023054</v>
      </c>
      <c r="Y35" s="72">
        <f t="shared" si="7"/>
        <v>22.5</v>
      </c>
      <c r="Z35" s="18">
        <f t="shared" si="8"/>
        <v>-7.599999999999994</v>
      </c>
    </row>
    <row r="36" spans="1:26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17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14"/>
        <v>153.33333333333334</v>
      </c>
      <c r="M36" s="89">
        <f t="shared" si="5"/>
        <v>61.5</v>
      </c>
      <c r="N36" s="89">
        <f t="shared" si="6"/>
        <v>57.6</v>
      </c>
      <c r="O36" s="11">
        <f t="shared" si="2"/>
        <v>93.65853658536587</v>
      </c>
      <c r="P36" s="44">
        <v>20.4</v>
      </c>
      <c r="Q36" s="44">
        <v>16.2</v>
      </c>
      <c r="R36" s="11">
        <f t="shared" si="15"/>
        <v>79.41176470588236</v>
      </c>
      <c r="S36" s="44">
        <v>24.8</v>
      </c>
      <c r="T36" s="44">
        <v>22.6</v>
      </c>
      <c r="U36" s="11">
        <f t="shared" si="16"/>
        <v>91.12903225806453</v>
      </c>
      <c r="V36" s="72">
        <f t="shared" si="3"/>
        <v>106.7</v>
      </c>
      <c r="W36" s="72">
        <f t="shared" si="4"/>
        <v>96.4</v>
      </c>
      <c r="X36" s="11">
        <f t="shared" si="1"/>
        <v>90.34676663542643</v>
      </c>
      <c r="Y36" s="72">
        <f t="shared" si="7"/>
        <v>10.299999999999997</v>
      </c>
      <c r="Z36" s="18">
        <f t="shared" si="8"/>
        <v>-0.5</v>
      </c>
    </row>
    <row r="37" spans="1:26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17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14"/>
        <v>109.8360655737705</v>
      </c>
      <c r="M37" s="89">
        <f t="shared" si="5"/>
        <v>60.599999999999994</v>
      </c>
      <c r="N37" s="89">
        <f t="shared" si="6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15"/>
        <v>107.14285714285714</v>
      </c>
      <c r="S37" s="44">
        <v>23.9</v>
      </c>
      <c r="T37" s="44">
        <v>6.4</v>
      </c>
      <c r="U37" s="149">
        <f t="shared" si="16"/>
        <v>26.77824267782427</v>
      </c>
      <c r="V37" s="72">
        <f t="shared" si="3"/>
        <v>105.5</v>
      </c>
      <c r="W37" s="72">
        <f t="shared" si="4"/>
        <v>56</v>
      </c>
      <c r="X37" s="11">
        <f t="shared" si="1"/>
        <v>53.08056872037915</v>
      </c>
      <c r="Y37" s="72">
        <f t="shared" si="7"/>
        <v>49.5</v>
      </c>
      <c r="Z37" s="18">
        <f t="shared" si="8"/>
        <v>32</v>
      </c>
    </row>
    <row r="38" spans="1:26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17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14"/>
        <v>128.88888888888889</v>
      </c>
      <c r="M38" s="89">
        <f t="shared" si="5"/>
        <v>24.9</v>
      </c>
      <c r="N38" s="89">
        <f t="shared" si="6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15"/>
        <v>46.666666666666664</v>
      </c>
      <c r="S38" s="44">
        <v>5.6</v>
      </c>
      <c r="T38" s="44">
        <v>12.4</v>
      </c>
      <c r="U38" s="11">
        <f t="shared" si="16"/>
        <v>221.42857142857144</v>
      </c>
      <c r="V38" s="72">
        <f t="shared" si="3"/>
        <v>42.5</v>
      </c>
      <c r="W38" s="72">
        <f t="shared" si="4"/>
        <v>37.699999999999996</v>
      </c>
      <c r="X38" s="11">
        <f t="shared" si="1"/>
        <v>88.70588235294117</v>
      </c>
      <c r="Y38" s="72">
        <f t="shared" si="7"/>
        <v>4.800000000000004</v>
      </c>
      <c r="Z38" s="18">
        <f t="shared" si="8"/>
        <v>0</v>
      </c>
    </row>
    <row r="39" spans="1:26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17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14"/>
        <v>170.58823529411765</v>
      </c>
      <c r="M39" s="89">
        <f t="shared" si="5"/>
        <v>14.5</v>
      </c>
      <c r="N39" s="89">
        <f t="shared" si="6"/>
        <v>12.899999999999999</v>
      </c>
      <c r="O39" s="11">
        <f t="shared" si="2"/>
        <v>88.9655172413793</v>
      </c>
      <c r="P39" s="44">
        <v>5.9</v>
      </c>
      <c r="Q39" s="44">
        <v>2.9</v>
      </c>
      <c r="R39" s="149">
        <f t="shared" si="15"/>
        <v>49.15254237288135</v>
      </c>
      <c r="S39" s="44">
        <v>6.1</v>
      </c>
      <c r="T39" s="44">
        <v>9.7</v>
      </c>
      <c r="U39" s="149">
        <f t="shared" si="16"/>
        <v>159.01639344262296</v>
      </c>
      <c r="V39" s="72">
        <f t="shared" si="3"/>
        <v>26.5</v>
      </c>
      <c r="W39" s="72">
        <f t="shared" si="4"/>
        <v>25.5</v>
      </c>
      <c r="X39" s="11">
        <f t="shared" si="1"/>
        <v>96.22641509433963</v>
      </c>
      <c r="Y39" s="72">
        <f t="shared" si="7"/>
        <v>1</v>
      </c>
      <c r="Z39" s="18">
        <f t="shared" si="8"/>
        <v>-1.1999999999999993</v>
      </c>
    </row>
    <row r="40" spans="1:26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17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14"/>
        <v>133.40707964601768</v>
      </c>
      <c r="M40" s="89">
        <f t="shared" si="5"/>
        <v>138</v>
      </c>
      <c r="N40" s="89">
        <f t="shared" si="6"/>
        <v>118.1</v>
      </c>
      <c r="O40" s="11">
        <f t="shared" si="2"/>
        <v>85.57971014492753</v>
      </c>
      <c r="P40" s="44">
        <v>52.3</v>
      </c>
      <c r="Q40" s="44">
        <v>83.8</v>
      </c>
      <c r="R40" s="149">
        <f t="shared" si="15"/>
        <v>160.22944550669217</v>
      </c>
      <c r="S40" s="44">
        <v>47.2</v>
      </c>
      <c r="T40" s="44">
        <v>18</v>
      </c>
      <c r="U40" s="149">
        <f t="shared" si="16"/>
        <v>38.13559322033898</v>
      </c>
      <c r="V40" s="72">
        <f t="shared" si="3"/>
        <v>237.5</v>
      </c>
      <c r="W40" s="72">
        <f t="shared" si="4"/>
        <v>219.89999999999998</v>
      </c>
      <c r="X40" s="11">
        <f t="shared" si="1"/>
        <v>92.58947368421052</v>
      </c>
      <c r="Y40" s="72">
        <f t="shared" si="7"/>
        <v>17.600000000000023</v>
      </c>
      <c r="Z40" s="18">
        <f t="shared" si="8"/>
        <v>21.400000000000034</v>
      </c>
    </row>
    <row r="41" spans="1:26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17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14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15"/>
        <v>81.5279479524393</v>
      </c>
      <c r="S41" s="18">
        <f>SUM(S42:S42)</f>
        <v>5503.8</v>
      </c>
      <c r="T41" s="18">
        <f>SUM(T42:T42)</f>
        <v>5497.9</v>
      </c>
      <c r="U41" s="11">
        <f t="shared" si="16"/>
        <v>99.89280133725788</v>
      </c>
      <c r="V41" s="149">
        <f>V42</f>
        <v>28624</v>
      </c>
      <c r="W41" s="149">
        <f>W42</f>
        <v>22057.799999999996</v>
      </c>
      <c r="X41" s="11">
        <f t="shared" si="1"/>
        <v>77.06050866405812</v>
      </c>
      <c r="Y41" s="18">
        <f>SUM(Y42:Y42)</f>
        <v>6566.200000000004</v>
      </c>
      <c r="Z41" s="18">
        <f>SUM(Z42:Z42)</f>
        <v>6038.600000000006</v>
      </c>
    </row>
    <row r="42" spans="1:26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17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14"/>
        <v>146.63310363283603</v>
      </c>
      <c r="M42" s="89">
        <f t="shared" si="5"/>
        <v>17325.5</v>
      </c>
      <c r="N42" s="89">
        <f t="shared" si="6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15"/>
        <v>81.5279479524393</v>
      </c>
      <c r="S42" s="44">
        <v>5503.8</v>
      </c>
      <c r="T42" s="44">
        <v>5497.9</v>
      </c>
      <c r="U42" s="11">
        <f t="shared" si="16"/>
        <v>99.89280133725788</v>
      </c>
      <c r="V42" s="72">
        <f>M42+P42+S42</f>
        <v>28624</v>
      </c>
      <c r="W42" s="72">
        <f>N42+Q42+T42</f>
        <v>22057.799999999996</v>
      </c>
      <c r="X42" s="11">
        <f t="shared" si="1"/>
        <v>77.06050866405812</v>
      </c>
      <c r="Y42" s="72">
        <f t="shared" si="7"/>
        <v>6566.200000000004</v>
      </c>
      <c r="Z42" s="14">
        <f t="shared" si="8"/>
        <v>6038.600000000006</v>
      </c>
    </row>
    <row r="43" spans="1:26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6445.1</v>
      </c>
      <c r="K43" s="18">
        <f>K7+K41</f>
        <v>9526</v>
      </c>
      <c r="L43" s="11">
        <f t="shared" si="14"/>
        <v>147.80220632728737</v>
      </c>
      <c r="M43" s="18">
        <f>M7+M41</f>
        <v>18693.7</v>
      </c>
      <c r="N43" s="18">
        <f>N7+N41</f>
        <v>12872.999999999998</v>
      </c>
      <c r="O43" s="11">
        <f t="shared" si="2"/>
        <v>68.86277194990824</v>
      </c>
      <c r="P43" s="18">
        <f>P7+P41</f>
        <v>6262.8</v>
      </c>
      <c r="Q43" s="18">
        <f>Q7+Q41</f>
        <v>5204.1</v>
      </c>
      <c r="R43" s="11">
        <f t="shared" si="15"/>
        <v>83.09542057865492</v>
      </c>
      <c r="S43" s="18">
        <f>S7+S41</f>
        <v>5970.400000000001</v>
      </c>
      <c r="T43" s="18">
        <f>T7+T41</f>
        <v>5703.299999999999</v>
      </c>
      <c r="U43" s="11">
        <f t="shared" si="16"/>
        <v>95.5262628969583</v>
      </c>
      <c r="V43" s="83">
        <f>V7+V41</f>
        <v>30926.9</v>
      </c>
      <c r="W43" s="83">
        <f>W7+W41</f>
        <v>23780.399999999994</v>
      </c>
      <c r="X43" s="11">
        <f>W43/V43*100</f>
        <v>76.89228471007438</v>
      </c>
      <c r="Y43" s="18">
        <f>Y7+Y41</f>
        <v>7146.500000000005</v>
      </c>
      <c r="Z43" s="18">
        <f>Z7+Z41</f>
        <v>6559.500000000006</v>
      </c>
    </row>
    <row r="44" spans="1:38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25"/>
      <c r="W44" s="25"/>
      <c r="X44" s="86"/>
      <c r="Y44" s="86"/>
      <c r="Z44" s="85"/>
      <c r="AA44" s="85"/>
      <c r="AB44" s="85"/>
      <c r="AC44" s="85"/>
      <c r="AD44" s="85"/>
      <c r="AE44" s="85"/>
      <c r="AF44" s="85"/>
      <c r="AG44" s="85"/>
      <c r="AH44" s="85"/>
      <c r="AI44" s="46"/>
      <c r="AJ44" s="46"/>
      <c r="AK44" s="46"/>
      <c r="AL44" s="46"/>
    </row>
    <row r="45" spans="1:38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34"/>
      <c r="W45" s="34"/>
      <c r="X45" s="61"/>
      <c r="Y45" s="177" t="s">
        <v>137</v>
      </c>
      <c r="Z45" s="178"/>
      <c r="AA45" s="28"/>
      <c r="AB45" s="28"/>
      <c r="AC45" s="28"/>
      <c r="AD45" s="28"/>
      <c r="AE45" s="28"/>
      <c r="AF45" s="27"/>
      <c r="AG45" s="6"/>
      <c r="AH45" s="6"/>
      <c r="AI45" s="29"/>
      <c r="AJ45" s="6"/>
      <c r="AL45" s="6"/>
    </row>
    <row r="46" spans="1:38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0"/>
      <c r="W46" s="40"/>
      <c r="X46" s="41"/>
      <c r="Y46" s="2"/>
      <c r="Z46" s="4" t="s">
        <v>135</v>
      </c>
      <c r="AA46" s="28"/>
      <c r="AB46" s="28"/>
      <c r="AC46" s="28"/>
      <c r="AD46" s="28"/>
      <c r="AE46" s="28"/>
      <c r="AF46" s="27"/>
      <c r="AG46" s="6"/>
      <c r="AH46" s="6"/>
      <c r="AI46" s="29"/>
      <c r="AJ46" s="6"/>
      <c r="AL46" s="6"/>
    </row>
    <row r="47" spans="1:38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Z47" s="2"/>
      <c r="AA47" s="28"/>
      <c r="AB47" s="28"/>
      <c r="AC47" s="28"/>
      <c r="AD47" s="28"/>
      <c r="AE47" s="28"/>
      <c r="AF47" s="27"/>
      <c r="AG47" s="6"/>
      <c r="AH47" s="6"/>
      <c r="AI47" s="29"/>
      <c r="AJ47" s="6"/>
      <c r="AL47" s="6"/>
    </row>
    <row r="48" spans="1:38" ht="24.75" customHeight="1">
      <c r="A48" s="2"/>
      <c r="C48" s="31"/>
      <c r="D48" s="21"/>
      <c r="E48" s="21"/>
      <c r="F48" s="28"/>
      <c r="AA48" s="21"/>
      <c r="AB48" s="21"/>
      <c r="AC48" s="21"/>
      <c r="AD48" s="21"/>
      <c r="AE48" s="21"/>
      <c r="AF48" s="21"/>
      <c r="AG48" s="7"/>
      <c r="AH48" s="7"/>
      <c r="AI48" s="32"/>
      <c r="AJ48" s="7"/>
      <c r="AL48" s="7"/>
    </row>
    <row r="49" spans="1:26" s="38" customFormat="1" ht="58.5" customHeight="1">
      <c r="A49" s="33"/>
      <c r="B49" s="168" t="s">
        <v>138</v>
      </c>
      <c r="C49" s="168"/>
      <c r="D49" s="168"/>
      <c r="E49" s="168"/>
      <c r="F49" s="16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  <c r="X49" s="12"/>
      <c r="Y49" s="2"/>
      <c r="Z49" s="2"/>
    </row>
    <row r="50" spans="1:26" ht="73.5" customHeight="1" hidden="1">
      <c r="A50" s="164" t="s">
        <v>134</v>
      </c>
      <c r="B50" s="16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  <c r="X50" s="60"/>
      <c r="Y50" s="21"/>
      <c r="Z50" s="21"/>
    </row>
    <row r="51" spans="2:26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</row>
    <row r="52" spans="2:26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  <c r="X52" s="60"/>
      <c r="Y52" s="21"/>
      <c r="Z52" s="21"/>
    </row>
    <row r="53" spans="7:26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  <c r="X53" s="60"/>
      <c r="Y53" s="21"/>
      <c r="Z53" s="21"/>
    </row>
    <row r="54" spans="2:26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  <c r="X54" s="60"/>
      <c r="Y54" s="21"/>
      <c r="Z54" s="21"/>
    </row>
    <row r="55" spans="2:26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  <c r="X55" s="60"/>
      <c r="Y55" s="21"/>
      <c r="Z55" s="21"/>
    </row>
    <row r="56" spans="7:26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  <c r="X56" s="60"/>
      <c r="Y56" s="21"/>
      <c r="Z56" s="21"/>
    </row>
    <row r="57" spans="7:26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  <c r="X57" s="60"/>
      <c r="Y57" s="21"/>
      <c r="Z57" s="21"/>
    </row>
    <row r="58" spans="7:26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  <c r="X58" s="60"/>
      <c r="Y58" s="21"/>
      <c r="Z58" s="21"/>
    </row>
    <row r="59" spans="7:26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  <c r="X59" s="60"/>
      <c r="Y59" s="21"/>
      <c r="Z59" s="21"/>
    </row>
    <row r="60" spans="7:26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  <c r="X60" s="60"/>
      <c r="Y60" s="21"/>
      <c r="Z60" s="21"/>
    </row>
    <row r="61" spans="7:26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  <c r="X61" s="60"/>
      <c r="Y61" s="21"/>
      <c r="Z61" s="21"/>
    </row>
    <row r="62" spans="7:26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  <c r="X62" s="60"/>
      <c r="Y62" s="21"/>
      <c r="Z62" s="21"/>
    </row>
    <row r="63" spans="7:26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  <c r="X63" s="60"/>
      <c r="Y63" s="21"/>
      <c r="Z63" s="21"/>
    </row>
    <row r="64" spans="7:26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  <c r="X64" s="60"/>
      <c r="Y64" s="21"/>
      <c r="Z64" s="21"/>
    </row>
    <row r="65" spans="7:26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  <c r="X65" s="60"/>
      <c r="Y65" s="21"/>
      <c r="Z65" s="21"/>
    </row>
    <row r="66" spans="7:26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  <c r="X66" s="60"/>
      <c r="Y66" s="21"/>
      <c r="Z66" s="21"/>
    </row>
    <row r="67" spans="7:26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  <c r="X67" s="60"/>
      <c r="Y67" s="21"/>
      <c r="Z67" s="21"/>
    </row>
    <row r="68" spans="7:26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  <c r="X68" s="60"/>
      <c r="Y68" s="21"/>
      <c r="Z68" s="21"/>
    </row>
    <row r="69" spans="7:26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  <c r="X69" s="60"/>
      <c r="Y69" s="21"/>
      <c r="Z69" s="21"/>
    </row>
    <row r="70" spans="7:26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  <c r="X70" s="60"/>
      <c r="Y70" s="21"/>
      <c r="Z70" s="21"/>
    </row>
    <row r="71" spans="7:26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  <c r="X71" s="60"/>
      <c r="Y71" s="21"/>
      <c r="Z71" s="21"/>
    </row>
    <row r="72" spans="7:26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  <c r="X72" s="60"/>
      <c r="Y72" s="21"/>
      <c r="Z72" s="21"/>
    </row>
    <row r="73" spans="7:26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  <c r="X73" s="60"/>
      <c r="Y73" s="21"/>
      <c r="Z73" s="21"/>
    </row>
    <row r="74" spans="7:26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  <c r="X74" s="60"/>
      <c r="Y74" s="21"/>
      <c r="Z74" s="21"/>
    </row>
    <row r="75" spans="7:26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  <c r="X75" s="60"/>
      <c r="Y75" s="21"/>
      <c r="Z75" s="21"/>
    </row>
    <row r="76" spans="7:26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  <c r="X76" s="60"/>
      <c r="Y76" s="21"/>
      <c r="Z76" s="21"/>
    </row>
    <row r="77" spans="7:26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  <c r="X77" s="60"/>
      <c r="Y77" s="21"/>
      <c r="Z77" s="21"/>
    </row>
    <row r="78" spans="7:26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  <c r="X78" s="60"/>
      <c r="Y78" s="21"/>
      <c r="Z78" s="21"/>
    </row>
    <row r="79" spans="7:26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  <c r="X79" s="60"/>
      <c r="Y79" s="21"/>
      <c r="Z79" s="21"/>
    </row>
    <row r="80" spans="7:26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  <c r="X80" s="60"/>
      <c r="Y80" s="21"/>
      <c r="Z80" s="21"/>
    </row>
    <row r="81" spans="7:26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  <c r="X81" s="60"/>
      <c r="Y81" s="21"/>
      <c r="Z81" s="21"/>
    </row>
    <row r="82" spans="7:26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  <c r="X82" s="60"/>
      <c r="Y82" s="21"/>
      <c r="Z82" s="21"/>
    </row>
    <row r="83" spans="7:26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  <c r="X83" s="60"/>
      <c r="Y83" s="21"/>
      <c r="Z83" s="21"/>
    </row>
    <row r="84" spans="7:26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  <c r="X84" s="60"/>
      <c r="Y84" s="21"/>
      <c r="Z84" s="21"/>
    </row>
    <row r="85" spans="7:26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  <c r="X85" s="60"/>
      <c r="Y85" s="21"/>
      <c r="Z85" s="21"/>
    </row>
    <row r="86" spans="7:26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  <c r="X86" s="60"/>
      <c r="Y86" s="21"/>
      <c r="Z86" s="21"/>
    </row>
    <row r="87" spans="7:26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  <c r="X87" s="60"/>
      <c r="Y87" s="21"/>
      <c r="Z87" s="21"/>
    </row>
    <row r="88" spans="7:26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  <c r="X88" s="60"/>
      <c r="Y88" s="21"/>
      <c r="Z88" s="21"/>
    </row>
    <row r="89" spans="7:26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  <c r="X89" s="60"/>
      <c r="Y89" s="21"/>
      <c r="Z89" s="21"/>
    </row>
    <row r="90" spans="7:26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  <c r="X90" s="60"/>
      <c r="Y90" s="21"/>
      <c r="Z90" s="21"/>
    </row>
    <row r="91" spans="7:26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  <c r="X91" s="60"/>
      <c r="Y91" s="21"/>
      <c r="Z91" s="21"/>
    </row>
    <row r="92" spans="7:26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  <c r="X92" s="60"/>
      <c r="Y92" s="21"/>
      <c r="Z92" s="21"/>
    </row>
    <row r="93" spans="7:26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  <c r="X93" s="60"/>
      <c r="Y93" s="21"/>
      <c r="Z93" s="21"/>
    </row>
    <row r="94" spans="7:26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  <c r="X94" s="60"/>
      <c r="Y94" s="21"/>
      <c r="Z94" s="21"/>
    </row>
    <row r="95" spans="7:26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  <c r="X95" s="60"/>
      <c r="Y95" s="21"/>
      <c r="Z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16">
    <mergeCell ref="P5:R5"/>
    <mergeCell ref="V5:X5"/>
    <mergeCell ref="Y5:Y6"/>
    <mergeCell ref="Z5:Z6"/>
    <mergeCell ref="M5:O5"/>
    <mergeCell ref="Y45:Z45"/>
    <mergeCell ref="A50:B50"/>
    <mergeCell ref="B4:F4"/>
    <mergeCell ref="B49:F49"/>
    <mergeCell ref="J5:L5"/>
    <mergeCell ref="I1:Z1"/>
    <mergeCell ref="B2:Z2"/>
    <mergeCell ref="B3:Z3"/>
    <mergeCell ref="D5:F5"/>
    <mergeCell ref="G5:I5"/>
    <mergeCell ref="S5: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95"/>
  <sheetViews>
    <sheetView view="pageBreakPreview" zoomScale="75" zoomScaleNormal="50" zoomScaleSheetLayoutView="75" zoomScalePageLayoutView="0" workbookViewId="0" topLeftCell="A1">
      <pane xSplit="6" ySplit="8" topLeftCell="S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3" width="14.75390625" style="2" customWidth="1"/>
    <col min="24" max="24" width="11.125" style="12" customWidth="1"/>
    <col min="25" max="25" width="16.75390625" style="2" customWidth="1"/>
    <col min="26" max="26" width="18.25390625" style="2" customWidth="1"/>
    <col min="27" max="27" width="13.625" style="2" customWidth="1"/>
    <col min="28" max="28" width="9.875" style="2" customWidth="1"/>
    <col min="29" max="16384" width="6.75390625" style="2" customWidth="1"/>
  </cols>
  <sheetData>
    <row r="1" spans="9:26" ht="19.5" customHeight="1">
      <c r="I1" s="161" t="s">
        <v>50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62"/>
      <c r="B2" s="162" t="s">
        <v>130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8.75">
      <c r="B4" s="163"/>
      <c r="C4" s="163"/>
      <c r="D4" s="163"/>
      <c r="E4" s="163"/>
      <c r="F4" s="163"/>
      <c r="Z4" s="5" t="s">
        <v>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56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28" s="12" customFormat="1" ht="36" customHeight="1">
      <c r="A7" s="8"/>
      <c r="B7" s="9" t="s">
        <v>89</v>
      </c>
      <c r="C7" s="67">
        <f>SUM(C8:C40)</f>
        <v>-10.600000000000023</v>
      </c>
      <c r="D7" s="11">
        <f>SUM(D8:D40)</f>
        <v>1506.1000000000006</v>
      </c>
      <c r="E7" s="11">
        <f>SUM(E8:E40)</f>
        <v>447.1000000000001</v>
      </c>
      <c r="F7" s="11">
        <f aca="true" t="shared" si="0" ref="F7:F12">E7/D7*100</f>
        <v>29.68594382843104</v>
      </c>
      <c r="G7" s="11">
        <f>SUM(G8:G40)</f>
        <v>1472.5</v>
      </c>
      <c r="H7" s="11">
        <f>SUM(H8:H40)</f>
        <v>1704.9</v>
      </c>
      <c r="I7" s="11">
        <f aca="true" t="shared" si="1" ref="I7:I43">H7/G7*100</f>
        <v>115.78268251273344</v>
      </c>
      <c r="J7" s="11">
        <f>SUM(J8:J40)</f>
        <v>1629.9</v>
      </c>
      <c r="K7" s="11">
        <f>SUM(K8:K40)</f>
        <v>1837.5</v>
      </c>
      <c r="L7" s="11">
        <f aca="true" t="shared" si="2" ref="L7:L28">K7/J7*100</f>
        <v>112.736977728695</v>
      </c>
      <c r="M7" s="11">
        <f>SUM(M8:M40)</f>
        <v>4608.500000000001</v>
      </c>
      <c r="N7" s="11">
        <f>SUM(N8:N40)</f>
        <v>3989.5</v>
      </c>
      <c r="O7" s="11">
        <f>N7/M7*100</f>
        <v>86.56829771075185</v>
      </c>
      <c r="P7" s="11">
        <f>SUM(P8:P40)</f>
        <v>1637.2</v>
      </c>
      <c r="Q7" s="11">
        <f>SUM(Q8:Q40)</f>
        <v>1620.1</v>
      </c>
      <c r="R7" s="11">
        <f aca="true" t="shared" si="3" ref="R7:R28">Q7/P7*100</f>
        <v>98.95553383826044</v>
      </c>
      <c r="S7" s="11">
        <f>SUM(S8:S40)</f>
        <v>1514.0000000000002</v>
      </c>
      <c r="T7" s="11">
        <f>SUM(T8:T40)</f>
        <v>1858.5000000000002</v>
      </c>
      <c r="U7" s="11">
        <f aca="true" t="shared" si="4" ref="U7:U28">T7/S7*100</f>
        <v>122.75429326287978</v>
      </c>
      <c r="V7" s="67">
        <f>SUM(V8:V40)</f>
        <v>7759.699999999998</v>
      </c>
      <c r="W7" s="67">
        <f>SUM(W8:W40)</f>
        <v>7468.1</v>
      </c>
      <c r="X7" s="11">
        <f aca="true" t="shared" si="5" ref="X7:X42">W7/V7*100</f>
        <v>96.24212276247796</v>
      </c>
      <c r="Y7" s="67">
        <f>SUM(Y8:Y40)</f>
        <v>291.5999999999999</v>
      </c>
      <c r="Z7" s="67">
        <f>SUM(Z8:Z40)</f>
        <v>281</v>
      </c>
      <c r="AA7" s="27">
        <f>SUM(Y8:Y40)</f>
        <v>291.5999999999999</v>
      </c>
      <c r="AB7" s="27">
        <f>SUM(Z8:Z40)</f>
        <v>281</v>
      </c>
    </row>
    <row r="8" spans="1:26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6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72">
        <f aca="true" t="shared" si="7" ref="V8:V40">M8+P8+S8</f>
        <v>574</v>
      </c>
      <c r="W8" s="72">
        <f aca="true" t="shared" si="8" ref="W8:W40">N8+Q8+T8</f>
        <v>572.6</v>
      </c>
      <c r="X8" s="11">
        <f t="shared" si="5"/>
        <v>99.7560975609756</v>
      </c>
      <c r="Y8" s="72">
        <f>V8-W8</f>
        <v>1.3999999999999773</v>
      </c>
      <c r="Z8" s="18">
        <f>C8+V8-W8</f>
        <v>0</v>
      </c>
    </row>
    <row r="9" spans="1:26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9" ref="M9:M42">D9+G9+J9</f>
        <v>100.6</v>
      </c>
      <c r="N9" s="89">
        <f aca="true" t="shared" si="10" ref="N9:N42">E9+H9+K9</f>
        <v>79.5</v>
      </c>
      <c r="O9" s="11">
        <f t="shared" si="6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72">
        <f t="shared" si="7"/>
        <v>166.79999999999998</v>
      </c>
      <c r="W9" s="72">
        <f t="shared" si="8"/>
        <v>143.9</v>
      </c>
      <c r="X9" s="11">
        <f t="shared" si="5"/>
        <v>86.27098321342926</v>
      </c>
      <c r="Y9" s="72">
        <f aca="true" t="shared" si="11" ref="Y9:Y42">V9-W9</f>
        <v>22.899999999999977</v>
      </c>
      <c r="Z9" s="18">
        <f aca="true" t="shared" si="12" ref="Z9:Z28">C9+V9-W9</f>
        <v>0.0999999999999659</v>
      </c>
    </row>
    <row r="10" spans="1:26" ht="24.75" customHeight="1">
      <c r="A10" s="13" t="s">
        <v>15</v>
      </c>
      <c r="B10" s="15" t="s">
        <v>133</v>
      </c>
      <c r="C10" s="108">
        <v>0</v>
      </c>
      <c r="D10" s="44">
        <v>3.6</v>
      </c>
      <c r="E10" s="44">
        <v>3.6</v>
      </c>
      <c r="F10" s="11">
        <f t="shared" si="0"/>
        <v>100</v>
      </c>
      <c r="G10" s="44">
        <v>4.3</v>
      </c>
      <c r="H10" s="44">
        <v>4.3</v>
      </c>
      <c r="I10" s="75">
        <f t="shared" si="1"/>
        <v>100</v>
      </c>
      <c r="J10" s="44">
        <v>0</v>
      </c>
      <c r="K10" s="44">
        <v>0</v>
      </c>
      <c r="L10" s="11" t="e">
        <f t="shared" si="2"/>
        <v>#DIV/0!</v>
      </c>
      <c r="M10" s="89">
        <f t="shared" si="9"/>
        <v>7.9</v>
      </c>
      <c r="N10" s="89">
        <f t="shared" si="10"/>
        <v>7.9</v>
      </c>
      <c r="O10" s="11">
        <f t="shared" si="6"/>
        <v>100</v>
      </c>
      <c r="P10" s="44">
        <v>0</v>
      </c>
      <c r="Q10" s="44">
        <v>0</v>
      </c>
      <c r="R10" s="111" t="e">
        <f t="shared" si="3"/>
        <v>#DIV/0!</v>
      </c>
      <c r="S10" s="44">
        <v>0</v>
      </c>
      <c r="T10" s="44">
        <v>0</v>
      </c>
      <c r="U10" s="111" t="e">
        <f t="shared" si="4"/>
        <v>#DIV/0!</v>
      </c>
      <c r="V10" s="72">
        <f t="shared" si="7"/>
        <v>7.9</v>
      </c>
      <c r="W10" s="72">
        <f t="shared" si="8"/>
        <v>7.9</v>
      </c>
      <c r="X10" s="11">
        <f t="shared" si="5"/>
        <v>100</v>
      </c>
      <c r="Y10" s="72">
        <f t="shared" si="11"/>
        <v>0</v>
      </c>
      <c r="Z10" s="18">
        <f t="shared" si="12"/>
        <v>0</v>
      </c>
    </row>
    <row r="11" spans="1:26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9"/>
        <v>464.5</v>
      </c>
      <c r="N11" s="89">
        <f t="shared" si="10"/>
        <v>346.7</v>
      </c>
      <c r="O11" s="11">
        <f t="shared" si="6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72">
        <f t="shared" si="7"/>
        <v>605.8</v>
      </c>
      <c r="W11" s="72">
        <f t="shared" si="8"/>
        <v>454.09999999999997</v>
      </c>
      <c r="X11" s="11">
        <f t="shared" si="5"/>
        <v>74.9587322548696</v>
      </c>
      <c r="Y11" s="72">
        <f t="shared" si="11"/>
        <v>151.7</v>
      </c>
      <c r="Z11" s="18">
        <f t="shared" si="12"/>
        <v>153.8</v>
      </c>
    </row>
    <row r="12" spans="1:26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9"/>
        <v>130.2</v>
      </c>
      <c r="N12" s="89">
        <f t="shared" si="10"/>
        <v>120.4</v>
      </c>
      <c r="O12" s="11">
        <f t="shared" si="6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72">
        <f t="shared" si="7"/>
        <v>335.1</v>
      </c>
      <c r="W12" s="72">
        <f t="shared" si="8"/>
        <v>335.1</v>
      </c>
      <c r="X12" s="11">
        <f t="shared" si="5"/>
        <v>100</v>
      </c>
      <c r="Y12" s="72">
        <f t="shared" si="11"/>
        <v>0</v>
      </c>
      <c r="Z12" s="18">
        <f t="shared" si="12"/>
        <v>-1.1999999999999886</v>
      </c>
    </row>
    <row r="13" spans="1:26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13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9"/>
        <v>144.5</v>
      </c>
      <c r="N13" s="89">
        <f t="shared" si="10"/>
        <v>146.9</v>
      </c>
      <c r="O13" s="11">
        <f t="shared" si="6"/>
        <v>101.66089965397924</v>
      </c>
      <c r="P13" s="44">
        <v>55.3</v>
      </c>
      <c r="Q13" s="44">
        <v>54.3</v>
      </c>
      <c r="R13" s="149">
        <f t="shared" si="3"/>
        <v>98.19168173598554</v>
      </c>
      <c r="S13" s="44">
        <v>50.9</v>
      </c>
      <c r="T13" s="44">
        <v>51.6</v>
      </c>
      <c r="U13" s="149">
        <f t="shared" si="4"/>
        <v>101.37524557956779</v>
      </c>
      <c r="V13" s="72">
        <f t="shared" si="7"/>
        <v>250.70000000000002</v>
      </c>
      <c r="W13" s="72">
        <f t="shared" si="8"/>
        <v>252.79999999999998</v>
      </c>
      <c r="X13" s="11">
        <f t="shared" si="5"/>
        <v>100.83765456721179</v>
      </c>
      <c r="Y13" s="72">
        <f t="shared" si="11"/>
        <v>-2.099999999999966</v>
      </c>
      <c r="Z13" s="18">
        <f t="shared" si="12"/>
        <v>-1.7999999999999545</v>
      </c>
    </row>
    <row r="14" spans="1:26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13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9"/>
        <v>71.4</v>
      </c>
      <c r="N14" s="89">
        <f t="shared" si="10"/>
        <v>4.3</v>
      </c>
      <c r="O14" s="11">
        <f t="shared" si="6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72">
        <f t="shared" si="7"/>
        <v>119.30000000000001</v>
      </c>
      <c r="W14" s="72">
        <f t="shared" si="8"/>
        <v>50.7</v>
      </c>
      <c r="X14" s="11">
        <f t="shared" si="5"/>
        <v>42.49790444258173</v>
      </c>
      <c r="Y14" s="72">
        <f t="shared" si="11"/>
        <v>68.60000000000001</v>
      </c>
      <c r="Z14" s="18">
        <f t="shared" si="12"/>
        <v>-2.0999999999999943</v>
      </c>
    </row>
    <row r="15" spans="1:26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13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9"/>
        <v>299.7</v>
      </c>
      <c r="N15" s="89">
        <f t="shared" si="10"/>
        <v>297.8</v>
      </c>
      <c r="O15" s="11">
        <f t="shared" si="6"/>
        <v>99.36603269936603</v>
      </c>
      <c r="P15" s="44">
        <f>63.4+39</f>
        <v>102.4</v>
      </c>
      <c r="Q15" s="44">
        <f>60.3+36.2</f>
        <v>96.5</v>
      </c>
      <c r="R15" s="149">
        <f t="shared" si="3"/>
        <v>94.23828125</v>
      </c>
      <c r="S15" s="44">
        <f>99.6</f>
        <v>99.6</v>
      </c>
      <c r="T15" s="44">
        <f>119.3</f>
        <v>119.3</v>
      </c>
      <c r="U15" s="149">
        <f t="shared" si="4"/>
        <v>119.77911646586345</v>
      </c>
      <c r="V15" s="72">
        <f t="shared" si="7"/>
        <v>501.70000000000005</v>
      </c>
      <c r="W15" s="72">
        <f t="shared" si="8"/>
        <v>513.6</v>
      </c>
      <c r="X15" s="11">
        <f t="shared" si="5"/>
        <v>102.37193541957346</v>
      </c>
      <c r="Y15" s="72">
        <f t="shared" si="11"/>
        <v>-11.899999999999977</v>
      </c>
      <c r="Z15" s="18">
        <f t="shared" si="12"/>
        <v>-12.299999999999955</v>
      </c>
    </row>
    <row r="16" spans="1:26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13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9"/>
        <v>14.8</v>
      </c>
      <c r="N16" s="89">
        <f t="shared" si="10"/>
        <v>14.5</v>
      </c>
      <c r="O16" s="11">
        <f t="shared" si="6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72">
        <f t="shared" si="7"/>
        <v>23.1</v>
      </c>
      <c r="W16" s="72">
        <f t="shared" si="8"/>
        <v>22.9</v>
      </c>
      <c r="X16" s="11">
        <f t="shared" si="5"/>
        <v>99.13419913419912</v>
      </c>
      <c r="Y16" s="72">
        <f t="shared" si="11"/>
        <v>0.20000000000000284</v>
      </c>
      <c r="Z16" s="18">
        <f t="shared" si="12"/>
        <v>-5.599999999999998</v>
      </c>
    </row>
    <row r="17" spans="1:26" ht="24.75" customHeight="1">
      <c r="A17" s="13" t="s">
        <v>22</v>
      </c>
      <c r="B17" s="15" t="s">
        <v>99</v>
      </c>
      <c r="C17" s="117">
        <f>10.7</f>
        <v>10.7</v>
      </c>
      <c r="D17" s="44">
        <f>0.4+12.7</f>
        <v>13.1</v>
      </c>
      <c r="E17" s="44">
        <v>0.4</v>
      </c>
      <c r="F17" s="11">
        <f t="shared" si="13"/>
        <v>3.053435114503817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14.1+33.3</f>
        <v>47.4</v>
      </c>
      <c r="K17" s="44">
        <f>20.1+33.3</f>
        <v>53.4</v>
      </c>
      <c r="L17" s="11">
        <f t="shared" si="2"/>
        <v>112.65822784810126</v>
      </c>
      <c r="M17" s="89">
        <f t="shared" si="9"/>
        <v>97</v>
      </c>
      <c r="N17" s="89">
        <f t="shared" si="10"/>
        <v>82.19999999999999</v>
      </c>
      <c r="O17" s="11">
        <f t="shared" si="6"/>
        <v>84.7422680412371</v>
      </c>
      <c r="P17" s="44">
        <f>29.1+15.6</f>
        <v>44.7</v>
      </c>
      <c r="Q17" s="44">
        <f>29.1+13.8</f>
        <v>42.900000000000006</v>
      </c>
      <c r="R17" s="11">
        <f t="shared" si="3"/>
        <v>95.97315436241611</v>
      </c>
      <c r="S17" s="44">
        <f>15+34.9</f>
        <v>49.9</v>
      </c>
      <c r="T17" s="44">
        <f>13.8+34.9</f>
        <v>48.7</v>
      </c>
      <c r="U17" s="11">
        <f t="shared" si="4"/>
        <v>97.59519038076154</v>
      </c>
      <c r="V17" s="72">
        <f t="shared" si="7"/>
        <v>191.6</v>
      </c>
      <c r="W17" s="72">
        <f t="shared" si="8"/>
        <v>173.8</v>
      </c>
      <c r="X17" s="11">
        <f t="shared" si="5"/>
        <v>90.7098121085595</v>
      </c>
      <c r="Y17" s="72">
        <f t="shared" si="11"/>
        <v>17.799999999999983</v>
      </c>
      <c r="Z17" s="18">
        <f t="shared" si="12"/>
        <v>28.49999999999997</v>
      </c>
    </row>
    <row r="18" spans="1:26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13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9"/>
        <v>112.2</v>
      </c>
      <c r="N18" s="89">
        <f t="shared" si="10"/>
        <v>112.2</v>
      </c>
      <c r="O18" s="11">
        <f t="shared" si="6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72">
        <f t="shared" si="7"/>
        <v>178.6</v>
      </c>
      <c r="W18" s="72">
        <f t="shared" si="8"/>
        <v>180.2</v>
      </c>
      <c r="X18" s="11">
        <f t="shared" si="5"/>
        <v>100.89585666293392</v>
      </c>
      <c r="Y18" s="72">
        <f t="shared" si="11"/>
        <v>-1.5999999999999943</v>
      </c>
      <c r="Z18" s="18">
        <f t="shared" si="12"/>
        <v>0</v>
      </c>
    </row>
    <row r="19" spans="1:26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13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9"/>
        <v>177.8</v>
      </c>
      <c r="N19" s="89">
        <f t="shared" si="10"/>
        <v>183.29999999999998</v>
      </c>
      <c r="O19" s="11">
        <f t="shared" si="6"/>
        <v>103.09336332958378</v>
      </c>
      <c r="P19" s="44">
        <v>61.4</v>
      </c>
      <c r="Q19" s="44">
        <v>61.1</v>
      </c>
      <c r="R19" s="149">
        <f t="shared" si="3"/>
        <v>99.51140065146579</v>
      </c>
      <c r="S19" s="44">
        <v>78.3</v>
      </c>
      <c r="T19" s="44">
        <v>78.6</v>
      </c>
      <c r="U19" s="149">
        <f t="shared" si="4"/>
        <v>100.38314176245211</v>
      </c>
      <c r="V19" s="72">
        <f t="shared" si="7"/>
        <v>317.5</v>
      </c>
      <c r="W19" s="72">
        <f t="shared" si="8"/>
        <v>323</v>
      </c>
      <c r="X19" s="11">
        <f t="shared" si="5"/>
        <v>101.73228346456693</v>
      </c>
      <c r="Y19" s="72">
        <f t="shared" si="11"/>
        <v>-5.5</v>
      </c>
      <c r="Z19" s="18">
        <f t="shared" si="12"/>
        <v>0.30000000000001137</v>
      </c>
    </row>
    <row r="20" spans="1:26" ht="24.75" customHeight="1">
      <c r="A20" s="13" t="s">
        <v>25</v>
      </c>
      <c r="B20" s="15" t="s">
        <v>102</v>
      </c>
      <c r="C20" s="118">
        <v>0</v>
      </c>
      <c r="D20" s="44">
        <v>2.7</v>
      </c>
      <c r="E20" s="44">
        <v>0</v>
      </c>
      <c r="F20" s="11">
        <f t="shared" si="13"/>
        <v>0</v>
      </c>
      <c r="G20" s="44">
        <v>12.2</v>
      </c>
      <c r="H20" s="44">
        <v>14.9</v>
      </c>
      <c r="I20" s="75">
        <f t="shared" si="1"/>
        <v>122.13114754098362</v>
      </c>
      <c r="J20" s="44">
        <v>18.1</v>
      </c>
      <c r="K20" s="44">
        <v>23.6</v>
      </c>
      <c r="L20" s="75">
        <f t="shared" si="2"/>
        <v>130.38674033149172</v>
      </c>
      <c r="M20" s="89">
        <f t="shared" si="9"/>
        <v>33</v>
      </c>
      <c r="N20" s="89">
        <f t="shared" si="10"/>
        <v>38.5</v>
      </c>
      <c r="O20" s="11">
        <f t="shared" si="6"/>
        <v>116.66666666666667</v>
      </c>
      <c r="P20" s="44">
        <v>18</v>
      </c>
      <c r="Q20" s="44">
        <v>10.7</v>
      </c>
      <c r="R20" s="149">
        <f t="shared" si="3"/>
        <v>59.44444444444444</v>
      </c>
      <c r="S20" s="44">
        <v>25.2</v>
      </c>
      <c r="T20" s="44">
        <v>35.3</v>
      </c>
      <c r="U20" s="149">
        <f t="shared" si="4"/>
        <v>140.07936507936506</v>
      </c>
      <c r="V20" s="72">
        <f t="shared" si="7"/>
        <v>76.2</v>
      </c>
      <c r="W20" s="72">
        <f t="shared" si="8"/>
        <v>84.5</v>
      </c>
      <c r="X20" s="11">
        <f t="shared" si="5"/>
        <v>110.89238845144355</v>
      </c>
      <c r="Y20" s="72">
        <f t="shared" si="11"/>
        <v>-8.299999999999997</v>
      </c>
      <c r="Z20" s="18">
        <f t="shared" si="12"/>
        <v>-8.299999999999997</v>
      </c>
    </row>
    <row r="21" spans="1:26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13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9"/>
        <v>4.8</v>
      </c>
      <c r="N21" s="89">
        <f t="shared" si="10"/>
        <v>4.800000000000001</v>
      </c>
      <c r="O21" s="11">
        <f t="shared" si="6"/>
        <v>100.00000000000003</v>
      </c>
      <c r="P21" s="44">
        <v>1.9</v>
      </c>
      <c r="Q21" s="44">
        <v>1.9</v>
      </c>
      <c r="R21" s="149">
        <f t="shared" si="3"/>
        <v>100</v>
      </c>
      <c r="S21" s="44">
        <v>2.5</v>
      </c>
      <c r="T21" s="44">
        <v>2.5</v>
      </c>
      <c r="U21" s="149">
        <f t="shared" si="4"/>
        <v>100</v>
      </c>
      <c r="V21" s="72">
        <f t="shared" si="7"/>
        <v>9.2</v>
      </c>
      <c r="W21" s="72">
        <f t="shared" si="8"/>
        <v>9.200000000000001</v>
      </c>
      <c r="X21" s="11">
        <f t="shared" si="5"/>
        <v>100.00000000000003</v>
      </c>
      <c r="Y21" s="72">
        <f t="shared" si="11"/>
        <v>0</v>
      </c>
      <c r="Z21" s="18">
        <f t="shared" si="12"/>
        <v>0</v>
      </c>
    </row>
    <row r="22" spans="1:26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13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9"/>
        <v>22.1</v>
      </c>
      <c r="N22" s="89">
        <f t="shared" si="10"/>
        <v>22.1</v>
      </c>
      <c r="O22" s="11">
        <f t="shared" si="6"/>
        <v>100</v>
      </c>
      <c r="P22" s="44">
        <v>17.9</v>
      </c>
      <c r="Q22" s="44">
        <v>17.9</v>
      </c>
      <c r="R22" s="149">
        <f t="shared" si="3"/>
        <v>100</v>
      </c>
      <c r="S22" s="44">
        <v>8.7</v>
      </c>
      <c r="T22" s="44">
        <v>8.7</v>
      </c>
      <c r="U22" s="149">
        <f t="shared" si="4"/>
        <v>100</v>
      </c>
      <c r="V22" s="72">
        <f t="shared" si="7"/>
        <v>48.7</v>
      </c>
      <c r="W22" s="72">
        <f t="shared" si="8"/>
        <v>48.7</v>
      </c>
      <c r="X22" s="11">
        <f t="shared" si="5"/>
        <v>100</v>
      </c>
      <c r="Y22" s="72">
        <f t="shared" si="11"/>
        <v>0</v>
      </c>
      <c r="Z22" s="18">
        <f t="shared" si="12"/>
        <v>0</v>
      </c>
    </row>
    <row r="23" spans="1:26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13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9"/>
        <v>7.6</v>
      </c>
      <c r="N23" s="89">
        <f t="shared" si="10"/>
        <v>6.199999999999999</v>
      </c>
      <c r="O23" s="11">
        <f t="shared" si="6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72">
        <f t="shared" si="7"/>
        <v>12.9</v>
      </c>
      <c r="W23" s="72">
        <f t="shared" si="8"/>
        <v>11.7</v>
      </c>
      <c r="X23" s="11">
        <f t="shared" si="5"/>
        <v>90.69767441860465</v>
      </c>
      <c r="Y23" s="72">
        <f t="shared" si="11"/>
        <v>1.200000000000001</v>
      </c>
      <c r="Z23" s="18">
        <f t="shared" si="12"/>
        <v>3.0000000000000018</v>
      </c>
    </row>
    <row r="24" spans="1:26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9"/>
        <v>187.8</v>
      </c>
      <c r="N24" s="89">
        <f t="shared" si="10"/>
        <v>187.8</v>
      </c>
      <c r="O24" s="11">
        <f t="shared" si="6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72">
        <f t="shared" si="7"/>
        <v>312.5</v>
      </c>
      <c r="W24" s="72">
        <f t="shared" si="8"/>
        <v>312.5</v>
      </c>
      <c r="X24" s="11">
        <f t="shared" si="5"/>
        <v>100</v>
      </c>
      <c r="Y24" s="72">
        <f t="shared" si="11"/>
        <v>0</v>
      </c>
      <c r="Z24" s="18">
        <f t="shared" si="12"/>
        <v>0</v>
      </c>
    </row>
    <row r="25" spans="1:26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9"/>
        <v>151.5</v>
      </c>
      <c r="N25" s="89">
        <f t="shared" si="10"/>
        <v>115.4</v>
      </c>
      <c r="O25" s="11">
        <f t="shared" si="6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72">
        <f t="shared" si="7"/>
        <v>260.2</v>
      </c>
      <c r="W25" s="72">
        <f t="shared" si="8"/>
        <v>215.79999999999998</v>
      </c>
      <c r="X25" s="11">
        <f t="shared" si="5"/>
        <v>82.93620292083013</v>
      </c>
      <c r="Y25" s="72">
        <f t="shared" si="11"/>
        <v>44.400000000000006</v>
      </c>
      <c r="Z25" s="18">
        <f t="shared" si="12"/>
        <v>44.29999999999998</v>
      </c>
    </row>
    <row r="26" spans="1:26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9"/>
        <v>1.7</v>
      </c>
      <c r="N26" s="89">
        <f t="shared" si="10"/>
        <v>1.6</v>
      </c>
      <c r="O26" s="11">
        <f t="shared" si="6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72">
        <f t="shared" si="7"/>
        <v>2.9</v>
      </c>
      <c r="W26" s="72">
        <f t="shared" si="8"/>
        <v>2.9</v>
      </c>
      <c r="X26" s="11">
        <f t="shared" si="5"/>
        <v>100</v>
      </c>
      <c r="Y26" s="72">
        <f t="shared" si="11"/>
        <v>0</v>
      </c>
      <c r="Z26" s="18">
        <f t="shared" si="12"/>
        <v>0</v>
      </c>
    </row>
    <row r="27" spans="1:26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9"/>
        <v>57.4</v>
      </c>
      <c r="N27" s="89">
        <f t="shared" si="10"/>
        <v>35</v>
      </c>
      <c r="O27" s="11">
        <f t="shared" si="6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20.2</v>
      </c>
      <c r="U27" s="11">
        <f t="shared" si="4"/>
        <v>100.49751243781093</v>
      </c>
      <c r="V27" s="72">
        <f t="shared" si="7"/>
        <v>99</v>
      </c>
      <c r="W27" s="72">
        <f t="shared" si="8"/>
        <v>99</v>
      </c>
      <c r="X27" s="11">
        <f t="shared" si="5"/>
        <v>100</v>
      </c>
      <c r="Y27" s="72">
        <f t="shared" si="11"/>
        <v>0</v>
      </c>
      <c r="Z27" s="18">
        <f t="shared" si="12"/>
        <v>0</v>
      </c>
    </row>
    <row r="28" spans="1:26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9"/>
        <v>162.6</v>
      </c>
      <c r="N28" s="89">
        <f t="shared" si="10"/>
        <v>142.4</v>
      </c>
      <c r="O28" s="11">
        <f t="shared" si="6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44">
        <v>52.9</v>
      </c>
      <c r="T28" s="44">
        <v>78.4</v>
      </c>
      <c r="U28" s="11">
        <f t="shared" si="4"/>
        <v>148.20415879017014</v>
      </c>
      <c r="V28" s="72">
        <f t="shared" si="7"/>
        <v>264.79999999999995</v>
      </c>
      <c r="W28" s="72">
        <f t="shared" si="8"/>
        <v>259.1</v>
      </c>
      <c r="X28" s="11">
        <f t="shared" si="5"/>
        <v>97.84743202416921</v>
      </c>
      <c r="Y28" s="72">
        <f t="shared" si="11"/>
        <v>5.699999999999932</v>
      </c>
      <c r="Z28" s="18">
        <f t="shared" si="12"/>
        <v>5.699999999999932</v>
      </c>
    </row>
    <row r="29" spans="1:26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2">
        <f t="shared" si="7"/>
        <v>0</v>
      </c>
      <c r="W29" s="72">
        <f t="shared" si="8"/>
        <v>0</v>
      </c>
      <c r="X29" s="77"/>
      <c r="Y29" s="77"/>
      <c r="Z29" s="77"/>
    </row>
    <row r="30" spans="1:26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14" ref="L30:L43">K30/J30*100</f>
        <v>131.74603174603175</v>
      </c>
      <c r="M30" s="89">
        <f t="shared" si="9"/>
        <v>35.599999999999994</v>
      </c>
      <c r="N30" s="89">
        <f t="shared" si="10"/>
        <v>35.599999999999994</v>
      </c>
      <c r="O30" s="11">
        <f t="shared" si="6"/>
        <v>100</v>
      </c>
      <c r="P30" s="44">
        <v>20.2</v>
      </c>
      <c r="Q30" s="44">
        <v>20.2</v>
      </c>
      <c r="R30" s="149">
        <f aca="true" t="shared" si="15" ref="R30:R41">Q30/P30*100</f>
        <v>100</v>
      </c>
      <c r="S30" s="44">
        <v>21.6</v>
      </c>
      <c r="T30" s="44">
        <v>21.6</v>
      </c>
      <c r="U30" s="149">
        <f aca="true" t="shared" si="16" ref="U30:U41">T30/S30*100</f>
        <v>100</v>
      </c>
      <c r="V30" s="72">
        <f t="shared" si="7"/>
        <v>77.4</v>
      </c>
      <c r="W30" s="72">
        <f t="shared" si="8"/>
        <v>77.4</v>
      </c>
      <c r="X30" s="11">
        <f t="shared" si="5"/>
        <v>100</v>
      </c>
      <c r="Y30" s="72">
        <f t="shared" si="11"/>
        <v>0</v>
      </c>
      <c r="Z30" s="18">
        <f aca="true" t="shared" si="17" ref="Z30:Z40">C30+V30-W30</f>
        <v>0</v>
      </c>
    </row>
    <row r="31" spans="1:26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14"/>
        <v>101.10497237569061</v>
      </c>
      <c r="M31" s="89">
        <f t="shared" si="9"/>
        <v>53.5</v>
      </c>
      <c r="N31" s="89">
        <f t="shared" si="10"/>
        <v>50.7</v>
      </c>
      <c r="O31" s="11">
        <f t="shared" si="6"/>
        <v>94.76635514018692</v>
      </c>
      <c r="P31" s="44">
        <v>20.4</v>
      </c>
      <c r="Q31" s="44">
        <v>19.5</v>
      </c>
      <c r="R31" s="11">
        <f t="shared" si="15"/>
        <v>95.58823529411765</v>
      </c>
      <c r="S31" s="44">
        <v>25.5</v>
      </c>
      <c r="T31" s="44">
        <v>24.9</v>
      </c>
      <c r="U31" s="11">
        <f t="shared" si="16"/>
        <v>97.6470588235294</v>
      </c>
      <c r="V31" s="72">
        <f t="shared" si="7"/>
        <v>99.4</v>
      </c>
      <c r="W31" s="72">
        <f t="shared" si="8"/>
        <v>95.1</v>
      </c>
      <c r="X31" s="11">
        <f t="shared" si="5"/>
        <v>95.67404426559355</v>
      </c>
      <c r="Y31" s="72">
        <f t="shared" si="11"/>
        <v>4.300000000000011</v>
      </c>
      <c r="Z31" s="18">
        <f t="shared" si="17"/>
        <v>3.6000000000000085</v>
      </c>
    </row>
    <row r="32" spans="1:26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14"/>
        <v>250.2049180327869</v>
      </c>
      <c r="M32" s="89">
        <f t="shared" si="9"/>
        <v>149.5</v>
      </c>
      <c r="N32" s="89">
        <f t="shared" si="10"/>
        <v>162.39999999999998</v>
      </c>
      <c r="O32" s="11">
        <f t="shared" si="6"/>
        <v>108.628762541806</v>
      </c>
      <c r="P32" s="44">
        <f>20+27.7</f>
        <v>47.7</v>
      </c>
      <c r="Q32" s="44">
        <f>19+30.5</f>
        <v>49.5</v>
      </c>
      <c r="R32" s="11">
        <f t="shared" si="15"/>
        <v>103.77358490566037</v>
      </c>
      <c r="S32" s="44">
        <f>24.3+24.7</f>
        <v>49</v>
      </c>
      <c r="T32" s="44">
        <f>19.5+36.7</f>
        <v>56.2</v>
      </c>
      <c r="U32" s="11">
        <f t="shared" si="16"/>
        <v>114.6938775510204</v>
      </c>
      <c r="V32" s="72">
        <f t="shared" si="7"/>
        <v>246.2</v>
      </c>
      <c r="W32" s="72">
        <f t="shared" si="8"/>
        <v>268.09999999999997</v>
      </c>
      <c r="X32" s="11">
        <f t="shared" si="5"/>
        <v>108.89520714865961</v>
      </c>
      <c r="Y32" s="72">
        <f t="shared" si="11"/>
        <v>-21.899999999999977</v>
      </c>
      <c r="Z32" s="18">
        <f t="shared" si="17"/>
        <v>27.400000000000034</v>
      </c>
    </row>
    <row r="33" spans="1:26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14"/>
        <v>101.79211469534049</v>
      </c>
      <c r="M33" s="89">
        <f t="shared" si="9"/>
        <v>151.9</v>
      </c>
      <c r="N33" s="89">
        <f t="shared" si="10"/>
        <v>103.1</v>
      </c>
      <c r="O33" s="11">
        <f t="shared" si="6"/>
        <v>67.87360105332455</v>
      </c>
      <c r="P33" s="44">
        <f>63.7+9.4</f>
        <v>73.10000000000001</v>
      </c>
      <c r="Q33" s="44">
        <f>91.8+9.6</f>
        <v>101.39999999999999</v>
      </c>
      <c r="R33" s="11">
        <f t="shared" si="15"/>
        <v>138.71409028727768</v>
      </c>
      <c r="S33" s="44">
        <f>56.6+6</f>
        <v>62.6</v>
      </c>
      <c r="T33" s="44">
        <f>63.8+4.2</f>
        <v>68</v>
      </c>
      <c r="U33" s="11">
        <f t="shared" si="16"/>
        <v>108.62619808306708</v>
      </c>
      <c r="V33" s="72">
        <f t="shared" si="7"/>
        <v>287.6</v>
      </c>
      <c r="W33" s="72">
        <f t="shared" si="8"/>
        <v>272.5</v>
      </c>
      <c r="X33" s="11">
        <f t="shared" si="5"/>
        <v>94.74965229485396</v>
      </c>
      <c r="Y33" s="72">
        <f t="shared" si="11"/>
        <v>15.100000000000023</v>
      </c>
      <c r="Z33" s="18">
        <f t="shared" si="17"/>
        <v>9.5</v>
      </c>
    </row>
    <row r="34" spans="1:26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14"/>
        <v>100</v>
      </c>
      <c r="M34" s="89">
        <f t="shared" si="9"/>
        <v>37.3</v>
      </c>
      <c r="N34" s="89">
        <f t="shared" si="10"/>
        <v>37.3</v>
      </c>
      <c r="O34" s="11">
        <f t="shared" si="6"/>
        <v>100</v>
      </c>
      <c r="P34" s="44">
        <v>12.7</v>
      </c>
      <c r="Q34" s="44">
        <v>10.7</v>
      </c>
      <c r="R34" s="149">
        <f t="shared" si="15"/>
        <v>84.25196850393701</v>
      </c>
      <c r="S34" s="44">
        <v>11.2</v>
      </c>
      <c r="T34" s="44">
        <v>13.2</v>
      </c>
      <c r="U34" s="149">
        <f t="shared" si="16"/>
        <v>117.85714285714286</v>
      </c>
      <c r="V34" s="72">
        <f t="shared" si="7"/>
        <v>61.2</v>
      </c>
      <c r="W34" s="72">
        <f t="shared" si="8"/>
        <v>61.2</v>
      </c>
      <c r="X34" s="11">
        <f t="shared" si="5"/>
        <v>100</v>
      </c>
      <c r="Y34" s="72">
        <f t="shared" si="11"/>
        <v>0</v>
      </c>
      <c r="Z34" s="18">
        <f t="shared" si="17"/>
        <v>-0.20000000000000284</v>
      </c>
    </row>
    <row r="35" spans="1:26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18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14"/>
        <v>31.862745098039213</v>
      </c>
      <c r="M35" s="89">
        <f t="shared" si="9"/>
        <v>251.70000000000005</v>
      </c>
      <c r="N35" s="89">
        <f t="shared" si="10"/>
        <v>142.6</v>
      </c>
      <c r="O35" s="11">
        <f t="shared" si="6"/>
        <v>56.654747715534356</v>
      </c>
      <c r="P35" s="44">
        <f>79+11.8</f>
        <v>90.8</v>
      </c>
      <c r="Q35" s="44">
        <f>71.3+11.7</f>
        <v>83</v>
      </c>
      <c r="R35" s="11">
        <f t="shared" si="15"/>
        <v>91.40969162995594</v>
      </c>
      <c r="S35" s="44">
        <f>107.8+12.8</f>
        <v>120.6</v>
      </c>
      <c r="T35" s="44">
        <f>114.7+12.7</f>
        <v>127.4</v>
      </c>
      <c r="U35" s="11">
        <f t="shared" si="16"/>
        <v>105.63847429519073</v>
      </c>
      <c r="V35" s="72">
        <f t="shared" si="7"/>
        <v>463.1</v>
      </c>
      <c r="W35" s="72">
        <f t="shared" si="8"/>
        <v>353</v>
      </c>
      <c r="X35" s="11">
        <f t="shared" si="5"/>
        <v>76.22543727056791</v>
      </c>
      <c r="Y35" s="72">
        <f t="shared" si="11"/>
        <v>110.10000000000002</v>
      </c>
      <c r="Z35" s="18">
        <f t="shared" si="17"/>
        <v>107.60000000000002</v>
      </c>
    </row>
    <row r="36" spans="1:26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18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14"/>
        <v>95.503746877602</v>
      </c>
      <c r="M36" s="89">
        <f t="shared" si="9"/>
        <v>364</v>
      </c>
      <c r="N36" s="89">
        <f t="shared" si="10"/>
        <v>357</v>
      </c>
      <c r="O36" s="11">
        <f t="shared" si="6"/>
        <v>98.07692307692307</v>
      </c>
      <c r="P36" s="44">
        <f>110.3+3.4+1.6</f>
        <v>115.3</v>
      </c>
      <c r="Q36" s="44">
        <f>114.1+3.4+4</f>
        <v>121.5</v>
      </c>
      <c r="R36" s="11">
        <f t="shared" si="15"/>
        <v>105.37727666955767</v>
      </c>
      <c r="S36" s="44">
        <f>99.6+3.2+1.9</f>
        <v>104.7</v>
      </c>
      <c r="T36" s="44">
        <f>99.8+3.2+0.1</f>
        <v>103.1</v>
      </c>
      <c r="U36" s="11">
        <f t="shared" si="16"/>
        <v>98.47182425978987</v>
      </c>
      <c r="V36" s="72">
        <f t="shared" si="7"/>
        <v>584</v>
      </c>
      <c r="W36" s="72">
        <f t="shared" si="8"/>
        <v>581.6</v>
      </c>
      <c r="X36" s="11">
        <f t="shared" si="5"/>
        <v>99.58904109589042</v>
      </c>
      <c r="Y36" s="72">
        <f t="shared" si="11"/>
        <v>2.3999999999999773</v>
      </c>
      <c r="Z36" s="18">
        <f t="shared" si="17"/>
        <v>2.5</v>
      </c>
    </row>
    <row r="37" spans="1:26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18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14"/>
        <v>228.07613868116928</v>
      </c>
      <c r="M37" s="89">
        <f t="shared" si="9"/>
        <v>481.6</v>
      </c>
      <c r="N37" s="89">
        <f t="shared" si="10"/>
        <v>426.8</v>
      </c>
      <c r="O37" s="11">
        <f t="shared" si="6"/>
        <v>88.62126245847176</v>
      </c>
      <c r="P37" s="44">
        <f>156.4+2.5</f>
        <v>158.9</v>
      </c>
      <c r="Q37" s="44">
        <f>137.2+1.6</f>
        <v>138.79999999999998</v>
      </c>
      <c r="R37" s="11">
        <f t="shared" si="15"/>
        <v>87.35053492762742</v>
      </c>
      <c r="S37" s="44">
        <f>139.9+2</f>
        <v>141.9</v>
      </c>
      <c r="T37" s="44">
        <f>215.9+3.6</f>
        <v>219.5</v>
      </c>
      <c r="U37" s="11">
        <f t="shared" si="16"/>
        <v>154.68639887244538</v>
      </c>
      <c r="V37" s="72">
        <f t="shared" si="7"/>
        <v>782.4</v>
      </c>
      <c r="W37" s="72">
        <f t="shared" si="8"/>
        <v>785.1</v>
      </c>
      <c r="X37" s="11">
        <f t="shared" si="5"/>
        <v>100.34509202453987</v>
      </c>
      <c r="Y37" s="72">
        <f t="shared" si="11"/>
        <v>-2.7000000000000455</v>
      </c>
      <c r="Z37" s="18">
        <f t="shared" si="17"/>
        <v>-0.900000000000091</v>
      </c>
    </row>
    <row r="38" spans="1:26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18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14"/>
        <v>100</v>
      </c>
      <c r="M38" s="89">
        <f t="shared" si="9"/>
        <v>113.30000000000001</v>
      </c>
      <c r="N38" s="89">
        <f t="shared" si="10"/>
        <v>81.4</v>
      </c>
      <c r="O38" s="11">
        <f t="shared" si="6"/>
        <v>71.84466019417476</v>
      </c>
      <c r="P38" s="44">
        <v>48.5</v>
      </c>
      <c r="Q38" s="44">
        <v>44.1</v>
      </c>
      <c r="R38" s="11">
        <f t="shared" si="15"/>
        <v>90.9278350515464</v>
      </c>
      <c r="S38" s="44">
        <v>42.6</v>
      </c>
      <c r="T38" s="44">
        <v>44.7</v>
      </c>
      <c r="U38" s="11">
        <f t="shared" si="16"/>
        <v>104.92957746478872</v>
      </c>
      <c r="V38" s="72">
        <f t="shared" si="7"/>
        <v>204.4</v>
      </c>
      <c r="W38" s="72">
        <f t="shared" si="8"/>
        <v>170.2</v>
      </c>
      <c r="X38" s="11">
        <f t="shared" si="5"/>
        <v>83.26810176125244</v>
      </c>
      <c r="Y38" s="72">
        <f t="shared" si="11"/>
        <v>34.20000000000002</v>
      </c>
      <c r="Z38" s="18">
        <f t="shared" si="17"/>
        <v>71</v>
      </c>
    </row>
    <row r="39" spans="1:26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18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14"/>
        <v>99.45130315500685</v>
      </c>
      <c r="M39" s="89">
        <f t="shared" si="9"/>
        <v>215.5</v>
      </c>
      <c r="N39" s="89">
        <f t="shared" si="10"/>
        <v>184.39999999999998</v>
      </c>
      <c r="O39" s="11">
        <f t="shared" si="6"/>
        <v>85.56844547563804</v>
      </c>
      <c r="P39" s="44">
        <v>71.8</v>
      </c>
      <c r="Q39" s="44">
        <v>94.5</v>
      </c>
      <c r="R39" s="149">
        <f t="shared" si="15"/>
        <v>131.61559888579387</v>
      </c>
      <c r="S39" s="44">
        <v>56.4</v>
      </c>
      <c r="T39" s="44">
        <v>56.8</v>
      </c>
      <c r="U39" s="149">
        <f t="shared" si="16"/>
        <v>100.70921985815602</v>
      </c>
      <c r="V39" s="72">
        <f t="shared" si="7"/>
        <v>343.7</v>
      </c>
      <c r="W39" s="72">
        <f t="shared" si="8"/>
        <v>335.7</v>
      </c>
      <c r="X39" s="11">
        <f t="shared" si="5"/>
        <v>97.67238871108525</v>
      </c>
      <c r="Y39" s="72">
        <f t="shared" si="11"/>
        <v>8</v>
      </c>
      <c r="Z39" s="18">
        <f t="shared" si="17"/>
        <v>-0.5</v>
      </c>
    </row>
    <row r="40" spans="1:26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18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14"/>
        <v>113.15240083507308</v>
      </c>
      <c r="M40" s="89">
        <f t="shared" si="9"/>
        <v>151.3</v>
      </c>
      <c r="N40" s="89">
        <f t="shared" si="10"/>
        <v>104.5</v>
      </c>
      <c r="O40" s="11">
        <f t="shared" si="6"/>
        <v>69.0680766688698</v>
      </c>
      <c r="P40" s="44">
        <f>26.4+28.4</f>
        <v>54.8</v>
      </c>
      <c r="Q40" s="44">
        <f>23.5+25.2</f>
        <v>48.7</v>
      </c>
      <c r="R40" s="149">
        <f t="shared" si="15"/>
        <v>88.86861313868614</v>
      </c>
      <c r="S40" s="44">
        <f>18.8+26.9</f>
        <v>45.7</v>
      </c>
      <c r="T40" s="44">
        <f>140+101</f>
        <v>241</v>
      </c>
      <c r="U40" s="149">
        <f t="shared" si="16"/>
        <v>527.3522975929977</v>
      </c>
      <c r="V40" s="72">
        <f t="shared" si="7"/>
        <v>251.8</v>
      </c>
      <c r="W40" s="72">
        <f t="shared" si="8"/>
        <v>394.2</v>
      </c>
      <c r="X40" s="11">
        <f t="shared" si="5"/>
        <v>156.55281969817315</v>
      </c>
      <c r="Y40" s="72">
        <f t="shared" si="11"/>
        <v>-142.39999999999998</v>
      </c>
      <c r="Z40" s="18">
        <f t="shared" si="17"/>
        <v>-143.39999999999998</v>
      </c>
    </row>
    <row r="41" spans="1:26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18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14"/>
        <v>126.20772946859904</v>
      </c>
      <c r="M41" s="18">
        <f>SUM(M42:M42)</f>
        <v>5769.9</v>
      </c>
      <c r="N41" s="18">
        <f>SUM(N42:N42)</f>
        <v>4478.6</v>
      </c>
      <c r="O41" s="11">
        <f t="shared" si="6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15"/>
        <v>89.97149002150752</v>
      </c>
      <c r="S41" s="18">
        <f>SUM(S42:S42)</f>
        <v>1846.5</v>
      </c>
      <c r="T41" s="18">
        <f>SUM(T42:T42)</f>
        <v>1917.3</v>
      </c>
      <c r="U41" s="11">
        <f t="shared" si="16"/>
        <v>103.83428107229895</v>
      </c>
      <c r="V41" s="149">
        <f>V42</f>
        <v>9615.7</v>
      </c>
      <c r="W41" s="149">
        <f>W42</f>
        <v>8194.7</v>
      </c>
      <c r="X41" s="11">
        <f t="shared" si="5"/>
        <v>85.22208471562132</v>
      </c>
      <c r="Y41" s="18">
        <f>SUM(Y42:Y42)</f>
        <v>1421</v>
      </c>
      <c r="Z41" s="18">
        <f>SUM(Z42:Z42)</f>
        <v>1125.8999999999996</v>
      </c>
    </row>
    <row r="42" spans="1:26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18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14"/>
        <v>126.20772946859904</v>
      </c>
      <c r="M42" s="89">
        <f t="shared" si="9"/>
        <v>5769.9</v>
      </c>
      <c r="N42" s="89">
        <f t="shared" si="10"/>
        <v>4478.6</v>
      </c>
      <c r="O42" s="11">
        <f t="shared" si="6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72">
        <f>M42+P42+S42</f>
        <v>9615.7</v>
      </c>
      <c r="W42" s="72">
        <f>N42+Q42+T42</f>
        <v>8194.7</v>
      </c>
      <c r="X42" s="11">
        <f t="shared" si="5"/>
        <v>85.22208471562132</v>
      </c>
      <c r="Y42" s="72">
        <f t="shared" si="11"/>
        <v>1421</v>
      </c>
      <c r="Z42" s="18">
        <f>C42+V42-W42</f>
        <v>1125.8999999999996</v>
      </c>
    </row>
    <row r="43" spans="1:26" ht="30" customHeight="1">
      <c r="A43" s="13"/>
      <c r="B43" s="16" t="s">
        <v>122</v>
      </c>
      <c r="C43" s="83">
        <f>C41+C7</f>
        <v>-305.70000000000005</v>
      </c>
      <c r="D43" s="18">
        <f>D41+D7</f>
        <v>3361.8</v>
      </c>
      <c r="E43" s="18">
        <f>E41+E7</f>
        <v>727.9000000000001</v>
      </c>
      <c r="F43" s="11">
        <f>E43/D43*100</f>
        <v>21.65209114165031</v>
      </c>
      <c r="G43" s="18">
        <f>G7+G41</f>
        <v>3399.5</v>
      </c>
      <c r="H43" s="18">
        <f>H7+H41</f>
        <v>3394.7</v>
      </c>
      <c r="I43" s="11">
        <f t="shared" si="1"/>
        <v>99.85880276511251</v>
      </c>
      <c r="J43" s="18">
        <f>J7+J41</f>
        <v>3617.1000000000004</v>
      </c>
      <c r="K43" s="18">
        <f>K7+K41</f>
        <v>4345.5</v>
      </c>
      <c r="L43" s="11">
        <f t="shared" si="14"/>
        <v>120.13767935639046</v>
      </c>
      <c r="M43" s="18">
        <f>M7+M41</f>
        <v>10378.400000000001</v>
      </c>
      <c r="N43" s="18">
        <f>N7+N41</f>
        <v>8468.1</v>
      </c>
      <c r="O43" s="11">
        <f t="shared" si="6"/>
        <v>81.59350188853772</v>
      </c>
      <c r="P43" s="18">
        <f>P7+P41</f>
        <v>3636.5</v>
      </c>
      <c r="Q43" s="18">
        <f>Q7+Q41</f>
        <v>3418.8999999999996</v>
      </c>
      <c r="R43" s="11">
        <f>Q43/P43*100</f>
        <v>94.0162243915853</v>
      </c>
      <c r="S43" s="18">
        <f>S7+S41</f>
        <v>3360.5</v>
      </c>
      <c r="T43" s="18">
        <f>T7+T41</f>
        <v>3775.8</v>
      </c>
      <c r="U43" s="11">
        <f>T43/S43*100</f>
        <v>112.35828001785448</v>
      </c>
      <c r="V43" s="83">
        <f>V7+V41</f>
        <v>17375.399999999998</v>
      </c>
      <c r="W43" s="83">
        <f>W7+W41</f>
        <v>15662.800000000001</v>
      </c>
      <c r="X43" s="11">
        <f>W43/V43*100</f>
        <v>90.14353626391338</v>
      </c>
      <c r="Y43" s="18">
        <f>Y7+Y41</f>
        <v>1712.6</v>
      </c>
      <c r="Z43" s="18">
        <f>Z7+Z41</f>
        <v>1406.8999999999996</v>
      </c>
    </row>
    <row r="44" spans="1:38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25"/>
      <c r="W44" s="25"/>
      <c r="X44" s="86"/>
      <c r="Y44" s="86"/>
      <c r="Z44" s="85"/>
      <c r="AA44" s="85"/>
      <c r="AB44" s="85"/>
      <c r="AC44" s="85"/>
      <c r="AD44" s="85"/>
      <c r="AE44" s="85"/>
      <c r="AF44" s="85"/>
      <c r="AG44" s="85"/>
      <c r="AH44" s="85"/>
      <c r="AI44" s="46"/>
      <c r="AJ44" s="46"/>
      <c r="AK44" s="46"/>
      <c r="AL44" s="46"/>
    </row>
    <row r="45" spans="1:38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34"/>
      <c r="W45" s="34"/>
      <c r="X45" s="61"/>
      <c r="Y45" s="177" t="s">
        <v>137</v>
      </c>
      <c r="Z45" s="178"/>
      <c r="AA45" s="28"/>
      <c r="AB45" s="28"/>
      <c r="AC45" s="28"/>
      <c r="AD45" s="28"/>
      <c r="AE45" s="28"/>
      <c r="AF45" s="27"/>
      <c r="AG45" s="6"/>
      <c r="AH45" s="6"/>
      <c r="AI45" s="29"/>
      <c r="AJ45" s="6"/>
      <c r="AL45" s="6"/>
    </row>
    <row r="46" spans="1:38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0"/>
      <c r="W46" s="40"/>
      <c r="X46" s="41"/>
      <c r="Y46" s="2"/>
      <c r="Z46" s="4" t="s">
        <v>135</v>
      </c>
      <c r="AA46" s="28"/>
      <c r="AB46" s="28"/>
      <c r="AC46" s="28"/>
      <c r="AD46" s="28"/>
      <c r="AE46" s="28"/>
      <c r="AF46" s="27"/>
      <c r="AG46" s="6"/>
      <c r="AH46" s="6"/>
      <c r="AI46" s="29"/>
      <c r="AJ46" s="6"/>
      <c r="AL46" s="6"/>
    </row>
    <row r="47" spans="1:38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Z47" s="2"/>
      <c r="AA47" s="28"/>
      <c r="AB47" s="28"/>
      <c r="AC47" s="28"/>
      <c r="AD47" s="28"/>
      <c r="AE47" s="28"/>
      <c r="AF47" s="27"/>
      <c r="AG47" s="6"/>
      <c r="AH47" s="6"/>
      <c r="AI47" s="29"/>
      <c r="AJ47" s="6"/>
      <c r="AL47" s="6"/>
    </row>
    <row r="48" spans="1:38" ht="24.75" customHeight="1">
      <c r="A48" s="2"/>
      <c r="C48" s="31"/>
      <c r="D48" s="21"/>
      <c r="E48" s="21"/>
      <c r="F48" s="28"/>
      <c r="AA48" s="21"/>
      <c r="AB48" s="21"/>
      <c r="AC48" s="21"/>
      <c r="AD48" s="21"/>
      <c r="AE48" s="21"/>
      <c r="AF48" s="21"/>
      <c r="AG48" s="7"/>
      <c r="AH48" s="7"/>
      <c r="AI48" s="32"/>
      <c r="AJ48" s="7"/>
      <c r="AL48" s="7"/>
    </row>
    <row r="49" spans="1:26" s="38" customFormat="1" ht="63.75" customHeight="1">
      <c r="A49" s="33"/>
      <c r="B49" s="168" t="s">
        <v>138</v>
      </c>
      <c r="C49" s="168"/>
      <c r="D49" s="168"/>
      <c r="E49" s="168"/>
      <c r="F49" s="16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  <c r="X49" s="12"/>
      <c r="Y49" s="2"/>
      <c r="Z49" s="2"/>
    </row>
    <row r="50" spans="1:26" ht="73.5" customHeight="1" hidden="1">
      <c r="A50" s="164" t="s">
        <v>134</v>
      </c>
      <c r="B50" s="16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  <c r="X50" s="60"/>
      <c r="Y50" s="21"/>
      <c r="Z50" s="21"/>
    </row>
    <row r="51" spans="2:26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</row>
    <row r="52" spans="7:26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  <c r="X52" s="60"/>
      <c r="Y52" s="21"/>
      <c r="Z52" s="21"/>
    </row>
    <row r="53" spans="2:26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  <c r="X53" s="60"/>
      <c r="Y53" s="21"/>
      <c r="Z53" s="21"/>
    </row>
    <row r="54" spans="2:26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  <c r="X54" s="60"/>
      <c r="Y54" s="21"/>
      <c r="Z54" s="21"/>
    </row>
    <row r="55" spans="2:26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  <c r="X55" s="60"/>
      <c r="Y55" s="21"/>
      <c r="Z55" s="21"/>
    </row>
    <row r="56" spans="7:26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  <c r="X56" s="60"/>
      <c r="Y56" s="21"/>
      <c r="Z56" s="21"/>
    </row>
    <row r="57" spans="7:26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  <c r="X57" s="60"/>
      <c r="Y57" s="21"/>
      <c r="Z57" s="21"/>
    </row>
    <row r="58" spans="7:26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  <c r="X58" s="60"/>
      <c r="Y58" s="21"/>
      <c r="Z58" s="21"/>
    </row>
    <row r="59" spans="7:26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  <c r="X59" s="60"/>
      <c r="Y59" s="21"/>
      <c r="Z59" s="21"/>
    </row>
    <row r="60" spans="7:26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  <c r="X60" s="60"/>
      <c r="Y60" s="21"/>
      <c r="Z60" s="21"/>
    </row>
    <row r="61" spans="7:26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  <c r="X61" s="60"/>
      <c r="Y61" s="21"/>
      <c r="Z61" s="21"/>
    </row>
    <row r="62" spans="7:26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  <c r="X62" s="60"/>
      <c r="Y62" s="21"/>
      <c r="Z62" s="21"/>
    </row>
    <row r="63" spans="7:26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  <c r="X63" s="60"/>
      <c r="Y63" s="21"/>
      <c r="Z63" s="21"/>
    </row>
    <row r="64" spans="7:26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  <c r="X64" s="60"/>
      <c r="Y64" s="21"/>
      <c r="Z64" s="21"/>
    </row>
    <row r="65" spans="7:26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  <c r="X65" s="60"/>
      <c r="Y65" s="21"/>
      <c r="Z65" s="21"/>
    </row>
    <row r="66" spans="7:26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  <c r="X66" s="60"/>
      <c r="Y66" s="21"/>
      <c r="Z66" s="21"/>
    </row>
    <row r="67" spans="7:26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  <c r="X67" s="60"/>
      <c r="Y67" s="21"/>
      <c r="Z67" s="21"/>
    </row>
    <row r="68" spans="7:26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  <c r="X68" s="60"/>
      <c r="Y68" s="21"/>
      <c r="Z68" s="21"/>
    </row>
    <row r="69" spans="7:26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  <c r="X69" s="60"/>
      <c r="Y69" s="21"/>
      <c r="Z69" s="21"/>
    </row>
    <row r="70" spans="7:26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  <c r="X70" s="60"/>
      <c r="Y70" s="21"/>
      <c r="Z70" s="21"/>
    </row>
    <row r="71" spans="7:26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  <c r="X71" s="60"/>
      <c r="Y71" s="21"/>
      <c r="Z71" s="21"/>
    </row>
    <row r="72" spans="7:26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  <c r="X72" s="60"/>
      <c r="Y72" s="21"/>
      <c r="Z72" s="21"/>
    </row>
    <row r="73" spans="7:26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  <c r="X73" s="60"/>
      <c r="Y73" s="21"/>
      <c r="Z73" s="21"/>
    </row>
    <row r="74" spans="7:26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  <c r="X74" s="60"/>
      <c r="Y74" s="21"/>
      <c r="Z74" s="21"/>
    </row>
    <row r="75" spans="7:26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  <c r="X75" s="60"/>
      <c r="Y75" s="21"/>
      <c r="Z75" s="21"/>
    </row>
    <row r="76" spans="7:26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  <c r="X76" s="60"/>
      <c r="Y76" s="21"/>
      <c r="Z76" s="21"/>
    </row>
    <row r="77" spans="7:26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  <c r="X77" s="60"/>
      <c r="Y77" s="21"/>
      <c r="Z77" s="21"/>
    </row>
    <row r="78" spans="7:26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  <c r="X78" s="60"/>
      <c r="Y78" s="21"/>
      <c r="Z78" s="21"/>
    </row>
    <row r="79" spans="7:26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  <c r="X79" s="60"/>
      <c r="Y79" s="21"/>
      <c r="Z79" s="21"/>
    </row>
    <row r="80" spans="7:26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  <c r="X80" s="60"/>
      <c r="Y80" s="21"/>
      <c r="Z80" s="21"/>
    </row>
    <row r="81" spans="7:26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  <c r="X81" s="60"/>
      <c r="Y81" s="21"/>
      <c r="Z81" s="21"/>
    </row>
    <row r="82" spans="7:26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  <c r="X82" s="60"/>
      <c r="Y82" s="21"/>
      <c r="Z82" s="21"/>
    </row>
    <row r="83" spans="7:26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  <c r="X83" s="60"/>
      <c r="Y83" s="21"/>
      <c r="Z83" s="21"/>
    </row>
    <row r="84" spans="7:26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  <c r="X84" s="60"/>
      <c r="Y84" s="21"/>
      <c r="Z84" s="21"/>
    </row>
    <row r="85" spans="7:26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  <c r="X85" s="60"/>
      <c r="Y85" s="21"/>
      <c r="Z85" s="21"/>
    </row>
    <row r="86" spans="7:26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  <c r="X86" s="60"/>
      <c r="Y86" s="21"/>
      <c r="Z86" s="21"/>
    </row>
    <row r="87" spans="7:26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  <c r="X87" s="60"/>
      <c r="Y87" s="21"/>
      <c r="Z87" s="21"/>
    </row>
    <row r="88" spans="7:26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  <c r="X88" s="60"/>
      <c r="Y88" s="21"/>
      <c r="Z88" s="21"/>
    </row>
    <row r="89" spans="7:26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  <c r="X89" s="60"/>
      <c r="Y89" s="21"/>
      <c r="Z89" s="21"/>
    </row>
    <row r="90" spans="7:26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  <c r="X90" s="60"/>
      <c r="Y90" s="21"/>
      <c r="Z90" s="21"/>
    </row>
    <row r="91" spans="7:26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  <c r="X91" s="60"/>
      <c r="Y91" s="21"/>
      <c r="Z91" s="21"/>
    </row>
    <row r="92" spans="7:26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  <c r="X92" s="60"/>
      <c r="Y92" s="21"/>
      <c r="Z92" s="21"/>
    </row>
    <row r="93" spans="7:26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  <c r="X93" s="60"/>
      <c r="Y93" s="21"/>
      <c r="Z93" s="21"/>
    </row>
    <row r="94" spans="7:26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  <c r="X94" s="60"/>
      <c r="Y94" s="21"/>
      <c r="Z94" s="21"/>
    </row>
    <row r="95" spans="7:26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  <c r="X95" s="60"/>
      <c r="Y95" s="21"/>
      <c r="Z95" s="21"/>
    </row>
  </sheetData>
  <sheetProtection/>
  <mergeCells count="16">
    <mergeCell ref="I1:Z1"/>
    <mergeCell ref="B2:Z2"/>
    <mergeCell ref="B3:Z3"/>
    <mergeCell ref="B4:F4"/>
    <mergeCell ref="V5:X5"/>
    <mergeCell ref="Y5:Y6"/>
    <mergeCell ref="Z5:Z6"/>
    <mergeCell ref="J5:L5"/>
    <mergeCell ref="M5:O5"/>
    <mergeCell ref="Y45:Z45"/>
    <mergeCell ref="A50:B50"/>
    <mergeCell ref="B49:F49"/>
    <mergeCell ref="D5:F5"/>
    <mergeCell ref="G5:I5"/>
    <mergeCell ref="P5:R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95"/>
  <sheetViews>
    <sheetView view="pageBreakPreview" zoomScale="76" zoomScaleNormal="50" zoomScaleSheetLayoutView="76" zoomScalePageLayoutView="0" workbookViewId="0" topLeftCell="A1">
      <pane xSplit="6" ySplit="8" topLeftCell="Q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3" width="14.75390625" style="2" customWidth="1"/>
    <col min="24" max="24" width="11.125" style="12" customWidth="1"/>
    <col min="25" max="25" width="16.75390625" style="2" hidden="1" customWidth="1"/>
    <col min="26" max="26" width="18.25390625" style="2" customWidth="1"/>
    <col min="27" max="27" width="14.875" style="2" customWidth="1"/>
    <col min="28" max="28" width="11.625" style="2" customWidth="1"/>
    <col min="29" max="16384" width="6.75390625" style="2" customWidth="1"/>
  </cols>
  <sheetData>
    <row r="1" spans="9:26" ht="14.25" customHeight="1">
      <c r="I1" s="161" t="s">
        <v>50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162" t="s">
        <v>131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8.75">
      <c r="B4" s="163"/>
      <c r="C4" s="163"/>
      <c r="D4" s="163"/>
      <c r="E4" s="163"/>
      <c r="F4" s="163"/>
      <c r="Z4" s="5" t="s">
        <v>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145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28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77.19999999999999</v>
      </c>
      <c r="F7" s="11">
        <f>E7/D7*100</f>
        <v>68.99016979445933</v>
      </c>
      <c r="G7" s="11">
        <f>SUM(G8:G40)</f>
        <v>181.2</v>
      </c>
      <c r="H7" s="11">
        <f>SUM(H8:H40)</f>
        <v>147.39999999999998</v>
      </c>
      <c r="I7" s="11">
        <f>H7/G7*100</f>
        <v>81.34657836644591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419.40000000000003</v>
      </c>
      <c r="O7" s="11">
        <f>N7/M7*100</f>
        <v>78.18791946308727</v>
      </c>
      <c r="P7" s="11">
        <f>SUM(P8:P40)</f>
        <v>187.8</v>
      </c>
      <c r="Q7" s="11">
        <f>SUM(Q8:Q40)</f>
        <v>254.80000000000004</v>
      </c>
      <c r="R7" s="11">
        <f>Q7/P7*100</f>
        <v>135.67625133120342</v>
      </c>
      <c r="S7" s="11">
        <f>SUM(S8:S40)</f>
        <v>201.3</v>
      </c>
      <c r="T7" s="11">
        <f>SUM(T8:T40)</f>
        <v>226.69999999999996</v>
      </c>
      <c r="U7" s="11">
        <f>T7/S7*100</f>
        <v>112.61798310978637</v>
      </c>
      <c r="V7" s="67">
        <f>SUM(V8:V40)</f>
        <v>925.5000000000001</v>
      </c>
      <c r="W7" s="67">
        <f>SUM(W8:W40)</f>
        <v>900.8999999999999</v>
      </c>
      <c r="X7" s="11">
        <f>W7/V7*100</f>
        <v>97.34197730956238</v>
      </c>
      <c r="Y7" s="67">
        <f>SUM(Y8:Y40)</f>
        <v>24.599999999999984</v>
      </c>
      <c r="Z7" s="67">
        <f>SUM(Z8:Z40)</f>
        <v>7.6999999999999815</v>
      </c>
      <c r="AA7" s="27">
        <f>SUM(Y8:Y40)</f>
        <v>24.599999999999984</v>
      </c>
      <c r="AB7" s="27">
        <f>SUM(Z8:Z40)</f>
        <v>7.6999999999999815</v>
      </c>
    </row>
    <row r="8" spans="1:26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72">
        <f>M8+P8+S8</f>
        <v>63.800000000000004</v>
      </c>
      <c r="W8" s="72">
        <f>N8+Q8+T8</f>
        <v>63.400000000000006</v>
      </c>
      <c r="X8" s="11">
        <f>W8/V8*100</f>
        <v>99.37304075235109</v>
      </c>
      <c r="Y8" s="72">
        <f>V8-W8</f>
        <v>0.3999999999999986</v>
      </c>
      <c r="Z8" s="18">
        <f>C8+V8-W8</f>
        <v>0.3999999999999986</v>
      </c>
    </row>
    <row r="9" spans="1:26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72">
        <f>M9+P9+S9</f>
        <v>3.7000000000000006</v>
      </c>
      <c r="W9" s="72">
        <f>N9+Q9+T9</f>
        <v>2.8</v>
      </c>
      <c r="X9" s="11">
        <f>W9/V9*100</f>
        <v>75.67567567567566</v>
      </c>
      <c r="Y9" s="72">
        <f>V9-W9</f>
        <v>0.9000000000000008</v>
      </c>
      <c r="Z9" s="18">
        <f>C9+V9-W9</f>
        <v>0.5000000000000009</v>
      </c>
    </row>
    <row r="10" spans="1:26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72"/>
      <c r="W10" s="72"/>
      <c r="X10" s="111"/>
      <c r="Y10" s="72"/>
      <c r="Z10" s="18"/>
    </row>
    <row r="11" spans="1:26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72">
        <f>M11+P11+S11</f>
        <v>49.800000000000004</v>
      </c>
      <c r="W11" s="72">
        <f>N11+Q11+T11</f>
        <v>47.5</v>
      </c>
      <c r="X11" s="11">
        <f>W11/V11*100</f>
        <v>95.38152610441766</v>
      </c>
      <c r="Y11" s="72">
        <f>V11-W11</f>
        <v>2.3000000000000043</v>
      </c>
      <c r="Z11" s="18">
        <f>C11+V11-W11</f>
        <v>-6</v>
      </c>
    </row>
    <row r="12" spans="1:26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72"/>
      <c r="W12" s="72"/>
      <c r="X12" s="11"/>
      <c r="Y12" s="72"/>
      <c r="Z12" s="18"/>
    </row>
    <row r="13" spans="1:26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72"/>
      <c r="W13" s="72"/>
      <c r="X13" s="11"/>
      <c r="Y13" s="72"/>
      <c r="Z13" s="18"/>
    </row>
    <row r="14" spans="1:26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72">
        <f>M14+P14+S14</f>
        <v>3.5</v>
      </c>
      <c r="W14" s="72">
        <f>N14+Q14+T14</f>
        <v>2.6999999999999997</v>
      </c>
      <c r="X14" s="11">
        <f>W14/V14*100</f>
        <v>77.14285714285714</v>
      </c>
      <c r="Y14" s="72">
        <f>V14-W14</f>
        <v>0.8000000000000003</v>
      </c>
      <c r="Z14" s="18">
        <f>C14+V14-W14</f>
        <v>-1.9</v>
      </c>
    </row>
    <row r="15" spans="1:26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9">
        <f>Q15/P15*100</f>
        <v>96.69669669669672</v>
      </c>
      <c r="S15" s="44">
        <v>39.5</v>
      </c>
      <c r="T15" s="44">
        <v>39.5</v>
      </c>
      <c r="U15" s="149">
        <f>T15/S15*100</f>
        <v>100</v>
      </c>
      <c r="V15" s="72">
        <f>M15+P15+S15</f>
        <v>201.60000000000002</v>
      </c>
      <c r="W15" s="72">
        <f>N15+Q15+T15</f>
        <v>200.5</v>
      </c>
      <c r="X15" s="11">
        <f>W15/V15*100</f>
        <v>99.45436507936508</v>
      </c>
      <c r="Y15" s="72">
        <f>V15-W15</f>
        <v>1.1000000000000227</v>
      </c>
      <c r="Z15" s="18">
        <f>C15+V15-W15</f>
        <v>-0.8999999999999773</v>
      </c>
    </row>
    <row r="16" spans="1:26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72"/>
      <c r="W16" s="72"/>
      <c r="X16" s="11"/>
      <c r="Y16" s="72"/>
      <c r="Z16" s="18"/>
    </row>
    <row r="17" spans="1:26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72"/>
      <c r="W17" s="72"/>
      <c r="X17" s="113"/>
      <c r="Y17" s="72"/>
      <c r="Z17" s="18"/>
    </row>
    <row r="18" spans="1:26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72"/>
      <c r="W18" s="72"/>
      <c r="X18" s="11"/>
      <c r="Y18" s="72"/>
      <c r="Z18" s="18"/>
    </row>
    <row r="19" spans="1:26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72"/>
      <c r="W19" s="72"/>
      <c r="X19" s="11"/>
      <c r="Y19" s="72"/>
      <c r="Z19" s="18"/>
    </row>
    <row r="20" spans="1:26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72"/>
      <c r="W20" s="72"/>
      <c r="X20" s="113"/>
      <c r="Y20" s="72"/>
      <c r="Z20" s="18"/>
    </row>
    <row r="21" spans="1:26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72"/>
      <c r="W21" s="72"/>
      <c r="X21" s="11"/>
      <c r="Y21" s="72"/>
      <c r="Z21" s="18"/>
    </row>
    <row r="22" spans="1:26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72"/>
      <c r="W22" s="72"/>
      <c r="X22" s="11"/>
      <c r="Y22" s="72"/>
      <c r="Z22" s="18"/>
    </row>
    <row r="23" spans="1:26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72"/>
      <c r="W23" s="72"/>
      <c r="X23" s="11"/>
      <c r="Y23" s="72"/>
      <c r="Z23" s="18"/>
    </row>
    <row r="24" spans="1:26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72">
        <f>M24+P24+S24</f>
        <v>38.400000000000006</v>
      </c>
      <c r="W24" s="72">
        <f>N24+Q24+T24</f>
        <v>38.4</v>
      </c>
      <c r="X24" s="11">
        <f>W24/V24*100</f>
        <v>99.99999999999997</v>
      </c>
      <c r="Y24" s="72">
        <f>V24-W24</f>
        <v>0</v>
      </c>
      <c r="Z24" s="18">
        <f>C24+V24-W24</f>
        <v>0</v>
      </c>
    </row>
    <row r="25" spans="1:26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72"/>
      <c r="W25" s="72"/>
      <c r="X25" s="11"/>
      <c r="Y25" s="72"/>
      <c r="Z25" s="18"/>
    </row>
    <row r="26" spans="1:26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72"/>
      <c r="W26" s="72"/>
      <c r="X26" s="11"/>
      <c r="Y26" s="72"/>
      <c r="Z26" s="18"/>
    </row>
    <row r="27" spans="1:26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72"/>
      <c r="W27" s="72"/>
      <c r="X27" s="11"/>
      <c r="Y27" s="72"/>
      <c r="Z27" s="18"/>
    </row>
    <row r="28" spans="1:26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72">
        <f>M28+P28+S28</f>
        <v>139.6</v>
      </c>
      <c r="W28" s="72">
        <f>N28+Q28+T28</f>
        <v>138.8</v>
      </c>
      <c r="X28" s="11">
        <f>W28/V28*100</f>
        <v>99.42693409742121</v>
      </c>
      <c r="Y28" s="72">
        <f>V28-W28</f>
        <v>0.799999999999983</v>
      </c>
      <c r="Z28" s="18">
        <f>C28+V28-W28</f>
        <v>0.799999999999983</v>
      </c>
    </row>
    <row r="29" spans="1:26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2"/>
      <c r="W29" s="72"/>
      <c r="X29" s="77"/>
      <c r="Y29" s="77"/>
      <c r="Z29" s="77"/>
    </row>
    <row r="30" spans="1:26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72"/>
      <c r="W30" s="72"/>
      <c r="X30" s="11"/>
      <c r="Y30" s="72"/>
      <c r="Z30" s="18"/>
    </row>
    <row r="31" spans="1:26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0" ref="M31:N34">D31+G31+J31</f>
        <v>9</v>
      </c>
      <c r="N31" s="89">
        <f t="shared" si="0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72">
        <f aca="true" t="shared" si="1" ref="V31:W34">M31+P31+S31</f>
        <v>17.9</v>
      </c>
      <c r="W31" s="72">
        <f t="shared" si="1"/>
        <v>17.9</v>
      </c>
      <c r="X31" s="11">
        <f>W31/V31*100</f>
        <v>100</v>
      </c>
      <c r="Y31" s="72">
        <f>V31-W31</f>
        <v>0</v>
      </c>
      <c r="Z31" s="18">
        <f>C31+V31-W31</f>
        <v>0</v>
      </c>
    </row>
    <row r="32" spans="1:26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0"/>
        <v>13.6</v>
      </c>
      <c r="N32" s="89">
        <f t="shared" si="0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72">
        <f t="shared" si="1"/>
        <v>23.4</v>
      </c>
      <c r="W32" s="72">
        <f t="shared" si="1"/>
        <v>19</v>
      </c>
      <c r="X32" s="11">
        <f>W32/V32*100</f>
        <v>81.19658119658119</v>
      </c>
      <c r="Y32" s="72">
        <f>V32-W32</f>
        <v>4.399999999999999</v>
      </c>
      <c r="Z32" s="18">
        <f>C32+V32-W32</f>
        <v>3.1999999999999993</v>
      </c>
    </row>
    <row r="33" spans="1:26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0"/>
        <v>90.1</v>
      </c>
      <c r="N33" s="89">
        <f t="shared" si="0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72">
        <f t="shared" si="1"/>
        <v>169.89999999999998</v>
      </c>
      <c r="W33" s="72">
        <f t="shared" si="1"/>
        <v>169.8</v>
      </c>
      <c r="X33" s="11">
        <f>W33/V33*100</f>
        <v>99.94114184814599</v>
      </c>
      <c r="Y33" s="72">
        <f>V33-W33</f>
        <v>0.0999999999999659</v>
      </c>
      <c r="Z33" s="18">
        <f>C33+V33-W33</f>
        <v>0.0999999999999659</v>
      </c>
    </row>
    <row r="34" spans="1:26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12.2</v>
      </c>
      <c r="F34" s="11">
        <f>E34/D34*100</f>
        <v>93.12977099236642</v>
      </c>
      <c r="G34" s="44">
        <v>13.6</v>
      </c>
      <c r="H34" s="44">
        <v>14.4</v>
      </c>
      <c r="I34" s="75">
        <f>H34/G34*100</f>
        <v>105.88235294117648</v>
      </c>
      <c r="J34" s="44">
        <v>10.7</v>
      </c>
      <c r="K34" s="44">
        <v>10.2</v>
      </c>
      <c r="L34" s="75">
        <f>K34/J34*100</f>
        <v>95.32710280373831</v>
      </c>
      <c r="M34" s="89">
        <f t="shared" si="0"/>
        <v>37.4</v>
      </c>
      <c r="N34" s="89">
        <f t="shared" si="0"/>
        <v>36.8</v>
      </c>
      <c r="O34" s="11">
        <f>N34/M34*100</f>
        <v>98.39572192513369</v>
      </c>
      <c r="P34" s="44">
        <v>10.4</v>
      </c>
      <c r="Q34" s="44">
        <v>10.3</v>
      </c>
      <c r="R34" s="149">
        <f>Q34/P34*100</f>
        <v>99.03846153846155</v>
      </c>
      <c r="S34" s="44">
        <v>13.2</v>
      </c>
      <c r="T34" s="44">
        <v>13.2</v>
      </c>
      <c r="U34" s="149">
        <f>T34/S34*100</f>
        <v>100</v>
      </c>
      <c r="V34" s="72">
        <f t="shared" si="1"/>
        <v>61</v>
      </c>
      <c r="W34" s="72">
        <f t="shared" si="1"/>
        <v>60.3</v>
      </c>
      <c r="X34" s="11">
        <f>W34/V34*100</f>
        <v>98.85245901639344</v>
      </c>
      <c r="Y34" s="72">
        <f>V34-W34</f>
        <v>0.7000000000000028</v>
      </c>
      <c r="Z34" s="18">
        <f>C34+V34-W34</f>
        <v>0</v>
      </c>
    </row>
    <row r="35" spans="1:26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72"/>
      <c r="W35" s="72"/>
      <c r="X35" s="11"/>
      <c r="Y35" s="72"/>
      <c r="Z35" s="18"/>
    </row>
    <row r="36" spans="1:26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2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72">
        <f>M36+P36+S36</f>
        <v>131.8</v>
      </c>
      <c r="W36" s="72">
        <f>N36+Q36+T36</f>
        <v>122.9</v>
      </c>
      <c r="X36" s="11">
        <f>W36/V36*100</f>
        <v>93.247344461305</v>
      </c>
      <c r="Y36" s="72">
        <f>V36-W36</f>
        <v>8.900000000000006</v>
      </c>
      <c r="Z36" s="18">
        <f>C36+V36-W36</f>
        <v>8.800000000000011</v>
      </c>
    </row>
    <row r="37" spans="1:26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2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72">
        <f>M37+P37+S37</f>
        <v>21.1</v>
      </c>
      <c r="W37" s="72">
        <f>N37+Q37+T37</f>
        <v>16.900000000000002</v>
      </c>
      <c r="X37" s="11">
        <f>W37/V37*100</f>
        <v>80.09478672985783</v>
      </c>
      <c r="Y37" s="72">
        <f>V37-W37</f>
        <v>4.199999999999999</v>
      </c>
      <c r="Z37" s="18">
        <f>C37+V37-W37</f>
        <v>2.6999999999999993</v>
      </c>
    </row>
    <row r="38" spans="1:26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72"/>
      <c r="W38" s="72"/>
      <c r="X38" s="11"/>
      <c r="Y38" s="72"/>
      <c r="Z38" s="18"/>
    </row>
    <row r="39" spans="1:26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72"/>
      <c r="W39" s="72"/>
      <c r="X39" s="11"/>
      <c r="Y39" s="72"/>
      <c r="Z39" s="18"/>
    </row>
    <row r="40" spans="1:26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72"/>
      <c r="W40" s="72"/>
      <c r="X40" s="11"/>
      <c r="Y40" s="72"/>
      <c r="Z40" s="18"/>
    </row>
    <row r="41" spans="1:26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2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49">
        <f>V42</f>
        <v>4704.3</v>
      </c>
      <c r="W41" s="149">
        <f>W42</f>
        <v>4003.7000000000003</v>
      </c>
      <c r="X41" s="11">
        <f>W41/V41*100</f>
        <v>85.10724231022681</v>
      </c>
      <c r="Y41" s="18">
        <f>SUM(Y42:Y42)</f>
        <v>700.5999999999999</v>
      </c>
      <c r="Z41" s="18">
        <f>SUM(Z42:Z42)</f>
        <v>504.49999999999955</v>
      </c>
    </row>
    <row r="42" spans="1:26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72">
        <f>M42+P42+S42</f>
        <v>4704.3</v>
      </c>
      <c r="W42" s="72">
        <f>N42+Q42+T42</f>
        <v>4003.7000000000003</v>
      </c>
      <c r="X42" s="11">
        <f>W42/V42*100</f>
        <v>85.10724231022681</v>
      </c>
      <c r="Y42" s="72">
        <f>V42-W42</f>
        <v>700.5999999999999</v>
      </c>
      <c r="Z42" s="18">
        <f>C42+V42-W42</f>
        <v>504.49999999999955</v>
      </c>
    </row>
    <row r="43" spans="1:26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93.19999999999999</v>
      </c>
      <c r="F43" s="11">
        <f>E43/D43*100</f>
        <v>9.346169273967107</v>
      </c>
      <c r="G43" s="18">
        <f>G7+G41</f>
        <v>1146.7</v>
      </c>
      <c r="H43" s="18">
        <f>H7+H41</f>
        <v>1030.8</v>
      </c>
      <c r="I43" s="11">
        <f>H43/G43*100</f>
        <v>89.89273567628847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2561.3</v>
      </c>
      <c r="O43" s="11">
        <f>N43/M43*100</f>
        <v>77.01536518627657</v>
      </c>
      <c r="P43" s="18">
        <f>P7+P41</f>
        <v>1166.7</v>
      </c>
      <c r="Q43" s="18">
        <f>Q7+Q41</f>
        <v>1181</v>
      </c>
      <c r="R43" s="11">
        <f>Q43/P43*100</f>
        <v>101.22567926630668</v>
      </c>
      <c r="S43" s="18">
        <f>S7+S41</f>
        <v>1137.4</v>
      </c>
      <c r="T43" s="18">
        <f>T7+T41</f>
        <v>1162.3</v>
      </c>
      <c r="U43" s="11">
        <f>T43/S43*100</f>
        <v>102.18920344645682</v>
      </c>
      <c r="V43" s="83">
        <f>V7+V41</f>
        <v>5629.8</v>
      </c>
      <c r="W43" s="83">
        <f>W7+W41</f>
        <v>4904.6</v>
      </c>
      <c r="X43" s="11">
        <f>W43/V43*100</f>
        <v>87.11854772816086</v>
      </c>
      <c r="Y43" s="18">
        <f>Y7+Y41</f>
        <v>725.1999999999999</v>
      </c>
      <c r="Z43" s="18">
        <f>Z7+Z41</f>
        <v>512.1999999999995</v>
      </c>
    </row>
    <row r="44" spans="1:38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25"/>
      <c r="W44" s="25"/>
      <c r="X44" s="86"/>
      <c r="Y44" s="86"/>
      <c r="Z44" s="85"/>
      <c r="AA44" s="85"/>
      <c r="AB44" s="85"/>
      <c r="AC44" s="85"/>
      <c r="AD44" s="85"/>
      <c r="AE44" s="85"/>
      <c r="AF44" s="85"/>
      <c r="AG44" s="85"/>
      <c r="AH44" s="85"/>
      <c r="AI44" s="46"/>
      <c r="AJ44" s="46"/>
      <c r="AK44" s="46"/>
      <c r="AL44" s="46"/>
    </row>
    <row r="45" spans="1:38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34"/>
      <c r="W45" s="34"/>
      <c r="X45" s="61"/>
      <c r="Y45" s="177" t="s">
        <v>137</v>
      </c>
      <c r="Z45" s="178"/>
      <c r="AA45" s="28"/>
      <c r="AB45" s="28"/>
      <c r="AC45" s="28"/>
      <c r="AD45" s="28"/>
      <c r="AE45" s="28"/>
      <c r="AF45" s="27"/>
      <c r="AG45" s="6"/>
      <c r="AH45" s="6"/>
      <c r="AI45" s="29"/>
      <c r="AJ45" s="6"/>
      <c r="AL45" s="6"/>
    </row>
    <row r="46" spans="1:38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0"/>
      <c r="W46" s="40"/>
      <c r="X46" s="41"/>
      <c r="Y46" s="2"/>
      <c r="Z46" s="4" t="s">
        <v>135</v>
      </c>
      <c r="AA46" s="28"/>
      <c r="AB46" s="28"/>
      <c r="AC46" s="28"/>
      <c r="AD46" s="28"/>
      <c r="AE46" s="28"/>
      <c r="AF46" s="27"/>
      <c r="AG46" s="6"/>
      <c r="AH46" s="6"/>
      <c r="AI46" s="29"/>
      <c r="AJ46" s="6"/>
      <c r="AL46" s="6"/>
    </row>
    <row r="47" spans="1:38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Z47" s="2"/>
      <c r="AA47" s="28"/>
      <c r="AB47" s="28"/>
      <c r="AC47" s="28"/>
      <c r="AD47" s="28"/>
      <c r="AE47" s="28"/>
      <c r="AF47" s="27"/>
      <c r="AG47" s="6"/>
      <c r="AH47" s="6"/>
      <c r="AI47" s="29"/>
      <c r="AJ47" s="6"/>
      <c r="AL47" s="6"/>
    </row>
    <row r="48" spans="1:38" ht="24.75" customHeight="1">
      <c r="A48" s="2"/>
      <c r="C48" s="31"/>
      <c r="D48" s="21"/>
      <c r="E48" s="21"/>
      <c r="F48" s="28"/>
      <c r="AA48" s="129"/>
      <c r="AB48" s="21"/>
      <c r="AC48" s="21"/>
      <c r="AD48" s="21"/>
      <c r="AE48" s="21"/>
      <c r="AF48" s="21"/>
      <c r="AG48" s="7"/>
      <c r="AH48" s="7"/>
      <c r="AI48" s="32"/>
      <c r="AJ48" s="7"/>
      <c r="AL48" s="7"/>
    </row>
    <row r="49" spans="1:27" s="38" customFormat="1" ht="49.5" customHeight="1">
      <c r="A49" s="33"/>
      <c r="B49" s="168" t="s">
        <v>138</v>
      </c>
      <c r="C49" s="168"/>
      <c r="D49" s="168"/>
      <c r="E49" s="168"/>
      <c r="F49" s="16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  <c r="X49" s="12"/>
      <c r="Y49" s="2"/>
      <c r="Z49" s="2"/>
      <c r="AA49" s="37"/>
    </row>
    <row r="50" spans="1:26" ht="73.5" customHeight="1" hidden="1">
      <c r="A50" s="164" t="s">
        <v>134</v>
      </c>
      <c r="B50" s="16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  <c r="X50" s="60"/>
      <c r="Y50" s="21"/>
      <c r="Z50" s="21"/>
    </row>
    <row r="51" spans="2:26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</row>
    <row r="52" spans="7:26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  <c r="X52" s="60"/>
      <c r="Y52" s="21"/>
      <c r="Z52" s="21"/>
    </row>
    <row r="53" spans="2:26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  <c r="X53" s="60"/>
      <c r="Y53" s="21"/>
      <c r="Z53" s="21"/>
    </row>
    <row r="54" spans="2:26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  <c r="X54" s="60"/>
      <c r="Y54" s="21"/>
      <c r="Z54" s="21"/>
    </row>
    <row r="55" spans="2:26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  <c r="X55" s="60"/>
      <c r="Y55" s="21"/>
      <c r="Z55" s="21"/>
    </row>
    <row r="56" spans="2:26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  <c r="X56" s="60"/>
      <c r="Y56" s="21"/>
      <c r="Z56" s="21"/>
    </row>
    <row r="57" spans="7:26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  <c r="X57" s="60"/>
      <c r="Y57" s="21"/>
      <c r="Z57" s="21"/>
    </row>
    <row r="58" spans="7:26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  <c r="X58" s="60"/>
      <c r="Y58" s="21"/>
      <c r="Z58" s="21"/>
    </row>
    <row r="59" spans="7:26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  <c r="X59" s="60"/>
      <c r="Y59" s="21"/>
      <c r="Z59" s="21"/>
    </row>
    <row r="60" spans="7:26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  <c r="X60" s="60"/>
      <c r="Y60" s="21"/>
      <c r="Z60" s="21"/>
    </row>
    <row r="61" spans="7:26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  <c r="X61" s="60"/>
      <c r="Y61" s="21"/>
      <c r="Z61" s="21"/>
    </row>
    <row r="62" spans="7:26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  <c r="X62" s="60"/>
      <c r="Y62" s="21"/>
      <c r="Z62" s="21"/>
    </row>
    <row r="63" spans="7:26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  <c r="X63" s="60"/>
      <c r="Y63" s="21"/>
      <c r="Z63" s="21"/>
    </row>
    <row r="64" spans="7:26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  <c r="X64" s="60"/>
      <c r="Y64" s="21"/>
      <c r="Z64" s="21"/>
    </row>
    <row r="65" spans="7:26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  <c r="X65" s="60"/>
      <c r="Y65" s="21"/>
      <c r="Z65" s="21"/>
    </row>
    <row r="66" spans="7:26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  <c r="X66" s="60"/>
      <c r="Y66" s="21"/>
      <c r="Z66" s="21"/>
    </row>
    <row r="67" spans="7:26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  <c r="X67" s="60"/>
      <c r="Y67" s="21"/>
      <c r="Z67" s="21"/>
    </row>
    <row r="68" spans="7:26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  <c r="X68" s="60"/>
      <c r="Y68" s="21"/>
      <c r="Z68" s="21"/>
    </row>
    <row r="69" spans="7:26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  <c r="X69" s="60"/>
      <c r="Y69" s="21"/>
      <c r="Z69" s="21"/>
    </row>
    <row r="70" spans="7:26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  <c r="X70" s="60"/>
      <c r="Y70" s="21"/>
      <c r="Z70" s="21"/>
    </row>
    <row r="71" spans="7:26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  <c r="X71" s="60"/>
      <c r="Y71" s="21"/>
      <c r="Z71" s="21"/>
    </row>
    <row r="72" spans="7:26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  <c r="X72" s="60"/>
      <c r="Y72" s="21"/>
      <c r="Z72" s="21"/>
    </row>
    <row r="73" spans="7:26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  <c r="X73" s="60"/>
      <c r="Y73" s="21"/>
      <c r="Z73" s="21"/>
    </row>
    <row r="74" spans="7:26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  <c r="X74" s="60"/>
      <c r="Y74" s="21"/>
      <c r="Z74" s="21"/>
    </row>
    <row r="75" spans="7:26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  <c r="X75" s="60"/>
      <c r="Y75" s="21"/>
      <c r="Z75" s="21"/>
    </row>
    <row r="76" spans="7:26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  <c r="X76" s="60"/>
      <c r="Y76" s="21"/>
      <c r="Z76" s="21"/>
    </row>
    <row r="77" spans="7:26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  <c r="X77" s="60"/>
      <c r="Y77" s="21"/>
      <c r="Z77" s="21"/>
    </row>
    <row r="78" spans="7:26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  <c r="X78" s="60"/>
      <c r="Y78" s="21"/>
      <c r="Z78" s="21"/>
    </row>
    <row r="79" spans="7:26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  <c r="X79" s="60"/>
      <c r="Y79" s="21"/>
      <c r="Z79" s="21"/>
    </row>
    <row r="80" spans="7:26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  <c r="X80" s="60"/>
      <c r="Y80" s="21"/>
      <c r="Z80" s="21"/>
    </row>
    <row r="81" spans="7:26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  <c r="X81" s="60"/>
      <c r="Y81" s="21"/>
      <c r="Z81" s="21"/>
    </row>
    <row r="82" spans="7:26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  <c r="X82" s="60"/>
      <c r="Y82" s="21"/>
      <c r="Z82" s="21"/>
    </row>
    <row r="83" spans="7:26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  <c r="X83" s="60"/>
      <c r="Y83" s="21"/>
      <c r="Z83" s="21"/>
    </row>
    <row r="84" spans="7:26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  <c r="X84" s="60"/>
      <c r="Y84" s="21"/>
      <c r="Z84" s="21"/>
    </row>
    <row r="85" spans="7:26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  <c r="X85" s="60"/>
      <c r="Y85" s="21"/>
      <c r="Z85" s="21"/>
    </row>
    <row r="86" spans="7:26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  <c r="X86" s="60"/>
      <c r="Y86" s="21"/>
      <c r="Z86" s="21"/>
    </row>
    <row r="87" spans="7:26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  <c r="X87" s="60"/>
      <c r="Y87" s="21"/>
      <c r="Z87" s="21"/>
    </row>
    <row r="88" spans="7:26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  <c r="X88" s="60"/>
      <c r="Y88" s="21"/>
      <c r="Z88" s="21"/>
    </row>
    <row r="89" spans="7:26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  <c r="X89" s="60"/>
      <c r="Y89" s="21"/>
      <c r="Z89" s="21"/>
    </row>
    <row r="90" spans="7:26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  <c r="X90" s="60"/>
      <c r="Y90" s="21"/>
      <c r="Z90" s="21"/>
    </row>
    <row r="91" spans="7:26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  <c r="X91" s="60"/>
      <c r="Y91" s="21"/>
      <c r="Z91" s="21"/>
    </row>
    <row r="92" spans="7:26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  <c r="X92" s="60"/>
      <c r="Y92" s="21"/>
      <c r="Z92" s="21"/>
    </row>
    <row r="93" spans="7:26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  <c r="X93" s="60"/>
      <c r="Y93" s="21"/>
      <c r="Z93" s="21"/>
    </row>
    <row r="94" spans="7:26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  <c r="X94" s="60"/>
      <c r="Y94" s="21"/>
      <c r="Z94" s="21"/>
    </row>
    <row r="95" spans="7:26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  <c r="X95" s="60"/>
      <c r="Y95" s="21"/>
      <c r="Z95" s="21"/>
    </row>
  </sheetData>
  <sheetProtection/>
  <mergeCells count="16">
    <mergeCell ref="Y45:Z45"/>
    <mergeCell ref="B49:F49"/>
    <mergeCell ref="D5:F5"/>
    <mergeCell ref="G5:I5"/>
    <mergeCell ref="V5:X5"/>
    <mergeCell ref="A50:B50"/>
    <mergeCell ref="M5:O5"/>
    <mergeCell ref="I1:Z1"/>
    <mergeCell ref="B4:F4"/>
    <mergeCell ref="A2:Z2"/>
    <mergeCell ref="Y5:Y6"/>
    <mergeCell ref="Z5:Z6"/>
    <mergeCell ref="J5:L5"/>
    <mergeCell ref="P5:R5"/>
    <mergeCell ref="B3:Z3"/>
    <mergeCell ref="S5:U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95"/>
  <sheetViews>
    <sheetView view="pageBreakPreview" zoomScale="77" zoomScaleNormal="50" zoomScaleSheetLayoutView="77" zoomScalePageLayoutView="0" workbookViewId="0" topLeftCell="A1">
      <pane xSplit="6" ySplit="8" topLeftCell="R4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3" width="14.75390625" style="2" customWidth="1"/>
    <col min="24" max="24" width="11.125" style="12" customWidth="1"/>
    <col min="25" max="25" width="16.75390625" style="2" customWidth="1"/>
    <col min="26" max="26" width="18.25390625" style="2" customWidth="1"/>
    <col min="27" max="27" width="10.625" style="2" customWidth="1"/>
    <col min="28" max="28" width="12.00390625" style="2" customWidth="1"/>
    <col min="29" max="16384" width="6.75390625" style="2" customWidth="1"/>
  </cols>
  <sheetData>
    <row r="1" spans="9:26" ht="19.5" customHeight="1">
      <c r="I1" s="161" t="s">
        <v>50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63" customFormat="1" ht="42" customHeight="1">
      <c r="A2" s="62"/>
      <c r="B2" s="162" t="s">
        <v>132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63" customFormat="1" ht="42" customHeight="1">
      <c r="A3" s="62"/>
      <c r="B3" s="162" t="s">
        <v>150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ht="18.75">
      <c r="B4" s="163"/>
      <c r="C4" s="163"/>
      <c r="D4" s="163"/>
      <c r="E4" s="163"/>
      <c r="F4" s="163"/>
      <c r="Z4" s="5" t="s">
        <v>7</v>
      </c>
    </row>
    <row r="5" spans="1:26" ht="58.5" customHeight="1">
      <c r="A5" s="50" t="s">
        <v>55</v>
      </c>
      <c r="B5" s="51"/>
      <c r="C5" s="52" t="s">
        <v>1</v>
      </c>
      <c r="D5" s="169" t="s">
        <v>142</v>
      </c>
      <c r="E5" s="170"/>
      <c r="F5" s="171"/>
      <c r="G5" s="157" t="s">
        <v>143</v>
      </c>
      <c r="H5" s="158"/>
      <c r="I5" s="159"/>
      <c r="J5" s="157" t="s">
        <v>147</v>
      </c>
      <c r="K5" s="158"/>
      <c r="L5" s="159"/>
      <c r="M5" s="157" t="s">
        <v>149</v>
      </c>
      <c r="N5" s="158"/>
      <c r="O5" s="159"/>
      <c r="P5" s="157" t="s">
        <v>148</v>
      </c>
      <c r="Q5" s="158"/>
      <c r="R5" s="159"/>
      <c r="S5" s="157" t="s">
        <v>151</v>
      </c>
      <c r="T5" s="158"/>
      <c r="U5" s="159"/>
      <c r="V5" s="169" t="s">
        <v>144</v>
      </c>
      <c r="W5" s="170"/>
      <c r="X5" s="171"/>
      <c r="Y5" s="172" t="s">
        <v>152</v>
      </c>
      <c r="Z5" s="172" t="s">
        <v>153</v>
      </c>
    </row>
    <row r="6" spans="1:26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173"/>
      <c r="Z6" s="173"/>
    </row>
    <row r="7" spans="1:28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</v>
      </c>
      <c r="F7" s="11">
        <f aca="true" t="shared" si="0" ref="F7:F20">E7/D7*100</f>
        <v>88.50588614739559</v>
      </c>
      <c r="G7" s="11">
        <f>SUM(G8:G40)</f>
        <v>2606</v>
      </c>
      <c r="H7" s="11">
        <f>SUM(H8:H40)</f>
        <v>2145.7999999999997</v>
      </c>
      <c r="I7" s="11">
        <f aca="true" t="shared" si="1" ref="I7:I43">H7/G7*100</f>
        <v>82.34075211051419</v>
      </c>
      <c r="J7" s="11">
        <f>SUM(J8:J40)</f>
        <v>2613.6000000000004</v>
      </c>
      <c r="K7" s="11">
        <f>SUM(K8:K40)</f>
        <v>2747.2999999999997</v>
      </c>
      <c r="L7" s="11">
        <f aca="true" t="shared" si="2" ref="L7:L20">K7/J7*100</f>
        <v>105.11554943373123</v>
      </c>
      <c r="M7" s="11">
        <f>SUM(M8:M40)</f>
        <v>7699.999999999999</v>
      </c>
      <c r="N7" s="11">
        <f>SUM(N8:N40)</f>
        <v>7088.4</v>
      </c>
      <c r="O7" s="11">
        <f>N7/M7*100</f>
        <v>92.05714285714286</v>
      </c>
      <c r="P7" s="11">
        <f>SUM(P8:P40)</f>
        <v>2473.7999999999997</v>
      </c>
      <c r="Q7" s="11">
        <f>SUM(Q8:Q40)</f>
        <v>2045.3</v>
      </c>
      <c r="R7" s="11">
        <f aca="true" t="shared" si="3" ref="R7:R20">Q7/P7*100</f>
        <v>82.67847036947208</v>
      </c>
      <c r="S7" s="11">
        <f>SUM(S8:S40)</f>
        <v>2436.2000000000003</v>
      </c>
      <c r="T7" s="11">
        <f>SUM(T8:T40)</f>
        <v>2453.2000000000003</v>
      </c>
      <c r="U7" s="11">
        <f aca="true" t="shared" si="4" ref="U7:U20">T7/S7*100</f>
        <v>100.6978080617355</v>
      </c>
      <c r="V7" s="67">
        <f>SUM(V8:V40)</f>
        <v>12609.999999999998</v>
      </c>
      <c r="W7" s="67">
        <f>SUM(W8:W40)</f>
        <v>11586.9</v>
      </c>
      <c r="X7" s="11">
        <f aca="true" t="shared" si="5" ref="X7:X42">W7/V7*100</f>
        <v>91.88659793814435</v>
      </c>
      <c r="Y7" s="67">
        <f>SUM(Y8:Y40)</f>
        <v>1023.1000000000009</v>
      </c>
      <c r="Z7" s="67">
        <f>SUM(Z8:Z40)</f>
        <v>5006.000000000001</v>
      </c>
      <c r="AA7" s="27">
        <f>SUM(Y8:Y40)</f>
        <v>1023.1000000000009</v>
      </c>
      <c r="AB7" s="27">
        <f>SUM(Z8:Z40)</f>
        <v>5006.000000000001</v>
      </c>
    </row>
    <row r="8" spans="1:26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6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72">
        <f aca="true" t="shared" si="7" ref="V8:V40">M8+P8+S8</f>
        <v>879.9000000000001</v>
      </c>
      <c r="W8" s="72">
        <f aca="true" t="shared" si="8" ref="W8:W40">N8+Q8+T8</f>
        <v>842.3</v>
      </c>
      <c r="X8" s="11">
        <f t="shared" si="5"/>
        <v>95.72678713490168</v>
      </c>
      <c r="Y8" s="72">
        <f>V8-W8</f>
        <v>37.600000000000136</v>
      </c>
      <c r="Z8" s="18">
        <f>C8+V8-W8</f>
        <v>92.70000000000016</v>
      </c>
    </row>
    <row r="9" spans="1:26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9" ref="M9:M42">D9+G9+J9</f>
        <v>30.900000000000002</v>
      </c>
      <c r="N9" s="89">
        <f aca="true" t="shared" si="10" ref="N9:N42">E9+H9+K9</f>
        <v>29</v>
      </c>
      <c r="O9" s="11">
        <f t="shared" si="6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72">
        <f t="shared" si="7"/>
        <v>51.7</v>
      </c>
      <c r="W9" s="72">
        <f t="shared" si="8"/>
        <v>52.4</v>
      </c>
      <c r="X9" s="11">
        <f t="shared" si="5"/>
        <v>101.35396518375242</v>
      </c>
      <c r="Y9" s="72">
        <f aca="true" t="shared" si="11" ref="Y9:Y28">V9-W9</f>
        <v>-0.6999999999999957</v>
      </c>
      <c r="Z9" s="18">
        <f aca="true" t="shared" si="12" ref="Z9:Z28">C9+V9-W9</f>
        <v>4.500000000000007</v>
      </c>
    </row>
    <row r="10" spans="1:26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9"/>
        <v>2.8</v>
      </c>
      <c r="N10" s="89">
        <f t="shared" si="10"/>
        <v>2.9</v>
      </c>
      <c r="O10" s="11">
        <f t="shared" si="6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72">
        <f t="shared" si="7"/>
        <v>4.3</v>
      </c>
      <c r="W10" s="72">
        <f t="shared" si="8"/>
        <v>4.8</v>
      </c>
      <c r="X10" s="11">
        <f t="shared" si="5"/>
        <v>111.62790697674419</v>
      </c>
      <c r="Y10" s="72">
        <f t="shared" si="11"/>
        <v>-0.5</v>
      </c>
      <c r="Z10" s="18">
        <f t="shared" si="12"/>
        <v>0</v>
      </c>
    </row>
    <row r="11" spans="1:26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9"/>
        <v>239</v>
      </c>
      <c r="N11" s="89">
        <f t="shared" si="10"/>
        <v>204.5</v>
      </c>
      <c r="O11" s="11">
        <f t="shared" si="6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72">
        <f t="shared" si="7"/>
        <v>393.70000000000005</v>
      </c>
      <c r="W11" s="72">
        <f t="shared" si="8"/>
        <v>415.4</v>
      </c>
      <c r="X11" s="11">
        <f t="shared" si="5"/>
        <v>105.51181102362204</v>
      </c>
      <c r="Y11" s="72">
        <f t="shared" si="11"/>
        <v>-21.699999999999932</v>
      </c>
      <c r="Z11" s="18">
        <f t="shared" si="12"/>
        <v>-14.599999999999909</v>
      </c>
    </row>
    <row r="12" spans="1:26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9"/>
        <v>44.7</v>
      </c>
      <c r="N12" s="89">
        <f t="shared" si="10"/>
        <v>44.9</v>
      </c>
      <c r="O12" s="11">
        <f t="shared" si="6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72">
        <f t="shared" si="7"/>
        <v>66.60000000000001</v>
      </c>
      <c r="W12" s="72">
        <f t="shared" si="8"/>
        <v>64.2</v>
      </c>
      <c r="X12" s="11">
        <f t="shared" si="5"/>
        <v>96.39639639639638</v>
      </c>
      <c r="Y12" s="72">
        <f t="shared" si="11"/>
        <v>2.4000000000000057</v>
      </c>
      <c r="Z12" s="18">
        <f t="shared" si="12"/>
        <v>37.7</v>
      </c>
    </row>
    <row r="13" spans="1:26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9"/>
        <v>98.69999999999999</v>
      </c>
      <c r="N13" s="89">
        <f t="shared" si="10"/>
        <v>92.89999999999999</v>
      </c>
      <c r="O13" s="11">
        <f t="shared" si="6"/>
        <v>94.12360688956434</v>
      </c>
      <c r="P13" s="44">
        <v>30.6</v>
      </c>
      <c r="Q13" s="44">
        <v>39.7</v>
      </c>
      <c r="R13" s="149">
        <f t="shared" si="3"/>
        <v>129.73856209150327</v>
      </c>
      <c r="S13" s="44">
        <v>32.4</v>
      </c>
      <c r="T13" s="44">
        <v>32</v>
      </c>
      <c r="U13" s="149">
        <f t="shared" si="4"/>
        <v>98.76543209876544</v>
      </c>
      <c r="V13" s="72">
        <f t="shared" si="7"/>
        <v>161.7</v>
      </c>
      <c r="W13" s="72">
        <f t="shared" si="8"/>
        <v>164.6</v>
      </c>
      <c r="X13" s="11">
        <f t="shared" si="5"/>
        <v>101.7934446505875</v>
      </c>
      <c r="Y13" s="72">
        <f t="shared" si="11"/>
        <v>-2.9000000000000057</v>
      </c>
      <c r="Z13" s="18">
        <f t="shared" si="12"/>
        <v>34.19999999999999</v>
      </c>
    </row>
    <row r="14" spans="1:26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9"/>
        <v>15.1</v>
      </c>
      <c r="N14" s="89">
        <f t="shared" si="10"/>
        <v>15.399999999999999</v>
      </c>
      <c r="O14" s="11">
        <f t="shared" si="6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72">
        <f t="shared" si="7"/>
        <v>31.099999999999998</v>
      </c>
      <c r="W14" s="72">
        <f t="shared" si="8"/>
        <v>31.1</v>
      </c>
      <c r="X14" s="11">
        <f t="shared" si="5"/>
        <v>100.00000000000003</v>
      </c>
      <c r="Y14" s="72">
        <f t="shared" si="11"/>
        <v>0</v>
      </c>
      <c r="Z14" s="18">
        <f t="shared" si="12"/>
        <v>-0.30000000000000426</v>
      </c>
    </row>
    <row r="15" spans="1:26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9"/>
        <v>146.1</v>
      </c>
      <c r="N15" s="89">
        <f t="shared" si="10"/>
        <v>160</v>
      </c>
      <c r="O15" s="11">
        <f t="shared" si="6"/>
        <v>109.51403148528405</v>
      </c>
      <c r="P15" s="44">
        <v>51.8</v>
      </c>
      <c r="Q15" s="44">
        <v>48.8</v>
      </c>
      <c r="R15" s="149">
        <f t="shared" si="3"/>
        <v>94.20849420849422</v>
      </c>
      <c r="S15" s="44">
        <v>33.1</v>
      </c>
      <c r="T15" s="44">
        <v>49.9</v>
      </c>
      <c r="U15" s="149">
        <f t="shared" si="4"/>
        <v>150.75528700906344</v>
      </c>
      <c r="V15" s="72">
        <f t="shared" si="7"/>
        <v>230.99999999999997</v>
      </c>
      <c r="W15" s="72">
        <f t="shared" si="8"/>
        <v>258.7</v>
      </c>
      <c r="X15" s="11">
        <f t="shared" si="5"/>
        <v>111.991341991342</v>
      </c>
      <c r="Y15" s="72">
        <f t="shared" si="11"/>
        <v>-27.700000000000017</v>
      </c>
      <c r="Z15" s="18">
        <f t="shared" si="12"/>
        <v>78.89999999999998</v>
      </c>
    </row>
    <row r="16" spans="1:26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9"/>
        <v>3.0999999999999996</v>
      </c>
      <c r="N16" s="89">
        <f t="shared" si="10"/>
        <v>3.1</v>
      </c>
      <c r="O16" s="11">
        <f t="shared" si="6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72">
        <f t="shared" si="7"/>
        <v>5.6</v>
      </c>
      <c r="W16" s="72">
        <f t="shared" si="8"/>
        <v>5.6</v>
      </c>
      <c r="X16" s="11">
        <f t="shared" si="5"/>
        <v>100</v>
      </c>
      <c r="Y16" s="72">
        <f t="shared" si="11"/>
        <v>0</v>
      </c>
      <c r="Z16" s="18">
        <f t="shared" si="12"/>
        <v>1.2999999999999998</v>
      </c>
    </row>
    <row r="17" spans="1:26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9"/>
        <v>457.6</v>
      </c>
      <c r="N17" s="89">
        <f t="shared" si="10"/>
        <v>465</v>
      </c>
      <c r="O17" s="11">
        <f t="shared" si="6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72">
        <f t="shared" si="7"/>
        <v>789.2</v>
      </c>
      <c r="W17" s="72">
        <f t="shared" si="8"/>
        <v>607.4</v>
      </c>
      <c r="X17" s="11">
        <f t="shared" si="5"/>
        <v>76.9640141915864</v>
      </c>
      <c r="Y17" s="72">
        <f t="shared" si="11"/>
        <v>181.80000000000007</v>
      </c>
      <c r="Z17" s="18">
        <f t="shared" si="12"/>
        <v>1784.6999999999998</v>
      </c>
    </row>
    <row r="18" spans="1:26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9"/>
        <v>29.3</v>
      </c>
      <c r="N18" s="89">
        <f t="shared" si="10"/>
        <v>31.5</v>
      </c>
      <c r="O18" s="11">
        <f t="shared" si="6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72">
        <f t="shared" si="7"/>
        <v>55.2</v>
      </c>
      <c r="W18" s="72">
        <f t="shared" si="8"/>
        <v>55.4</v>
      </c>
      <c r="X18" s="11">
        <f t="shared" si="5"/>
        <v>100.36231884057972</v>
      </c>
      <c r="Y18" s="72">
        <f t="shared" si="11"/>
        <v>-0.19999999999999574</v>
      </c>
      <c r="Z18" s="18">
        <f t="shared" si="12"/>
        <v>5.600000000000001</v>
      </c>
    </row>
    <row r="19" spans="1:26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9"/>
        <v>527.6</v>
      </c>
      <c r="N19" s="89">
        <f t="shared" si="10"/>
        <v>535.1</v>
      </c>
      <c r="O19" s="11">
        <f t="shared" si="6"/>
        <v>101.42153146322971</v>
      </c>
      <c r="P19" s="44">
        <v>112.2</v>
      </c>
      <c r="Q19" s="44">
        <v>173.3</v>
      </c>
      <c r="R19" s="149">
        <f t="shared" si="3"/>
        <v>154.45632798573976</v>
      </c>
      <c r="S19" s="44">
        <v>162</v>
      </c>
      <c r="T19" s="44">
        <v>100.1</v>
      </c>
      <c r="U19" s="149">
        <f t="shared" si="4"/>
        <v>61.79012345679013</v>
      </c>
      <c r="V19" s="72">
        <f t="shared" si="7"/>
        <v>801.8000000000001</v>
      </c>
      <c r="W19" s="72">
        <f t="shared" si="8"/>
        <v>808.5000000000001</v>
      </c>
      <c r="X19" s="11">
        <f t="shared" si="5"/>
        <v>100.83561985532552</v>
      </c>
      <c r="Y19" s="72">
        <f t="shared" si="11"/>
        <v>-6.7000000000000455</v>
      </c>
      <c r="Z19" s="18">
        <f t="shared" si="12"/>
        <v>204.60000000000002</v>
      </c>
    </row>
    <row r="20" spans="1:26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9"/>
        <v>16</v>
      </c>
      <c r="N20" s="89">
        <f t="shared" si="10"/>
        <v>15.6</v>
      </c>
      <c r="O20" s="11">
        <f t="shared" si="6"/>
        <v>97.5</v>
      </c>
      <c r="P20" s="44">
        <v>4.4</v>
      </c>
      <c r="Q20" s="44">
        <v>4.8</v>
      </c>
      <c r="R20" s="149">
        <f t="shared" si="3"/>
        <v>109.09090909090908</v>
      </c>
      <c r="S20" s="44">
        <v>10.1</v>
      </c>
      <c r="T20" s="44">
        <v>10.8</v>
      </c>
      <c r="U20" s="149">
        <f t="shared" si="4"/>
        <v>106.93069306930694</v>
      </c>
      <c r="V20" s="72">
        <f t="shared" si="7"/>
        <v>30.5</v>
      </c>
      <c r="W20" s="72">
        <f t="shared" si="8"/>
        <v>31.2</v>
      </c>
      <c r="X20" s="11">
        <f t="shared" si="5"/>
        <v>102.29508196721311</v>
      </c>
      <c r="Y20" s="72">
        <f t="shared" si="11"/>
        <v>-0.6999999999999993</v>
      </c>
      <c r="Z20" s="18">
        <f t="shared" si="12"/>
        <v>2.400000000000002</v>
      </c>
    </row>
    <row r="21" spans="1:26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72">
        <f t="shared" si="7"/>
        <v>0</v>
      </c>
      <c r="W21" s="72">
        <f t="shared" si="8"/>
        <v>0</v>
      </c>
      <c r="X21" s="11"/>
      <c r="Y21" s="72"/>
      <c r="Z21" s="18"/>
    </row>
    <row r="22" spans="1:26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13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9"/>
        <v>19.2</v>
      </c>
      <c r="N22" s="89">
        <f t="shared" si="10"/>
        <v>15.5</v>
      </c>
      <c r="O22" s="11">
        <f t="shared" si="6"/>
        <v>80.72916666666667</v>
      </c>
      <c r="P22" s="44">
        <v>7.8</v>
      </c>
      <c r="Q22" s="44">
        <v>3.9</v>
      </c>
      <c r="R22" s="149">
        <f>Q22/P22*100</f>
        <v>50</v>
      </c>
      <c r="S22" s="44">
        <v>5.1</v>
      </c>
      <c r="T22" s="44">
        <v>5.3</v>
      </c>
      <c r="U22" s="149">
        <f>T22/S22*100</f>
        <v>103.921568627451</v>
      </c>
      <c r="V22" s="72">
        <f t="shared" si="7"/>
        <v>32.1</v>
      </c>
      <c r="W22" s="72">
        <f t="shared" si="8"/>
        <v>24.7</v>
      </c>
      <c r="X22" s="11">
        <f t="shared" si="5"/>
        <v>76.94704049844236</v>
      </c>
      <c r="Y22" s="72">
        <f t="shared" si="11"/>
        <v>7.400000000000002</v>
      </c>
      <c r="Z22" s="18">
        <f t="shared" si="12"/>
        <v>10.7</v>
      </c>
    </row>
    <row r="23" spans="1:26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13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9"/>
        <v>16.8</v>
      </c>
      <c r="N23" s="89">
        <f t="shared" si="10"/>
        <v>18.3</v>
      </c>
      <c r="O23" s="11">
        <f t="shared" si="6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72">
        <f t="shared" si="7"/>
        <v>31.5</v>
      </c>
      <c r="W23" s="72">
        <f t="shared" si="8"/>
        <v>28.6</v>
      </c>
      <c r="X23" s="11">
        <f t="shared" si="5"/>
        <v>90.7936507936508</v>
      </c>
      <c r="Y23" s="72">
        <f t="shared" si="11"/>
        <v>2.8999999999999986</v>
      </c>
      <c r="Z23" s="18">
        <f t="shared" si="12"/>
        <v>10.799999999999997</v>
      </c>
    </row>
    <row r="24" spans="1:26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13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9"/>
        <v>339.79999999999995</v>
      </c>
      <c r="N24" s="89">
        <f t="shared" si="10"/>
        <v>328.1</v>
      </c>
      <c r="O24" s="11">
        <f t="shared" si="6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72">
        <f t="shared" si="7"/>
        <v>558.3</v>
      </c>
      <c r="W24" s="72">
        <f t="shared" si="8"/>
        <v>542.6</v>
      </c>
      <c r="X24" s="11">
        <f t="shared" si="5"/>
        <v>97.1878918144367</v>
      </c>
      <c r="Y24" s="72">
        <f t="shared" si="11"/>
        <v>15.699999999999932</v>
      </c>
      <c r="Z24" s="18">
        <f t="shared" si="12"/>
        <v>16.999999999999886</v>
      </c>
    </row>
    <row r="25" spans="1:26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13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9"/>
        <v>46.3</v>
      </c>
      <c r="N25" s="89">
        <f t="shared" si="10"/>
        <v>42.1</v>
      </c>
      <c r="O25" s="11">
        <f t="shared" si="6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72">
        <f t="shared" si="7"/>
        <v>85.19999999999999</v>
      </c>
      <c r="W25" s="72">
        <f t="shared" si="8"/>
        <v>76.7</v>
      </c>
      <c r="X25" s="11">
        <f t="shared" si="5"/>
        <v>90.02347417840377</v>
      </c>
      <c r="Y25" s="72">
        <f t="shared" si="11"/>
        <v>8.499999999999986</v>
      </c>
      <c r="Z25" s="18">
        <f t="shared" si="12"/>
        <v>26.19999999999999</v>
      </c>
    </row>
    <row r="26" spans="1:26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13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9"/>
        <v>0.2</v>
      </c>
      <c r="N26" s="89">
        <f t="shared" si="10"/>
        <v>0.30000000000000004</v>
      </c>
      <c r="O26" s="11">
        <f t="shared" si="6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72">
        <f t="shared" si="7"/>
        <v>0.7999999999999999</v>
      </c>
      <c r="W26" s="72">
        <f t="shared" si="8"/>
        <v>1</v>
      </c>
      <c r="X26" s="11">
        <f t="shared" si="5"/>
        <v>125</v>
      </c>
      <c r="Y26" s="72">
        <f t="shared" si="11"/>
        <v>-0.20000000000000007</v>
      </c>
      <c r="Z26" s="18">
        <f t="shared" si="12"/>
        <v>0.5</v>
      </c>
    </row>
    <row r="27" spans="1:26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13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9"/>
        <v>29.5</v>
      </c>
      <c r="N27" s="89">
        <f t="shared" si="10"/>
        <v>29.5</v>
      </c>
      <c r="O27" s="11">
        <f t="shared" si="6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72">
        <f t="shared" si="7"/>
        <v>45.1</v>
      </c>
      <c r="W27" s="72">
        <f t="shared" si="8"/>
        <v>45.1</v>
      </c>
      <c r="X27" s="11">
        <f t="shared" si="5"/>
        <v>100</v>
      </c>
      <c r="Y27" s="72">
        <f t="shared" si="11"/>
        <v>0</v>
      </c>
      <c r="Z27" s="18">
        <f t="shared" si="12"/>
        <v>0</v>
      </c>
    </row>
    <row r="28" spans="1:26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13"/>
        <v>116.25207296849086</v>
      </c>
      <c r="G28" s="44">
        <v>44.5</v>
      </c>
      <c r="H28" s="44">
        <v>47</v>
      </c>
      <c r="I28" s="11">
        <v>0</v>
      </c>
      <c r="J28" s="44">
        <v>58.1</v>
      </c>
      <c r="K28" s="44">
        <v>47.2</v>
      </c>
      <c r="L28" s="11">
        <v>0</v>
      </c>
      <c r="M28" s="89">
        <f t="shared" si="9"/>
        <v>162.9</v>
      </c>
      <c r="N28" s="89">
        <f t="shared" si="10"/>
        <v>164.3</v>
      </c>
      <c r="O28" s="11">
        <f t="shared" si="6"/>
        <v>100.85942295887047</v>
      </c>
      <c r="P28" s="44">
        <v>74</v>
      </c>
      <c r="Q28" s="44">
        <v>87</v>
      </c>
      <c r="R28" s="11">
        <v>0</v>
      </c>
      <c r="S28" s="44">
        <v>40.6</v>
      </c>
      <c r="T28" s="44">
        <v>23.8</v>
      </c>
      <c r="U28" s="11">
        <v>0</v>
      </c>
      <c r="V28" s="72">
        <f t="shared" si="7"/>
        <v>277.5</v>
      </c>
      <c r="W28" s="72">
        <f t="shared" si="8"/>
        <v>275.1</v>
      </c>
      <c r="X28" s="11">
        <f t="shared" si="5"/>
        <v>99.13513513513514</v>
      </c>
      <c r="Y28" s="72">
        <f t="shared" si="11"/>
        <v>2.3999999999999773</v>
      </c>
      <c r="Z28" s="18">
        <f t="shared" si="12"/>
        <v>67.5</v>
      </c>
    </row>
    <row r="29" spans="1:26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2">
        <f t="shared" si="7"/>
        <v>0</v>
      </c>
      <c r="W29" s="72">
        <f t="shared" si="8"/>
        <v>0</v>
      </c>
      <c r="X29" s="77"/>
      <c r="Y29" s="77"/>
      <c r="Z29" s="77"/>
    </row>
    <row r="30" spans="1:26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14" ref="L30:L42">K30/J30*100</f>
        <v>105.26315789473684</v>
      </c>
      <c r="M30" s="89">
        <f t="shared" si="9"/>
        <v>68.6</v>
      </c>
      <c r="N30" s="89">
        <f t="shared" si="10"/>
        <v>62.7</v>
      </c>
      <c r="O30" s="11">
        <f t="shared" si="6"/>
        <v>91.399416909621</v>
      </c>
      <c r="P30" s="44">
        <v>23.6</v>
      </c>
      <c r="Q30" s="44">
        <v>20</v>
      </c>
      <c r="R30" s="149">
        <f aca="true" t="shared" si="15" ref="R30:R43">Q30/P30*100</f>
        <v>84.7457627118644</v>
      </c>
      <c r="S30" s="44">
        <v>23.1</v>
      </c>
      <c r="T30" s="44">
        <v>22.6</v>
      </c>
      <c r="U30" s="149">
        <f aca="true" t="shared" si="16" ref="U30:U43">T30/S30*100</f>
        <v>97.83549783549783</v>
      </c>
      <c r="V30" s="72">
        <f t="shared" si="7"/>
        <v>115.29999999999998</v>
      </c>
      <c r="W30" s="72">
        <f t="shared" si="8"/>
        <v>105.30000000000001</v>
      </c>
      <c r="X30" s="11">
        <f t="shared" si="5"/>
        <v>91.32697311361667</v>
      </c>
      <c r="Y30" s="72">
        <f aca="true" t="shared" si="17" ref="Y30:Y42">V30-W30</f>
        <v>9.999999999999972</v>
      </c>
      <c r="Z30" s="18">
        <f aca="true" t="shared" si="18" ref="Z30:Z40">C30+V30-W30</f>
        <v>10.899999999999977</v>
      </c>
    </row>
    <row r="31" spans="1:26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14"/>
        <v>121.24999999999999</v>
      </c>
      <c r="M31" s="89">
        <f t="shared" si="9"/>
        <v>23.1</v>
      </c>
      <c r="N31" s="89">
        <f t="shared" si="10"/>
        <v>22.9</v>
      </c>
      <c r="O31" s="11">
        <f t="shared" si="6"/>
        <v>99.13419913419912</v>
      </c>
      <c r="P31" s="44">
        <v>8.7</v>
      </c>
      <c r="Q31" s="44">
        <v>7.3</v>
      </c>
      <c r="R31" s="11">
        <f t="shared" si="15"/>
        <v>83.9080459770115</v>
      </c>
      <c r="S31" s="44">
        <v>8.9</v>
      </c>
      <c r="T31" s="44">
        <v>10.9</v>
      </c>
      <c r="U31" s="11">
        <f t="shared" si="16"/>
        <v>122.47191011235954</v>
      </c>
      <c r="V31" s="72">
        <f t="shared" si="7"/>
        <v>40.7</v>
      </c>
      <c r="W31" s="72">
        <f t="shared" si="8"/>
        <v>41.1</v>
      </c>
      <c r="X31" s="11">
        <f t="shared" si="5"/>
        <v>100.98280098280097</v>
      </c>
      <c r="Y31" s="72">
        <f t="shared" si="17"/>
        <v>-0.3999999999999986</v>
      </c>
      <c r="Z31" s="18">
        <f t="shared" si="18"/>
        <v>1.7000000000000028</v>
      </c>
    </row>
    <row r="32" spans="1:26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14"/>
        <v>153.55648535564853</v>
      </c>
      <c r="M32" s="89">
        <f t="shared" si="9"/>
        <v>495.09999999999997</v>
      </c>
      <c r="N32" s="89">
        <f t="shared" si="10"/>
        <v>374</v>
      </c>
      <c r="O32" s="11">
        <f t="shared" si="6"/>
        <v>75.54029488992123</v>
      </c>
      <c r="P32" s="44">
        <v>197.8</v>
      </c>
      <c r="Q32" s="44">
        <v>103.2</v>
      </c>
      <c r="R32" s="11">
        <f t="shared" si="15"/>
        <v>52.17391304347826</v>
      </c>
      <c r="S32" s="44">
        <v>144.1</v>
      </c>
      <c r="T32" s="44">
        <v>250.9</v>
      </c>
      <c r="U32" s="11">
        <f t="shared" si="16"/>
        <v>174.1151977793199</v>
      </c>
      <c r="V32" s="72">
        <f t="shared" si="7"/>
        <v>837</v>
      </c>
      <c r="W32" s="72">
        <f t="shared" si="8"/>
        <v>728.1</v>
      </c>
      <c r="X32" s="11">
        <f t="shared" si="5"/>
        <v>86.98924731182795</v>
      </c>
      <c r="Y32" s="72">
        <f t="shared" si="17"/>
        <v>108.89999999999998</v>
      </c>
      <c r="Z32" s="18">
        <f t="shared" si="18"/>
        <v>486.69999999999993</v>
      </c>
    </row>
    <row r="33" spans="1:26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14"/>
        <v>29.205069124423964</v>
      </c>
      <c r="M33" s="89">
        <f t="shared" si="9"/>
        <v>518.2</v>
      </c>
      <c r="N33" s="89">
        <f t="shared" si="10"/>
        <v>280</v>
      </c>
      <c r="O33" s="11">
        <f t="shared" si="6"/>
        <v>54.033191817830954</v>
      </c>
      <c r="P33" s="44">
        <v>178.3</v>
      </c>
      <c r="Q33" s="44">
        <v>39.2</v>
      </c>
      <c r="R33" s="11">
        <f t="shared" si="15"/>
        <v>21.985417835109367</v>
      </c>
      <c r="S33" s="44">
        <v>169.4</v>
      </c>
      <c r="T33" s="44">
        <v>170.5</v>
      </c>
      <c r="U33" s="11">
        <f t="shared" si="16"/>
        <v>100.64935064935065</v>
      </c>
      <c r="V33" s="72">
        <f t="shared" si="7"/>
        <v>865.9</v>
      </c>
      <c r="W33" s="72">
        <f t="shared" si="8"/>
        <v>489.7</v>
      </c>
      <c r="X33" s="11">
        <f t="shared" si="5"/>
        <v>56.55387458136043</v>
      </c>
      <c r="Y33" s="72">
        <f t="shared" si="17"/>
        <v>376.2</v>
      </c>
      <c r="Z33" s="18">
        <f t="shared" si="18"/>
        <v>552.2</v>
      </c>
    </row>
    <row r="34" spans="1:26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19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14"/>
        <v>74</v>
      </c>
      <c r="M34" s="89">
        <f t="shared" si="9"/>
        <v>13.2</v>
      </c>
      <c r="N34" s="89">
        <f t="shared" si="10"/>
        <v>14.8</v>
      </c>
      <c r="O34" s="11">
        <f t="shared" si="6"/>
        <v>112.12121212121214</v>
      </c>
      <c r="P34" s="44">
        <v>4.8</v>
      </c>
      <c r="Q34" s="44">
        <v>4.6</v>
      </c>
      <c r="R34" s="149">
        <f t="shared" si="15"/>
        <v>95.83333333333333</v>
      </c>
      <c r="S34" s="44">
        <v>5.9</v>
      </c>
      <c r="T34" s="44">
        <v>5.2</v>
      </c>
      <c r="U34" s="149">
        <f t="shared" si="16"/>
        <v>88.13559322033898</v>
      </c>
      <c r="V34" s="72">
        <f t="shared" si="7"/>
        <v>23.9</v>
      </c>
      <c r="W34" s="72">
        <f t="shared" si="8"/>
        <v>24.599999999999998</v>
      </c>
      <c r="X34" s="11">
        <f t="shared" si="5"/>
        <v>102.92887029288703</v>
      </c>
      <c r="Y34" s="72">
        <f t="shared" si="17"/>
        <v>-0.6999999999999993</v>
      </c>
      <c r="Z34" s="18">
        <f t="shared" si="18"/>
        <v>7.9999999999999964</v>
      </c>
    </row>
    <row r="35" spans="1:26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19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14"/>
        <v>143.75510204081633</v>
      </c>
      <c r="M35" s="89">
        <f t="shared" si="9"/>
        <v>422.4</v>
      </c>
      <c r="N35" s="89">
        <f t="shared" si="10"/>
        <v>443.70000000000005</v>
      </c>
      <c r="O35" s="11">
        <f t="shared" si="6"/>
        <v>105.04261363636364</v>
      </c>
      <c r="P35" s="44">
        <v>128.5</v>
      </c>
      <c r="Q35" s="44">
        <v>113.2</v>
      </c>
      <c r="R35" s="11">
        <f t="shared" si="15"/>
        <v>88.09338521400778</v>
      </c>
      <c r="S35" s="44">
        <v>168.2</v>
      </c>
      <c r="T35" s="44">
        <v>197</v>
      </c>
      <c r="U35" s="11">
        <f t="shared" si="16"/>
        <v>117.12247324613556</v>
      </c>
      <c r="V35" s="72">
        <f t="shared" si="7"/>
        <v>719.0999999999999</v>
      </c>
      <c r="W35" s="72">
        <f t="shared" si="8"/>
        <v>753.9000000000001</v>
      </c>
      <c r="X35" s="11">
        <f t="shared" si="5"/>
        <v>104.83938256153529</v>
      </c>
      <c r="Y35" s="72">
        <f t="shared" si="17"/>
        <v>-34.80000000000018</v>
      </c>
      <c r="Z35" s="18">
        <f t="shared" si="18"/>
        <v>73.0999999999998</v>
      </c>
    </row>
    <row r="36" spans="1:26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408.9+2.8</f>
        <v>411.7</v>
      </c>
      <c r="F36" s="11">
        <f t="shared" si="19"/>
        <v>66.76938047356471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14"/>
        <v>99.400399733511</v>
      </c>
      <c r="M36" s="89">
        <f t="shared" si="9"/>
        <v>1761.4</v>
      </c>
      <c r="N36" s="89">
        <f t="shared" si="10"/>
        <v>1466.6</v>
      </c>
      <c r="O36" s="11">
        <f t="shared" si="6"/>
        <v>83.26331327353242</v>
      </c>
      <c r="P36" s="44">
        <f>509.5+4.7</f>
        <v>514.2</v>
      </c>
      <c r="Q36" s="44">
        <f>318.3+2.7</f>
        <v>321</v>
      </c>
      <c r="R36" s="11">
        <f t="shared" si="15"/>
        <v>62.427071178529744</v>
      </c>
      <c r="S36" s="44">
        <f>470.9+2.4</f>
        <v>473.29999999999995</v>
      </c>
      <c r="T36" s="44">
        <f>489.3+4.8</f>
        <v>494.1</v>
      </c>
      <c r="U36" s="11">
        <f t="shared" si="16"/>
        <v>104.39467568138603</v>
      </c>
      <c r="V36" s="72">
        <f t="shared" si="7"/>
        <v>2748.9000000000005</v>
      </c>
      <c r="W36" s="72">
        <f t="shared" si="8"/>
        <v>2281.7</v>
      </c>
      <c r="X36" s="11">
        <f t="shared" si="5"/>
        <v>83.00411073520316</v>
      </c>
      <c r="Y36" s="72">
        <f t="shared" si="17"/>
        <v>467.2000000000007</v>
      </c>
      <c r="Z36" s="18">
        <f t="shared" si="18"/>
        <v>938.0000000000009</v>
      </c>
    </row>
    <row r="37" spans="1:26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19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14"/>
        <v>145.16327788046826</v>
      </c>
      <c r="M37" s="89">
        <f t="shared" si="9"/>
        <v>503.8</v>
      </c>
      <c r="N37" s="89">
        <f t="shared" si="10"/>
        <v>621.9</v>
      </c>
      <c r="O37" s="11">
        <f t="shared" si="6"/>
        <v>123.44184200079395</v>
      </c>
      <c r="P37" s="44">
        <v>173.8</v>
      </c>
      <c r="Q37" s="44">
        <v>137</v>
      </c>
      <c r="R37" s="11">
        <f t="shared" si="15"/>
        <v>78.82623705408514</v>
      </c>
      <c r="S37" s="44">
        <v>174.1</v>
      </c>
      <c r="T37" s="44">
        <v>240.8</v>
      </c>
      <c r="U37" s="11">
        <f t="shared" si="16"/>
        <v>138.3113153360138</v>
      </c>
      <c r="V37" s="72">
        <f t="shared" si="7"/>
        <v>851.7</v>
      </c>
      <c r="W37" s="72">
        <f t="shared" si="8"/>
        <v>999.7</v>
      </c>
      <c r="X37" s="11">
        <f t="shared" si="5"/>
        <v>117.37701068451332</v>
      </c>
      <c r="Y37" s="72">
        <f t="shared" si="17"/>
        <v>-148</v>
      </c>
      <c r="Z37" s="18">
        <f t="shared" si="18"/>
        <v>167</v>
      </c>
    </row>
    <row r="38" spans="1:26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19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14"/>
        <v>98.82739212007505</v>
      </c>
      <c r="M38" s="89">
        <f t="shared" si="9"/>
        <v>594.4000000000001</v>
      </c>
      <c r="N38" s="89">
        <f t="shared" si="10"/>
        <v>598.0999999999999</v>
      </c>
      <c r="O38" s="11">
        <f t="shared" si="6"/>
        <v>100.62247644683711</v>
      </c>
      <c r="P38" s="44">
        <v>183.1</v>
      </c>
      <c r="Q38" s="44">
        <v>201</v>
      </c>
      <c r="R38" s="11">
        <f t="shared" si="15"/>
        <v>109.77607864554888</v>
      </c>
      <c r="S38" s="44">
        <v>193.3</v>
      </c>
      <c r="T38" s="44">
        <v>213.8</v>
      </c>
      <c r="U38" s="11">
        <f t="shared" si="16"/>
        <v>110.6052767718572</v>
      </c>
      <c r="V38" s="72">
        <f t="shared" si="7"/>
        <v>970.8000000000002</v>
      </c>
      <c r="W38" s="72">
        <f t="shared" si="8"/>
        <v>1012.8999999999999</v>
      </c>
      <c r="X38" s="11">
        <f t="shared" si="5"/>
        <v>104.33662958384832</v>
      </c>
      <c r="Y38" s="72">
        <f t="shared" si="17"/>
        <v>-42.09999999999968</v>
      </c>
      <c r="Z38" s="18">
        <f t="shared" si="18"/>
        <v>138.90000000000032</v>
      </c>
    </row>
    <row r="39" spans="1:26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19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14"/>
        <v>106.9425901201602</v>
      </c>
      <c r="M39" s="89">
        <f t="shared" si="9"/>
        <v>218.4</v>
      </c>
      <c r="N39" s="89">
        <f t="shared" si="10"/>
        <v>177.39999999999998</v>
      </c>
      <c r="O39" s="11">
        <f t="shared" si="6"/>
        <v>81.22710622710622</v>
      </c>
      <c r="P39" s="44">
        <v>69.1</v>
      </c>
      <c r="Q39" s="44">
        <v>49.2</v>
      </c>
      <c r="R39" s="149">
        <f t="shared" si="15"/>
        <v>71.20115774240232</v>
      </c>
      <c r="S39" s="44">
        <v>64.1</v>
      </c>
      <c r="T39" s="44">
        <v>58.3</v>
      </c>
      <c r="U39" s="149">
        <f t="shared" si="16"/>
        <v>90.95163806552262</v>
      </c>
      <c r="V39" s="72">
        <f t="shared" si="7"/>
        <v>351.6</v>
      </c>
      <c r="W39" s="72">
        <f t="shared" si="8"/>
        <v>284.9</v>
      </c>
      <c r="X39" s="11">
        <f t="shared" si="5"/>
        <v>81.02957906712172</v>
      </c>
      <c r="Y39" s="72">
        <f t="shared" si="17"/>
        <v>66.70000000000005</v>
      </c>
      <c r="Z39" s="18">
        <f t="shared" si="18"/>
        <v>105.80000000000007</v>
      </c>
    </row>
    <row r="40" spans="1:26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19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14"/>
        <v>83.34642576590731</v>
      </c>
      <c r="M40" s="89">
        <f t="shared" si="9"/>
        <v>334.2</v>
      </c>
      <c r="N40" s="89">
        <f t="shared" si="10"/>
        <v>321.6</v>
      </c>
      <c r="O40" s="11">
        <f t="shared" si="6"/>
        <v>96.229802513465</v>
      </c>
      <c r="P40" s="44">
        <v>102.7</v>
      </c>
      <c r="Q40" s="44">
        <v>126</v>
      </c>
      <c r="R40" s="149">
        <f t="shared" si="15"/>
        <v>122.68743914313534</v>
      </c>
      <c r="S40" s="44">
        <v>115.4</v>
      </c>
      <c r="T40" s="44">
        <v>82</v>
      </c>
      <c r="U40" s="149">
        <f t="shared" si="16"/>
        <v>71.05719237435008</v>
      </c>
      <c r="V40" s="72">
        <f t="shared" si="7"/>
        <v>552.3</v>
      </c>
      <c r="W40" s="72">
        <f t="shared" si="8"/>
        <v>529.6</v>
      </c>
      <c r="X40" s="11">
        <f t="shared" si="5"/>
        <v>95.88991490132176</v>
      </c>
      <c r="Y40" s="72">
        <f t="shared" si="17"/>
        <v>22.699999999999932</v>
      </c>
      <c r="Z40" s="18">
        <f t="shared" si="18"/>
        <v>159.29999999999995</v>
      </c>
    </row>
    <row r="41" spans="1:26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19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6"/>
        <v>47.876646257984746</v>
      </c>
      <c r="P41" s="18">
        <f>SUM(P42:P42)</f>
        <v>27736.2</v>
      </c>
      <c r="Q41" s="18">
        <f>SUM(Q42:Q42)</f>
        <v>17344.9</v>
      </c>
      <c r="R41" s="11">
        <f t="shared" si="15"/>
        <v>62.535242751350225</v>
      </c>
      <c r="S41" s="18">
        <f>SUM(S42:S42)</f>
        <v>24287.1</v>
      </c>
      <c r="T41" s="18">
        <f>SUM(T42:T42)</f>
        <v>32591.9</v>
      </c>
      <c r="U41" s="11">
        <f t="shared" si="16"/>
        <v>134.19428420848928</v>
      </c>
      <c r="V41" s="149">
        <f>V42</f>
        <v>142524</v>
      </c>
      <c r="W41" s="149">
        <f>W42</f>
        <v>93265.5</v>
      </c>
      <c r="X41" s="11">
        <f t="shared" si="5"/>
        <v>65.43845247116276</v>
      </c>
      <c r="Y41" s="18">
        <f>SUM(Y42:Y42)</f>
        <v>49258.5</v>
      </c>
      <c r="Z41" s="18">
        <f>SUM(Z42:Z42)</f>
        <v>443127.9</v>
      </c>
    </row>
    <row r="42" spans="1:26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19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14"/>
        <v>59.62011104341099</v>
      </c>
      <c r="M42" s="89">
        <f t="shared" si="9"/>
        <v>90500.7</v>
      </c>
      <c r="N42" s="89">
        <f t="shared" si="10"/>
        <v>43328.7</v>
      </c>
      <c r="O42" s="11">
        <f t="shared" si="6"/>
        <v>47.876646257984746</v>
      </c>
      <c r="P42" s="44">
        <v>27736.2</v>
      </c>
      <c r="Q42" s="44">
        <v>17344.9</v>
      </c>
      <c r="R42" s="11">
        <f t="shared" si="15"/>
        <v>62.535242751350225</v>
      </c>
      <c r="S42" s="44">
        <v>24287.1</v>
      </c>
      <c r="T42" s="44">
        <v>32591.9</v>
      </c>
      <c r="U42" s="11">
        <f t="shared" si="16"/>
        <v>134.19428420848928</v>
      </c>
      <c r="V42" s="72">
        <f>M42+P42+S42</f>
        <v>142524</v>
      </c>
      <c r="W42" s="72">
        <f>N42+Q42+T42</f>
        <v>93265.5</v>
      </c>
      <c r="X42" s="11">
        <f t="shared" si="5"/>
        <v>65.43845247116276</v>
      </c>
      <c r="Y42" s="72">
        <f t="shared" si="17"/>
        <v>49258.5</v>
      </c>
      <c r="Z42" s="18">
        <f>C42+V42-W42</f>
        <v>443127.9</v>
      </c>
    </row>
    <row r="43" spans="1:26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16506.4</v>
      </c>
      <c r="F43" s="11">
        <f>E43/D43*100</f>
        <v>48.62059417839491</v>
      </c>
      <c r="G43" s="18">
        <f>G7+G41</f>
        <v>32423.9</v>
      </c>
      <c r="H43" s="18">
        <f>H7+H41</f>
        <v>13746.099999999999</v>
      </c>
      <c r="I43" s="11">
        <f t="shared" si="1"/>
        <v>42.39496174118474</v>
      </c>
      <c r="J43" s="18">
        <f>J7+J41</f>
        <v>31827.4</v>
      </c>
      <c r="K43" s="18">
        <f>K7+K41</f>
        <v>20164.6</v>
      </c>
      <c r="L43" s="18">
        <f>K43/J43*100</f>
        <v>63.3561019750278</v>
      </c>
      <c r="M43" s="18">
        <f>M7+M41</f>
        <v>98200.7</v>
      </c>
      <c r="N43" s="18">
        <f>N7+N41</f>
        <v>50417.1</v>
      </c>
      <c r="O43" s="11">
        <f t="shared" si="6"/>
        <v>51.34087638886484</v>
      </c>
      <c r="P43" s="18">
        <f>P7+P41</f>
        <v>30210</v>
      </c>
      <c r="Q43" s="18">
        <f>Q7+Q41</f>
        <v>19390.2</v>
      </c>
      <c r="R43" s="11">
        <f t="shared" si="15"/>
        <v>64.18470705064549</v>
      </c>
      <c r="S43" s="18">
        <f>S7+S41</f>
        <v>26723.3</v>
      </c>
      <c r="T43" s="18">
        <f>T7+T41</f>
        <v>35045.1</v>
      </c>
      <c r="U43" s="11">
        <f t="shared" si="16"/>
        <v>131.1406151186418</v>
      </c>
      <c r="V43" s="83">
        <f>V7+V41</f>
        <v>155134</v>
      </c>
      <c r="W43" s="83">
        <f>W7+W41</f>
        <v>104852.4</v>
      </c>
      <c r="X43" s="11">
        <f>W43/V43*100</f>
        <v>67.58827852050486</v>
      </c>
      <c r="Y43" s="18">
        <f>Y7+Y41</f>
        <v>50281.6</v>
      </c>
      <c r="Z43" s="18">
        <f>Z7+Z41</f>
        <v>448133.9</v>
      </c>
    </row>
    <row r="44" spans="1:38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25"/>
      <c r="W44" s="25"/>
      <c r="X44" s="86"/>
      <c r="Y44" s="86"/>
      <c r="Z44" s="85"/>
      <c r="AA44" s="85"/>
      <c r="AB44" s="85"/>
      <c r="AC44" s="85"/>
      <c r="AD44" s="85"/>
      <c r="AE44" s="85"/>
      <c r="AF44" s="85"/>
      <c r="AG44" s="85"/>
      <c r="AH44" s="85"/>
      <c r="AI44" s="46"/>
      <c r="AJ44" s="46"/>
      <c r="AK44" s="46"/>
      <c r="AL44" s="46"/>
    </row>
    <row r="45" spans="1:38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34"/>
      <c r="W45" s="34"/>
      <c r="X45" s="61"/>
      <c r="Y45" s="177" t="s">
        <v>137</v>
      </c>
      <c r="Z45" s="178"/>
      <c r="AA45" s="28"/>
      <c r="AB45" s="28"/>
      <c r="AC45" s="28"/>
      <c r="AD45" s="28"/>
      <c r="AE45" s="28"/>
      <c r="AF45" s="27"/>
      <c r="AG45" s="6"/>
      <c r="AH45" s="6"/>
      <c r="AI45" s="29"/>
      <c r="AJ45" s="6"/>
      <c r="AL45" s="6"/>
    </row>
    <row r="46" spans="1:38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0"/>
      <c r="W46" s="40"/>
      <c r="X46" s="41"/>
      <c r="Y46" s="2"/>
      <c r="Z46" s="4" t="s">
        <v>135</v>
      </c>
      <c r="AA46" s="28"/>
      <c r="AB46" s="28"/>
      <c r="AC46" s="28"/>
      <c r="AD46" s="28"/>
      <c r="AE46" s="28"/>
      <c r="AF46" s="27"/>
      <c r="AG46" s="6"/>
      <c r="AH46" s="6"/>
      <c r="AI46" s="29"/>
      <c r="AJ46" s="6"/>
      <c r="AL46" s="6"/>
    </row>
    <row r="47" spans="1:38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Z47" s="2"/>
      <c r="AA47" s="28"/>
      <c r="AB47" s="28"/>
      <c r="AC47" s="28"/>
      <c r="AD47" s="28"/>
      <c r="AE47" s="28"/>
      <c r="AF47" s="27"/>
      <c r="AG47" s="6"/>
      <c r="AH47" s="6"/>
      <c r="AI47" s="29"/>
      <c r="AJ47" s="6"/>
      <c r="AL47" s="6"/>
    </row>
    <row r="48" spans="1:38" ht="24.75" customHeight="1">
      <c r="A48" s="2"/>
      <c r="C48" s="31"/>
      <c r="D48" s="21"/>
      <c r="E48" s="21"/>
      <c r="F48" s="28"/>
      <c r="AA48" s="129"/>
      <c r="AB48" s="21"/>
      <c r="AC48" s="21"/>
      <c r="AD48" s="21"/>
      <c r="AE48" s="21"/>
      <c r="AF48" s="21"/>
      <c r="AG48" s="7"/>
      <c r="AH48" s="7"/>
      <c r="AI48" s="32"/>
      <c r="AJ48" s="7"/>
      <c r="AL48" s="7"/>
    </row>
    <row r="49" spans="1:27" s="38" customFormat="1" ht="46.5" customHeight="1">
      <c r="A49" s="33"/>
      <c r="B49" s="168" t="s">
        <v>138</v>
      </c>
      <c r="C49" s="168"/>
      <c r="D49" s="168"/>
      <c r="E49" s="168"/>
      <c r="F49" s="168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  <c r="X49" s="12"/>
      <c r="Y49" s="2"/>
      <c r="Z49" s="2"/>
      <c r="AA49" s="37"/>
    </row>
    <row r="50" spans="1:26" ht="73.5" customHeight="1" hidden="1">
      <c r="A50" s="164" t="s">
        <v>134</v>
      </c>
      <c r="B50" s="164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  <c r="X50" s="60"/>
      <c r="Y50" s="21"/>
      <c r="Z50" s="21"/>
    </row>
    <row r="51" spans="2:26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60"/>
      <c r="Y51" s="21"/>
      <c r="Z51" s="21"/>
    </row>
    <row r="52" spans="7:26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  <c r="X52" s="60"/>
      <c r="Y52" s="21"/>
      <c r="Z52" s="21"/>
    </row>
    <row r="53" spans="2:26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  <c r="X53" s="60"/>
      <c r="Y53" s="21"/>
      <c r="Z53" s="21"/>
    </row>
    <row r="54" spans="2:26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  <c r="X54" s="60"/>
      <c r="Y54" s="21"/>
      <c r="Z54" s="21"/>
    </row>
    <row r="55" spans="2:26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  <c r="X55" s="60"/>
      <c r="Y55" s="21"/>
      <c r="Z55" s="21"/>
    </row>
    <row r="56" spans="2:26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  <c r="X56" s="60"/>
      <c r="Y56" s="21"/>
      <c r="Z56" s="21"/>
    </row>
    <row r="57" spans="2:26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  <c r="X57" s="60"/>
      <c r="Y57" s="21"/>
      <c r="Z57" s="21"/>
    </row>
    <row r="58" spans="7:26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  <c r="X58" s="60"/>
      <c r="Y58" s="21"/>
      <c r="Z58" s="21"/>
    </row>
    <row r="59" spans="7:26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  <c r="X59" s="60"/>
      <c r="Y59" s="21"/>
      <c r="Z59" s="21"/>
    </row>
    <row r="60" spans="7:26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  <c r="X60" s="60"/>
      <c r="Y60" s="21"/>
      <c r="Z60" s="21"/>
    </row>
    <row r="61" spans="7:26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  <c r="X61" s="60"/>
      <c r="Y61" s="21"/>
      <c r="Z61" s="21"/>
    </row>
    <row r="62" spans="7:26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  <c r="X62" s="60"/>
      <c r="Y62" s="21"/>
      <c r="Z62" s="21"/>
    </row>
    <row r="63" spans="7:26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  <c r="X63" s="60"/>
      <c r="Y63" s="21"/>
      <c r="Z63" s="21"/>
    </row>
    <row r="64" spans="7:26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  <c r="X64" s="60"/>
      <c r="Y64" s="21"/>
      <c r="Z64" s="21"/>
    </row>
    <row r="65" spans="7:26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  <c r="X65" s="60"/>
      <c r="Y65" s="21"/>
      <c r="Z65" s="21"/>
    </row>
    <row r="66" spans="7:26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  <c r="X66" s="60"/>
      <c r="Y66" s="21"/>
      <c r="Z66" s="21"/>
    </row>
    <row r="67" spans="7:26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  <c r="X67" s="60"/>
      <c r="Y67" s="21"/>
      <c r="Z67" s="21"/>
    </row>
    <row r="68" spans="7:26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  <c r="X68" s="60"/>
      <c r="Y68" s="21"/>
      <c r="Z68" s="21"/>
    </row>
    <row r="69" spans="7:26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  <c r="X69" s="60"/>
      <c r="Y69" s="21"/>
      <c r="Z69" s="21"/>
    </row>
    <row r="70" spans="7:26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  <c r="X70" s="60"/>
      <c r="Y70" s="21"/>
      <c r="Z70" s="21"/>
    </row>
    <row r="71" spans="7:26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  <c r="X71" s="60"/>
      <c r="Y71" s="21"/>
      <c r="Z71" s="21"/>
    </row>
    <row r="72" spans="7:26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  <c r="X72" s="60"/>
      <c r="Y72" s="21"/>
      <c r="Z72" s="21"/>
    </row>
    <row r="73" spans="7:26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  <c r="X73" s="60"/>
      <c r="Y73" s="21"/>
      <c r="Z73" s="21"/>
    </row>
    <row r="74" spans="7:26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  <c r="X74" s="60"/>
      <c r="Y74" s="21"/>
      <c r="Z74" s="21"/>
    </row>
    <row r="75" spans="7:26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  <c r="X75" s="60"/>
      <c r="Y75" s="21"/>
      <c r="Z75" s="21"/>
    </row>
    <row r="76" spans="7:26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  <c r="X76" s="60"/>
      <c r="Y76" s="21"/>
      <c r="Z76" s="21"/>
    </row>
    <row r="77" spans="7:26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  <c r="X77" s="60"/>
      <c r="Y77" s="21"/>
      <c r="Z77" s="21"/>
    </row>
    <row r="78" spans="7:26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  <c r="X78" s="60"/>
      <c r="Y78" s="21"/>
      <c r="Z78" s="21"/>
    </row>
    <row r="79" spans="7:26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  <c r="X79" s="60"/>
      <c r="Y79" s="21"/>
      <c r="Z79" s="21"/>
    </row>
    <row r="80" spans="7:26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  <c r="X80" s="60"/>
      <c r="Y80" s="21"/>
      <c r="Z80" s="21"/>
    </row>
    <row r="81" spans="7:26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  <c r="X81" s="60"/>
      <c r="Y81" s="21"/>
      <c r="Z81" s="21"/>
    </row>
    <row r="82" spans="7:26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  <c r="X82" s="60"/>
      <c r="Y82" s="21"/>
      <c r="Z82" s="21"/>
    </row>
    <row r="83" spans="7:26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  <c r="X83" s="60"/>
      <c r="Y83" s="21"/>
      <c r="Z83" s="21"/>
    </row>
    <row r="84" spans="7:26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  <c r="X84" s="60"/>
      <c r="Y84" s="21"/>
      <c r="Z84" s="21"/>
    </row>
    <row r="85" spans="7:26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  <c r="X85" s="60"/>
      <c r="Y85" s="21"/>
      <c r="Z85" s="21"/>
    </row>
    <row r="86" spans="7:26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  <c r="X86" s="60"/>
      <c r="Y86" s="21"/>
      <c r="Z86" s="21"/>
    </row>
    <row r="87" spans="7:26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  <c r="X87" s="60"/>
      <c r="Y87" s="21"/>
      <c r="Z87" s="21"/>
    </row>
    <row r="88" spans="7:26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  <c r="X88" s="60"/>
      <c r="Y88" s="21"/>
      <c r="Z88" s="21"/>
    </row>
    <row r="89" spans="7:26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  <c r="X89" s="60"/>
      <c r="Y89" s="21"/>
      <c r="Z89" s="21"/>
    </row>
    <row r="90" spans="7:26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  <c r="X90" s="60"/>
      <c r="Y90" s="21"/>
      <c r="Z90" s="21"/>
    </row>
    <row r="91" spans="7:26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  <c r="X91" s="60"/>
      <c r="Y91" s="21"/>
      <c r="Z91" s="21"/>
    </row>
    <row r="92" spans="7:26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  <c r="X92" s="60"/>
      <c r="Y92" s="21"/>
      <c r="Z92" s="21"/>
    </row>
    <row r="93" spans="7:26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  <c r="X93" s="60"/>
      <c r="Y93" s="21"/>
      <c r="Z93" s="21"/>
    </row>
    <row r="94" spans="7:26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  <c r="X94" s="60"/>
      <c r="Y94" s="21"/>
      <c r="Z94" s="21"/>
    </row>
    <row r="95" spans="7:26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  <c r="X95" s="60"/>
      <c r="Y95" s="21"/>
      <c r="Z95" s="21"/>
    </row>
  </sheetData>
  <sheetProtection/>
  <mergeCells count="16">
    <mergeCell ref="Y45:Z45"/>
    <mergeCell ref="A50:B50"/>
    <mergeCell ref="B49:F49"/>
    <mergeCell ref="M5:O5"/>
    <mergeCell ref="I1:Z1"/>
    <mergeCell ref="B2:Z2"/>
    <mergeCell ref="B3:Z3"/>
    <mergeCell ref="B4:F4"/>
    <mergeCell ref="D5:F5"/>
    <mergeCell ref="G5:I5"/>
    <mergeCell ref="J5:L5"/>
    <mergeCell ref="V5:X5"/>
    <mergeCell ref="Y5:Y6"/>
    <mergeCell ref="Z5:Z6"/>
    <mergeCell ref="S5:U5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2017-06-16T06:10:56Z</cp:lastPrinted>
  <dcterms:created xsi:type="dcterms:W3CDTF">2001-09-14T09:33:50Z</dcterms:created>
  <dcterms:modified xsi:type="dcterms:W3CDTF">2017-06-16T06:11:52Z</dcterms:modified>
  <cp:category/>
  <cp:version/>
  <cp:contentType/>
  <cp:contentStatus/>
</cp:coreProperties>
</file>