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4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'Всього'!$F$1:$F$93</definedName>
    <definedName name="_xlnm._FilterDatabase" localSheetId="5" hidden="1">'місц.-район.бюджет'!$F$1:$F$103</definedName>
    <definedName name="_xlnm.Print_Area" localSheetId="0">'Всього'!$A$1:$W$46</definedName>
    <definedName name="_xlnm.Print_Area" localSheetId="7">'госпрозрахунк.'!$A$1:$W$46</definedName>
    <definedName name="_xlnm.Print_Area" localSheetId="4">'держ.бюджет'!$A$1:$W$46</definedName>
    <definedName name="_xlnm.Print_Area" localSheetId="2">'льготи'!$A$1:$W$46</definedName>
    <definedName name="_xlnm.Print_Area" localSheetId="5">'місц.-район.бюджет'!$A$1:$W$46</definedName>
    <definedName name="_xlnm.Print_Area" localSheetId="1">'населення'!$A$1:$W$46</definedName>
    <definedName name="_xlnm.Print_Area" localSheetId="6">'обласной'!$A$1:$W$46</definedName>
    <definedName name="_xlnm.Print_Area" localSheetId="3">'субсидии'!$A$1:$W$46</definedName>
  </definedNames>
  <calcPr fullCalcOnLoad="1"/>
</workbook>
</file>

<file path=xl/sharedStrings.xml><?xml version="1.0" encoding="utf-8"?>
<sst xmlns="http://schemas.openxmlformats.org/spreadsheetml/2006/main" count="661" uniqueCount="123">
  <si>
    <t>%</t>
  </si>
  <si>
    <t>Сальдо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</si>
  <si>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</si>
  <si>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</si>
  <si>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</si>
  <si>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</si>
  <si>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</si>
  <si>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</si>
  <si>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</si>
  <si>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</si>
  <si>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</si>
  <si>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</si>
  <si>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</si>
  <si>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</si>
  <si>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</si>
  <si>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</si>
  <si>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</si>
  <si>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</si>
  <si>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</si>
  <si>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</si>
  <si>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</si>
  <si>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</si>
  <si>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</si>
  <si>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</si>
  <si>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</si>
  <si>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</si>
  <si>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</si>
  <si>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</si>
  <si>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</si>
  <si>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</si>
  <si>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</si>
  <si>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</si>
  <si>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</si>
  <si>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</si>
  <si>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</si>
  <si>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</si>
  <si>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</si>
  <si>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</si>
  <si>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</si>
  <si>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</si>
  <si>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</si>
  <si>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</si>
  <si>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</si>
  <si>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</si>
  <si>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</si>
  <si>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</si>
  <si>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</si>
  <si>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</si>
  <si>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</si>
  <si>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</si>
  <si>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</si>
  <si>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</si>
  <si>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</si>
  <si>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</si>
  <si>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</si>
  <si>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</si>
  <si>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</si>
  <si>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</si>
  <si>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</si>
  <si>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</si>
  <si>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</si>
  <si>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</si>
  <si>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</si>
  <si>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</si>
  <si>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</si>
  <si>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</si>
  <si>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</si>
  <si>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</si>
  <si>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</si>
  <si>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</si>
  <si>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</si>
  <si>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</si>
  <si>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</si>
  <si>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</si>
  <si>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</si>
  <si>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</si>
  <si>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</si>
  <si>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</si>
  <si>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 xml:space="preserve">Всего 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</si>
  <si>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</si>
  <si>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</si>
  <si>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</si>
  <si>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</si>
  <si>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</si>
  <si>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</si>
  <si>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</si>
  <si>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</si>
  <si>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</si>
  <si>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</si>
  <si>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>Состояние расчетов потребителей области</t>
  </si>
  <si>
    <t>Состояние расчетов населения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</si>
  <si>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</si>
  <si>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</si>
  <si>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</si>
  <si>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</si>
  <si>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</si>
  <si>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</si>
  <si>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Р.С. Грива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</si>
  <si>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</si>
  <si>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</si>
  <si>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</si>
  <si>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</si>
  <si>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КП ТС Харьковского района, КП "Комєнерго"</t>
  </si>
  <si>
    <t xml:space="preserve"> м.  Первомайський (Первомайське 
КП "Тепломережі")</t>
  </si>
  <si>
    <t>КП ТС Харьковского района, КП "Комэнерго"</t>
  </si>
  <si>
    <t>КП ТС Харьковского района, КП "Коменерго"</t>
  </si>
  <si>
    <t>на 01.01.2017</t>
  </si>
  <si>
    <t xml:space="preserve"> Богодуховский  р-н </t>
  </si>
  <si>
    <t xml:space="preserve"> Богодухівський  р-н </t>
  </si>
  <si>
    <t xml:space="preserve"> Богодуховский  р-н</t>
  </si>
  <si>
    <t>p</t>
  </si>
  <si>
    <t>январь</t>
  </si>
  <si>
    <t>начислено</t>
  </si>
  <si>
    <t>февраль</t>
  </si>
  <si>
    <t xml:space="preserve">с начала 2017 года </t>
  </si>
  <si>
    <t xml:space="preserve"> Коломацький р-н</t>
  </si>
  <si>
    <t xml:space="preserve">Задолженность за 2017 год по состоянию на 01.04.2017 </t>
  </si>
  <si>
    <t>март</t>
  </si>
  <si>
    <t>по оплате услуг теплоснабжения по состоянию на 01.05.2017</t>
  </si>
  <si>
    <t>апрель</t>
  </si>
  <si>
    <t xml:space="preserve">Задолженность за 2017 год по состоянию на 01.05.2017 </t>
  </si>
  <si>
    <t>Общая задолженность на 01.05.2017 (с учетом долгов прошлых лет)</t>
  </si>
  <si>
    <t>1 квартал 2017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</si>
</sst>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16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192" fontId="16" fillId="0" borderId="0" xfId="0" applyNumberFormat="1" applyFont="1" applyFill="1" applyBorder="1" applyAlignment="1">
      <alignment/>
    </xf>
    <xf numFmtId="192" fontId="3" fillId="0" borderId="13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4" fillId="0" borderId="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1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2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92" fontId="6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65" fillId="0" borderId="0" xfId="0" applyFont="1" applyFill="1" applyAlignment="1">
      <alignment horizontal="center"/>
    </xf>
    <xf numFmtId="0" fontId="61" fillId="0" borderId="0" xfId="0" applyFont="1" applyFill="1" applyAlignment="1">
      <alignment wrapText="1"/>
    </xf>
    <xf numFmtId="188" fontId="61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0" fontId="61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/>
    </xf>
    <xf numFmtId="192" fontId="14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 wrapText="1" shrinkToFit="1"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192" fontId="1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1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93"/>
  <sheetViews>
    <sheetView tabSelected="1" view="pageBreakPreview" zoomScale="69" zoomScaleNormal="50" zoomScaleSheetLayoutView="69" zoomScalePageLayoutView="80" workbookViewId="0" topLeftCell="A1">
      <pane xSplit="6" ySplit="9" topLeftCell="R44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Y3" sqref="Y3"/>
    </sheetView>
  </sheetViews>
  <sheetFormatPr defaultColWidth="7.875" defaultRowHeight="12.75"/>
  <cols>
    <col min="1" max="1" width="6.625" style="7" customWidth="1"/>
    <col min="2" max="2" width="65.125" style="5" customWidth="1"/>
    <col min="3" max="3" width="17.75390625" style="8" customWidth="1"/>
    <col min="4" max="4" width="18.125" style="5" hidden="1" customWidth="1"/>
    <col min="5" max="5" width="17.875" style="5" hidden="1" customWidth="1"/>
    <col min="6" max="6" width="13.75390625" style="9" hidden="1" customWidth="1"/>
    <col min="7" max="7" width="16.625" style="5" hidden="1" customWidth="1"/>
    <col min="8" max="8" width="16.125" style="5" hidden="1" customWidth="1"/>
    <col min="9" max="9" width="12.00390625" style="9" hidden="1" customWidth="1"/>
    <col min="10" max="10" width="16.625" style="5" hidden="1" customWidth="1"/>
    <col min="11" max="11" width="16.125" style="5" hidden="1" customWidth="1"/>
    <col min="12" max="12" width="12.00390625" style="9" hidden="1" customWidth="1"/>
    <col min="13" max="13" width="15.375" style="9" customWidth="1"/>
    <col min="14" max="14" width="15.00390625" style="9" customWidth="1"/>
    <col min="15" max="15" width="12.00390625" style="9" customWidth="1"/>
    <col min="16" max="16" width="16.625" style="5" customWidth="1"/>
    <col min="17" max="17" width="16.125" style="5" customWidth="1"/>
    <col min="18" max="18" width="13.25390625" style="9" customWidth="1"/>
    <col min="19" max="20" width="14.75390625" style="5" customWidth="1"/>
    <col min="21" max="21" width="12.00390625" style="9" customWidth="1"/>
    <col min="22" max="22" width="21.125" style="5" customWidth="1"/>
    <col min="23" max="23" width="24.75390625" style="5" customWidth="1"/>
    <col min="24" max="24" width="14.875" style="5" customWidth="1"/>
    <col min="25" max="25" width="15.75390625" style="5" customWidth="1"/>
    <col min="26" max="26" width="14.25390625" style="5" customWidth="1"/>
    <col min="27" max="27" width="15.75390625" style="5" customWidth="1"/>
    <col min="28" max="16384" width="7.875" style="5" customWidth="1"/>
  </cols>
  <sheetData>
    <row r="1" spans="1:23" ht="18.75">
      <c r="A1" s="7" t="s">
        <v>10</v>
      </c>
      <c r="D1" s="10"/>
      <c r="E1" s="10"/>
      <c r="F1" s="11"/>
      <c r="G1" s="10"/>
      <c r="H1" s="10"/>
      <c r="I1" s="11"/>
      <c r="J1" s="10"/>
      <c r="K1" s="10"/>
      <c r="L1" s="11"/>
      <c r="M1" s="11"/>
      <c r="N1" s="11"/>
      <c r="O1" s="11"/>
      <c r="P1" s="10"/>
      <c r="Q1" s="10"/>
      <c r="R1" s="11"/>
      <c r="S1" s="10"/>
      <c r="T1" s="10"/>
      <c r="U1" s="11"/>
      <c r="V1" s="10"/>
      <c r="W1" s="11"/>
    </row>
    <row r="2" spans="1:23" s="42" customFormat="1" ht="42" customHeight="1">
      <c r="A2" s="41"/>
      <c r="B2" s="127" t="s">
        <v>89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1:23" s="42" customFormat="1" ht="42" customHeight="1">
      <c r="A3" s="41"/>
      <c r="B3" s="127" t="s">
        <v>118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2:23" ht="13.5" customHeight="1">
      <c r="B4" s="128"/>
      <c r="C4" s="128"/>
      <c r="W4" s="13" t="s">
        <v>48</v>
      </c>
    </row>
    <row r="5" spans="1:25" ht="36.75" customHeight="1">
      <c r="A5" s="33" t="s">
        <v>36</v>
      </c>
      <c r="B5" s="34"/>
      <c r="C5" s="35" t="s">
        <v>1</v>
      </c>
      <c r="D5" s="129" t="s">
        <v>111</v>
      </c>
      <c r="E5" s="130"/>
      <c r="F5" s="131"/>
      <c r="G5" s="132" t="s">
        <v>113</v>
      </c>
      <c r="H5" s="133"/>
      <c r="I5" s="134"/>
      <c r="J5" s="132" t="s">
        <v>117</v>
      </c>
      <c r="K5" s="133"/>
      <c r="L5" s="134"/>
      <c r="M5" s="121"/>
      <c r="N5" s="121" t="s">
        <v>122</v>
      </c>
      <c r="O5" s="121"/>
      <c r="P5" s="132" t="s">
        <v>119</v>
      </c>
      <c r="Q5" s="133"/>
      <c r="R5" s="134"/>
      <c r="S5" s="129" t="s">
        <v>114</v>
      </c>
      <c r="T5" s="130"/>
      <c r="U5" s="131"/>
      <c r="V5" s="125" t="s">
        <v>120</v>
      </c>
      <c r="W5" s="125" t="s">
        <v>121</v>
      </c>
      <c r="Y5" s="27">
        <f>Z7-V7</f>
        <v>0</v>
      </c>
    </row>
    <row r="6" spans="1:25" ht="59.25" customHeight="1">
      <c r="A6" s="36" t="s">
        <v>9</v>
      </c>
      <c r="B6" s="37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126"/>
      <c r="W6" s="126"/>
      <c r="Y6" s="27">
        <f>C7+D7+G7+J7+P7-E7-H7-K7-Q7</f>
        <v>367150.8299999999</v>
      </c>
    </row>
    <row r="7" spans="1:27" s="9" customFormat="1" ht="43.5" customHeight="1">
      <c r="A7" s="15"/>
      <c r="B7" s="16" t="s">
        <v>49</v>
      </c>
      <c r="C7" s="17">
        <f>SUM(C8:C42)</f>
        <v>325113.63</v>
      </c>
      <c r="D7" s="17">
        <f aca="true" t="shared" si="0" ref="D7:N7">SUM(D8:D42)</f>
        <v>210975.3</v>
      </c>
      <c r="E7" s="17">
        <f t="shared" si="0"/>
        <v>165349.30000000002</v>
      </c>
      <c r="F7" s="17" t="e">
        <f t="shared" si="0"/>
        <v>#DIV/0!</v>
      </c>
      <c r="G7" s="17">
        <f t="shared" si="0"/>
        <v>198334.4</v>
      </c>
      <c r="H7" s="17">
        <f t="shared" si="0"/>
        <v>155310.3</v>
      </c>
      <c r="I7" s="17" t="e">
        <f t="shared" si="0"/>
        <v>#DIV/0!</v>
      </c>
      <c r="J7" s="17">
        <f t="shared" si="0"/>
        <v>114037.70000000001</v>
      </c>
      <c r="K7" s="17">
        <f t="shared" si="0"/>
        <v>105993.50000000003</v>
      </c>
      <c r="L7" s="17" t="e">
        <f t="shared" si="0"/>
        <v>#DIV/0!</v>
      </c>
      <c r="M7" s="17">
        <f t="shared" si="0"/>
        <v>394916.5</v>
      </c>
      <c r="N7" s="17">
        <f t="shared" si="0"/>
        <v>336394.9</v>
      </c>
      <c r="O7" s="18">
        <f>N7/M7*100</f>
        <v>85.18127249684427</v>
      </c>
      <c r="P7" s="4">
        <f>населення!P7+льготи!P7+субсидии!P7+'держ.бюджет'!P7+'місц.-район.бюджет'!P7+обласной!P7+'госпрозрахунк.'!P7</f>
        <v>9424.699999999999</v>
      </c>
      <c r="Q7" s="4">
        <f>населення!Q7+льготи!Q7+субсидии!Q7+'держ.бюджет'!Q7+'місц.-район.бюджет'!Q7+обласной!Q7+'госпрозрахунк.'!Q7</f>
        <v>64081.8</v>
      </c>
      <c r="R7" s="18">
        <f aca="true" t="shared" si="1" ref="R7:R22">Q7/P7*100</f>
        <v>679.9346398293845</v>
      </c>
      <c r="S7" s="4">
        <f>населення!S7+льготи!S7+субсидии!S7+'держ.бюджет'!S7+'місц.-район.бюджет'!S7+обласной!S7+'госпрозрахунк.'!S7</f>
        <v>532772.1</v>
      </c>
      <c r="T7" s="4">
        <f>населення!T7+льготи!T7+субсидии!T7+'держ.бюджет'!T7+'місц.-район.бюджет'!T7+обласной!T7+'госпрозрахунк.'!T7</f>
        <v>490734.9000000001</v>
      </c>
      <c r="U7" s="18">
        <f>T7/S7*100</f>
        <v>92.10972196179193</v>
      </c>
      <c r="V7" s="4">
        <f>населення!V7+льготи!V7+субсидии!V7+'держ.бюджет'!V7+'місц.-район.бюджет'!V7+обласной!V7+'госпрозрахунк.'!V7</f>
        <v>42037.19999999999</v>
      </c>
      <c r="W7" s="4">
        <f>населення!W7+льготи!W7+субсидии!W7+'держ.бюджет'!W7+'місц.-район.бюджет'!W7+обласной!W7+'госпрозрахунк.'!W7</f>
        <v>367150.8299999999</v>
      </c>
      <c r="X7" s="30">
        <f aca="true" t="shared" si="2" ref="X7:X43">D7+G7+J7+P7</f>
        <v>532772.1</v>
      </c>
      <c r="Y7" s="30">
        <f aca="true" t="shared" si="3" ref="Y7:Y43">E7+H7+K7+Q7</f>
        <v>490734.89999999997</v>
      </c>
      <c r="Z7" s="30">
        <f>X7-Y7</f>
        <v>42037.20000000001</v>
      </c>
      <c r="AA7" s="30">
        <f aca="true" t="shared" si="4" ref="AA7:AA43">C7+X7-Y7</f>
        <v>367150.83</v>
      </c>
    </row>
    <row r="8" spans="1:27" ht="39.75" customHeight="1">
      <c r="A8" s="6">
        <v>1</v>
      </c>
      <c r="B8" s="1" t="s">
        <v>50</v>
      </c>
      <c r="C8" s="122">
        <f>населення!C8+льготи!C8+субсидии!C8+'держ.бюджет'!C8+'місц.-район.бюджет'!C8+обласной!C8+'госпрозрахунк.'!C8</f>
        <v>29044.33</v>
      </c>
      <c r="D8" s="19">
        <f>населення!D8+льготи!D8+субсидии!D8+'держ.бюджет'!D8+'місц.-район.бюджет'!D8+обласной!D8+'госпрозрахунк.'!D8</f>
        <v>17129.600000000002</v>
      </c>
      <c r="E8" s="19">
        <f>населення!E8+льготи!E8+субсидии!E8+'держ.бюджет'!E8+'місц.-район.бюджет'!E8+обласной!E8+'госпрозрахунк.'!E8</f>
        <v>12430.8</v>
      </c>
      <c r="F8" s="18">
        <f>E8/D8*100</f>
        <v>72.56912011955912</v>
      </c>
      <c r="G8" s="19">
        <f>населення!G8+льготи!G8+субсидии!G8+'держ.бюджет'!G8+'місц.-район.бюджет'!G8+обласной!G8+'госпрозрахунк.'!G8</f>
        <v>15950.1</v>
      </c>
      <c r="H8" s="19">
        <f>населення!H8+льготи!H8+субсидии!H8+'держ.бюджет'!H8+'місц.-район.бюджет'!H8+обласной!H8+'госпрозрахунк.'!H8</f>
        <v>9381.099999999999</v>
      </c>
      <c r="I8" s="18">
        <f aca="true" t="shared" si="5" ref="I8:I22">H8/G8*100</f>
        <v>58.81530523319603</v>
      </c>
      <c r="J8" s="19">
        <f>населення!J8+льготи!J8+субсидии!J8+'держ.бюджет'!J8+'місц.-район.бюджет'!J8+обласной!J8+'госпрозрахунк.'!J8</f>
        <v>9338.5</v>
      </c>
      <c r="K8" s="19">
        <f>населення!K8+льготи!K8+субсидии!K8+'держ.бюджет'!K8+'місц.-район.бюджет'!K8+обласной!K8+'госпрозрахунк.'!K8</f>
        <v>14075.2</v>
      </c>
      <c r="L8" s="18">
        <f aca="true" t="shared" si="6" ref="L8:L22">K8/J8*100</f>
        <v>150.72227873855547</v>
      </c>
      <c r="M8" s="3">
        <f>населення!M8+льготи!M8+субсидии!M8+'держ.бюджет'!M8+'місц.-район.бюджет'!P8+обласной!M8+'госпрозрахунк.'!M8</f>
        <v>33907.1</v>
      </c>
      <c r="N8" s="3">
        <f>населення!N8+льготи!N8+субсидии!N8+'держ.бюджет'!N8+'місц.-район.бюджет'!Q8+обласной!N8+'госпрозрахунк.'!N8</f>
        <v>28660.300000000003</v>
      </c>
      <c r="O8" s="18">
        <f aca="true" t="shared" si="7" ref="O8:O46">N8/M8*100</f>
        <v>84.52595474104245</v>
      </c>
      <c r="P8" s="19">
        <f>населення!P8+льготи!P8+субсидии!P8+'держ.бюджет'!P8+'місц.-район.бюджет'!P8+обласной!P8+'госпрозрахунк.'!P8</f>
        <v>697.4000000000001</v>
      </c>
      <c r="Q8" s="19">
        <f>населення!Q8+льготи!Q8+субсидии!Q8+'держ.бюджет'!Q8+'місц.-район.бюджет'!Q8+обласной!Q8+'госпрозрахунк.'!Q8</f>
        <v>3209.7000000000003</v>
      </c>
      <c r="R8" s="18">
        <f t="shared" si="1"/>
        <v>460.2380269572699</v>
      </c>
      <c r="S8" s="19">
        <f>населення!S8+льготи!S8+субсидии!S8+'держ.бюджет'!S8+'місц.-район.бюджет'!S8+обласной!S8+'госпрозрахунк.'!S8</f>
        <v>43115.600000000006</v>
      </c>
      <c r="T8" s="19">
        <f>населення!T8+льготи!T8+субсидии!T8+'держ.бюджет'!T8+'місц.-район.бюджет'!T8+обласной!T8+'госпрозрахунк.'!T8</f>
        <v>39096.80000000001</v>
      </c>
      <c r="U8" s="18">
        <f>T8/S8*100</f>
        <v>90.67901177300097</v>
      </c>
      <c r="V8" s="4">
        <f>населення!V8+льготи!V8+субсидии!V8+'держ.бюджет'!V8+'місц.-район.бюджет'!V8+обласной!V8+'госпрозрахунк.'!V8</f>
        <v>4018.799999999996</v>
      </c>
      <c r="W8" s="4">
        <f>населення!W8+льготи!W8+субсидии!W8+'держ.бюджет'!W8+'місц.-район.бюджет'!W8+обласной!W8+'госпрозрахунк.'!W8</f>
        <v>33063.13</v>
      </c>
      <c r="X8" s="30">
        <f t="shared" si="2"/>
        <v>43115.600000000006</v>
      </c>
      <c r="Y8" s="30">
        <f t="shared" si="3"/>
        <v>39096.799999999996</v>
      </c>
      <c r="Z8" s="30">
        <f aca="true" t="shared" si="8" ref="Z8:Z43">X8-Y8</f>
        <v>4018.80000000001</v>
      </c>
      <c r="AA8" s="30">
        <f t="shared" si="4"/>
        <v>33063.13000000001</v>
      </c>
    </row>
    <row r="9" spans="1:27" ht="44.25" customHeight="1">
      <c r="A9" s="6">
        <v>2</v>
      </c>
      <c r="B9" s="44" t="s">
        <v>81</v>
      </c>
      <c r="C9" s="122">
        <f>населення!C9+льготи!C9+субсидии!C9+'держ.бюджет'!C9+'місц.-район.бюджет'!C9+обласной!C9+'госпрозрахунк.'!C9</f>
        <v>-713.6999999999998</v>
      </c>
      <c r="D9" s="19">
        <f>населення!D9+льготи!D9+субсидии!D9+'держ.бюджет'!D9+'місц.-район.бюджет'!D9+обласной!D9+'госпрозрахунк.'!D9</f>
        <v>1849</v>
      </c>
      <c r="E9" s="19">
        <f>населення!E9+льготи!E9+субсидии!E9+'держ.бюджет'!E9+'місц.-район.бюджет'!E9+обласной!E9+'госпрозрахунк.'!E9</f>
        <v>343.7</v>
      </c>
      <c r="F9" s="18">
        <f>E9/D9*100</f>
        <v>18.588426176311522</v>
      </c>
      <c r="G9" s="19">
        <f>населення!G9+льготи!G9+субсидии!G9+'держ.бюджет'!G9+'місц.-район.бюджет'!G9+обласной!G9+'госпрозрахунк.'!G9</f>
        <v>1521.1</v>
      </c>
      <c r="H9" s="19">
        <f>населення!H9+льготи!H9+субсидии!H9+'держ.бюджет'!H9+'місц.-район.бюджет'!H9+обласной!H9+'госпрозрахунк.'!H9</f>
        <v>1324</v>
      </c>
      <c r="I9" s="18">
        <f t="shared" si="5"/>
        <v>87.04227203997108</v>
      </c>
      <c r="J9" s="19">
        <f>населення!J9+льготи!J9+субсидии!J9+'держ.бюджет'!J9+'місц.-район.бюджет'!J9+обласной!J9+'госпрозрахунк.'!J9</f>
        <v>688.6999999999999</v>
      </c>
      <c r="K9" s="19">
        <f>населення!K9+льготи!K9+субсидии!K9+'держ.бюджет'!K9+'місц.-район.бюджет'!K9+обласной!K9+'госпрозрахунк.'!K9</f>
        <v>665.7</v>
      </c>
      <c r="L9" s="18">
        <f t="shared" si="6"/>
        <v>96.66037461884713</v>
      </c>
      <c r="M9" s="3">
        <f>населення!M9+льготи!M9+субсидии!M9+'держ.бюджет'!M9+'місц.-район.бюджет'!P9+обласной!M9+'госпрозрахунк.'!M9</f>
        <v>1609.9</v>
      </c>
      <c r="N9" s="3">
        <f>населення!N9+льготи!N9+субсидии!N9+'держ.бюджет'!N9+'місц.-район.бюджет'!Q9+обласной!N9+'госпрозрахунк.'!N9</f>
        <v>936.5</v>
      </c>
      <c r="O9" s="18">
        <f t="shared" si="7"/>
        <v>58.171314988508605</v>
      </c>
      <c r="P9" s="19">
        <f>населення!P9+льготи!P9+субсидии!P9+'держ.бюджет'!P9+'місц.-район.бюджет'!P9+обласной!P9+'госпрозрахунк.'!P9</f>
        <v>41.2</v>
      </c>
      <c r="Q9" s="19">
        <f>населення!Q9+льготи!Q9+субсидии!Q9+'держ.бюджет'!Q9+'місц.-район.бюджет'!Q9+обласной!Q9+'госпрозрахунк.'!Q9</f>
        <v>215.70000000000002</v>
      </c>
      <c r="R9" s="18">
        <f t="shared" si="1"/>
        <v>523.5436893203884</v>
      </c>
      <c r="S9" s="19">
        <f>населення!S9+льготи!S9+субсидии!S9+'держ.бюджет'!S9+'місц.-район.бюджет'!S9+обласной!S9+'госпрозрахунк.'!S9</f>
        <v>4100.000000000001</v>
      </c>
      <c r="T9" s="19">
        <f>населення!T9+льготи!T9+субсидии!T9+'держ.бюджет'!T9+'місц.-район.бюджет'!T9+обласной!T9+'госпрозрахунк.'!T9</f>
        <v>2549.1</v>
      </c>
      <c r="U9" s="18">
        <f aca="true" t="shared" si="9" ref="U9:U28">T9/S9*100</f>
        <v>62.17317073170731</v>
      </c>
      <c r="V9" s="4">
        <f>населення!V9+льготи!V9+субсидии!V9+'держ.бюджет'!V9+'місц.-район.бюджет'!V9+обласной!V9+'госпрозрахунк.'!V9</f>
        <v>1550.9000000000005</v>
      </c>
      <c r="W9" s="4">
        <f>населення!W9+льготи!W9+субсидии!W9+'держ.бюджет'!W9+'місц.-район.бюджет'!W9+обласной!W9+'госпрозрахунк.'!W9</f>
        <v>837.2000000000005</v>
      </c>
      <c r="X9" s="30">
        <f t="shared" si="2"/>
        <v>4100</v>
      </c>
      <c r="Y9" s="30">
        <f t="shared" si="3"/>
        <v>2549.1</v>
      </c>
      <c r="Z9" s="30">
        <f t="shared" si="8"/>
        <v>1550.9</v>
      </c>
      <c r="AA9" s="30">
        <f t="shared" si="4"/>
        <v>837.2000000000003</v>
      </c>
    </row>
    <row r="10" spans="1:27" ht="41.25" customHeight="1">
      <c r="A10" s="6">
        <v>3</v>
      </c>
      <c r="B10" s="20" t="s">
        <v>96</v>
      </c>
      <c r="C10" s="122">
        <f>населення!C10+льготи!C10+субсидии!C10+'держ.бюджет'!C10+'місц.-район.бюджет'!C10+обласной!C10+'госпрозрахунк.'!C10</f>
        <v>0</v>
      </c>
      <c r="D10" s="19">
        <f>населення!D10+льготи!D10+субсидии!D10+'держ.бюджет'!D10+'місц.-район.бюджет'!D10+обласной!D10+'госпрозрахунк.'!D10</f>
        <v>0.7</v>
      </c>
      <c r="E10" s="19">
        <f>населення!E10+льготи!E10+субсидии!E10+'держ.бюджет'!E10+'місц.-район.бюджет'!E10+обласной!E10+'госпрозрахунк.'!E10</f>
        <v>0.7</v>
      </c>
      <c r="F10" s="18">
        <f aca="true" t="shared" si="10" ref="F10:F22">E10/D10*100</f>
        <v>100</v>
      </c>
      <c r="G10" s="19">
        <f>населення!G10+льготи!G10+субсидии!G10+'держ.бюджет'!G10+'місц.-район.бюджет'!G10+обласной!G10+'госпрозрахунк.'!G10</f>
        <v>61.1</v>
      </c>
      <c r="H10" s="19">
        <f>населення!H10+льготи!H10+субсидии!H10+'держ.бюджет'!H10+'місц.-район.бюджет'!H10+обласной!H10+'госпрозрахунк.'!H10</f>
        <v>61.1</v>
      </c>
      <c r="I10" s="18">
        <f t="shared" si="5"/>
        <v>100</v>
      </c>
      <c r="J10" s="19">
        <f>населення!J10+льготи!J10+субсидии!J10+'держ.бюджет'!J10+'місц.-район.бюджет'!J10+обласной!J10+'госпрозрахунк.'!J10</f>
        <v>0</v>
      </c>
      <c r="K10" s="19">
        <f>населення!K10+льготи!K10+субсидии!K10+'держ.бюджет'!K10+'місц.-район.бюджет'!K10+обласной!K10+'госпрозрахунк.'!K10</f>
        <v>0</v>
      </c>
      <c r="L10" s="40" t="e">
        <f t="shared" si="6"/>
        <v>#DIV/0!</v>
      </c>
      <c r="M10" s="3">
        <f>населення!M10+льготи!M10+субсидии!M10+'держ.бюджет'!M10+'місц.-район.бюджет'!P10+обласной!M10+'госпрозрахунк.'!M10</f>
        <v>0</v>
      </c>
      <c r="N10" s="3">
        <f>населення!N10+льготи!N10+субсидии!N10+'держ.бюджет'!N10+'місц.-район.бюджет'!Q10+обласной!N10+'госпрозрахунк.'!N10</f>
        <v>0</v>
      </c>
      <c r="O10" s="40" t="e">
        <f t="shared" si="7"/>
        <v>#DIV/0!</v>
      </c>
      <c r="P10" s="19">
        <f>населення!P10+льготи!P10+субсидии!P10+'держ.бюджет'!P10+'місц.-район.бюджет'!P10+обласной!P10+'госпрозрахунк.'!P10</f>
        <v>0</v>
      </c>
      <c r="Q10" s="19">
        <f>населення!Q10+льготи!Q10+субсидии!Q10+'держ.бюджет'!Q10+'місц.-район.бюджет'!Q10+обласной!Q10+'госпрозрахунк.'!Q10</f>
        <v>0</v>
      </c>
      <c r="R10" s="40" t="e">
        <f t="shared" si="1"/>
        <v>#DIV/0!</v>
      </c>
      <c r="S10" s="19">
        <f>населення!S10+льготи!S10+субсидии!S10+'держ.бюджет'!S10+'місц.-район.бюджет'!S10+обласной!S10+'госпрозрахунк.'!S10</f>
        <v>61.800000000000004</v>
      </c>
      <c r="T10" s="19">
        <f>населення!T10+льготи!T10+субсидии!T10+'держ.бюджет'!T10+'місц.-район.бюджет'!T10+обласной!T10+'госпрозрахунк.'!T10</f>
        <v>61.800000000000004</v>
      </c>
      <c r="U10" s="18">
        <f t="shared" si="9"/>
        <v>100</v>
      </c>
      <c r="V10" s="4">
        <f>населення!V10+льготи!V10+субсидии!V10+'держ.бюджет'!V10+'місц.-район.бюджет'!V10+обласной!V10+'госпрозрахунк.'!V10</f>
        <v>0</v>
      </c>
      <c r="W10" s="4">
        <f>населення!W10+льготи!W10+субсидии!W10+'держ.бюджет'!W10+'місц.-район.бюджет'!W10+обласной!W10+'госпрозрахунк.'!W10</f>
        <v>0</v>
      </c>
      <c r="X10" s="30">
        <f t="shared" si="2"/>
        <v>61.800000000000004</v>
      </c>
      <c r="Y10" s="30">
        <f t="shared" si="3"/>
        <v>61.800000000000004</v>
      </c>
      <c r="Z10" s="30">
        <f t="shared" si="8"/>
        <v>0</v>
      </c>
      <c r="AA10" s="30">
        <f t="shared" si="4"/>
        <v>0</v>
      </c>
    </row>
    <row r="11" spans="1:27" ht="24" customHeight="1">
      <c r="A11" s="6">
        <v>4</v>
      </c>
      <c r="B11" s="1" t="s">
        <v>107</v>
      </c>
      <c r="C11" s="122">
        <f>населення!C11+льготи!C11+субсидии!C11+'держ.бюджет'!C11+'місц.-район.бюджет'!C11+обласной!C11+'госпрозрахунк.'!C11</f>
        <v>18.5</v>
      </c>
      <c r="D11" s="19">
        <f>населення!D11+льготи!D11+субсидии!D11+'держ.бюджет'!D11+'місц.-район.бюджет'!D11+обласной!D11+'госпрозрахунк.'!D11</f>
        <v>194.3</v>
      </c>
      <c r="E11" s="19">
        <f>населення!E11+льготи!E11+субсидии!E11+'держ.бюджет'!E11+'місц.-район.бюджет'!E11+обласной!E11+'госпрозрахунк.'!E11</f>
        <v>129.9</v>
      </c>
      <c r="F11" s="18">
        <f t="shared" si="10"/>
        <v>66.85537828100875</v>
      </c>
      <c r="G11" s="19">
        <f>населення!G11+льготи!G11+субсидии!G11+'держ.бюджет'!G11+'місц.-район.бюджет'!G11+обласной!G11+'госпрозрахунк.'!G11</f>
        <v>199.8</v>
      </c>
      <c r="H11" s="19">
        <f>населення!H11+льготи!H11+субсидии!H11+'держ.бюджет'!H11+'місц.-район.бюджет'!H11+обласной!H11+'госпрозрахунк.'!H11</f>
        <v>80.60000000000001</v>
      </c>
      <c r="I11" s="18">
        <f t="shared" si="5"/>
        <v>40.34034034034034</v>
      </c>
      <c r="J11" s="19">
        <f>населення!J11+льготи!J11+субсидии!J11+'держ.бюджет'!J11+'місц.-район.бюджет'!J11+обласной!J11+'госпрозрахунк.'!J11</f>
        <v>125.80000000000001</v>
      </c>
      <c r="K11" s="19">
        <f>населення!K11+льготи!K11+субсидии!K11+'держ.бюджет'!K11+'місц.-район.бюджет'!K11+обласной!K11+'госпрозрахунк.'!K11</f>
        <v>193.60000000000002</v>
      </c>
      <c r="L11" s="18">
        <f t="shared" si="6"/>
        <v>153.89507154213038</v>
      </c>
      <c r="M11" s="3">
        <f>населення!M11+льготи!M11+субсидии!M11+'держ.бюджет'!M11+'місц.-район.бюджет'!P11+обласной!M11+'госпрозрахунк.'!M11</f>
        <v>432.80000000000007</v>
      </c>
      <c r="N11" s="3">
        <f>населення!N11+льготи!N11+субсидии!N11+'держ.бюджет'!N11+'місц.-район.бюджет'!Q11+обласной!N11+'госпрозрахунк.'!N11</f>
        <v>384.90000000000003</v>
      </c>
      <c r="O11" s="18">
        <f t="shared" si="7"/>
        <v>88.9325323475046</v>
      </c>
      <c r="P11" s="19">
        <f>населення!P11+льготи!P11+субсидии!P11+'держ.бюджет'!P11+'місц.-район.бюджет'!P11+обласной!P11+'госпрозрахунк.'!P11</f>
        <v>119.5</v>
      </c>
      <c r="Q11" s="19">
        <f>населення!Q11+льготи!Q11+субсидии!Q11+'держ.бюджет'!Q11+'місц.-район.бюджет'!Q11+обласной!Q11+'госпрозрахунк.'!Q11</f>
        <v>200.8</v>
      </c>
      <c r="R11" s="18">
        <f t="shared" si="1"/>
        <v>168.03347280334728</v>
      </c>
      <c r="S11" s="19">
        <f>населення!S11+льготи!S11+субсидии!S11+'держ.бюджет'!S11+'місц.-район.бюджет'!S11+обласной!S11+'госпрозрахунк.'!S11</f>
        <v>639.4000000000001</v>
      </c>
      <c r="T11" s="19">
        <f>населення!T11+льготи!T11+субсидии!T11+'держ.бюджет'!T11+'місц.-район.бюджет'!T11+обласной!T11+'госпрозрахунк.'!T11</f>
        <v>604.9000000000001</v>
      </c>
      <c r="U11" s="18">
        <f t="shared" si="9"/>
        <v>94.60431654676259</v>
      </c>
      <c r="V11" s="4">
        <f>населення!V11+льготи!V11+субсидии!V11+'держ.бюджет'!V11+'місц.-район.бюджет'!V11+обласной!V11+'госпрозрахунк.'!V11</f>
        <v>34.50000000000001</v>
      </c>
      <c r="W11" s="4">
        <f>населення!W11+льготи!W11+субсидии!W11+'держ.бюджет'!W11+'місц.-район.бюджет'!W11+обласной!W11+'госпрозрахунк.'!W11</f>
        <v>53</v>
      </c>
      <c r="X11" s="30">
        <f t="shared" si="2"/>
        <v>639.4000000000001</v>
      </c>
      <c r="Y11" s="30">
        <f t="shared" si="3"/>
        <v>604.9000000000001</v>
      </c>
      <c r="Z11" s="30">
        <f t="shared" si="8"/>
        <v>34.5</v>
      </c>
      <c r="AA11" s="30">
        <f t="shared" si="4"/>
        <v>53</v>
      </c>
    </row>
    <row r="12" spans="1:27" ht="24" customHeight="1">
      <c r="A12" s="28">
        <v>5</v>
      </c>
      <c r="B12" s="1" t="s">
        <v>79</v>
      </c>
      <c r="C12" s="122">
        <f>населення!C12+льготи!C12+субсидии!C12+'держ.бюджет'!C12+'місц.-район.бюджет'!C12+обласной!C12+'госпрозрахунк.'!C12</f>
        <v>3709.9</v>
      </c>
      <c r="D12" s="19">
        <f>населення!D12+льготи!D12+субсидии!D12+'держ.бюджет'!D12+'місц.-район.бюджет'!D12+обласной!D12+'госпрозрахунк.'!D12</f>
        <v>4371.099999999999</v>
      </c>
      <c r="E12" s="19">
        <f>населення!E12+льготи!E12+субсидии!E12+'держ.бюджет'!E12+'місц.-район.бюджет'!E12+обласной!E12+'госпрозрахунк.'!E12</f>
        <v>3578.0999999999995</v>
      </c>
      <c r="F12" s="18">
        <f t="shared" si="10"/>
        <v>81.85811351833634</v>
      </c>
      <c r="G12" s="19">
        <f>населення!G12+льготи!G12+субсидии!G12+'держ.бюджет'!G12+'місц.-район.бюджет'!G12+обласной!G12+'госпрозрахунк.'!G12</f>
        <v>3880.5</v>
      </c>
      <c r="H12" s="19">
        <f>населення!H12+льготи!H12+субсидии!H12+'держ.бюджет'!H12+'місц.-район.бюджет'!H12+обласной!H12+'госпрозрахунк.'!H12</f>
        <v>1259.6</v>
      </c>
      <c r="I12" s="18">
        <f t="shared" si="5"/>
        <v>32.45973457028733</v>
      </c>
      <c r="J12" s="19">
        <f>населення!J12+льготи!J12+субсидии!J12+'держ.бюджет'!J12+'місц.-район.бюджет'!J12+обласной!J12+'госпрозрахунк.'!J12</f>
        <v>2516.2000000000003</v>
      </c>
      <c r="K12" s="19">
        <f>населення!K12+льготи!K12+субсидии!K12+'держ.бюджет'!K12+'місц.-район.бюджет'!K12+обласной!K12+'госпрозрахунк.'!K12</f>
        <v>4570.9</v>
      </c>
      <c r="L12" s="18">
        <f t="shared" si="6"/>
        <v>181.6588506478022</v>
      </c>
      <c r="M12" s="3">
        <f>населення!M12+льготи!M12+субсидии!M12+'держ.бюджет'!M12+'місц.-район.бюджет'!P12+обласной!M12+'госпрозрахунк.'!M12</f>
        <v>7115.9</v>
      </c>
      <c r="N12" s="3">
        <f>населення!N12+льготи!N12+субсидии!N12+'держ.бюджет'!N12+'місц.-район.бюджет'!Q12+обласной!N12+'госпрозрахунк.'!N12</f>
        <v>8013.299999999999</v>
      </c>
      <c r="O12" s="18">
        <f t="shared" si="7"/>
        <v>112.61119464860383</v>
      </c>
      <c r="P12" s="19">
        <f>населення!P12+льготи!P12+субсидии!P12+'держ.бюджет'!P12+'місц.-район.бюджет'!P12+обласной!P12+'госпрозрахунк.'!P12</f>
        <v>118.10000000000002</v>
      </c>
      <c r="Q12" s="19">
        <f>населення!Q12+льготи!Q12+субсидии!Q12+'держ.бюджет'!Q12+'місц.-район.бюджет'!Q12+обласной!Q12+'госпрозрахунк.'!Q12</f>
        <v>2655.6000000000004</v>
      </c>
      <c r="R12" s="18">
        <f t="shared" si="1"/>
        <v>2248.6028789161724</v>
      </c>
      <c r="S12" s="19">
        <f>населення!S12+льготи!S12+субсидии!S12+'держ.бюджет'!S12+'місц.-район.бюджет'!S12+обласной!S12+'госпрозрахунк.'!S12</f>
        <v>10885.9</v>
      </c>
      <c r="T12" s="19">
        <f>населення!T12+льготи!T12+субсидии!T12+'держ.бюджет'!T12+'місц.-район.бюджет'!T12+обласной!T12+'госпрозрахунк.'!T12</f>
        <v>12064.199999999997</v>
      </c>
      <c r="U12" s="18">
        <f t="shared" si="9"/>
        <v>110.82409355220972</v>
      </c>
      <c r="V12" s="4">
        <f>населення!V12+льготи!V12+субсидии!V12+'держ.бюджет'!V12+'місц.-район.бюджет'!V12+обласной!V12+'госпрозрахунк.'!V12</f>
        <v>-1178.2999999999993</v>
      </c>
      <c r="W12" s="4">
        <f>населення!W12+льготи!W12+субсидии!W12+'держ.бюджет'!W12+'місц.-район.бюджет'!W12+обласной!W12+'госпрозрахунк.'!W12</f>
        <v>2531.6000000000004</v>
      </c>
      <c r="X12" s="30">
        <f t="shared" si="2"/>
        <v>10885.9</v>
      </c>
      <c r="Y12" s="30">
        <f t="shared" si="3"/>
        <v>12064.199999999999</v>
      </c>
      <c r="Z12" s="30">
        <f t="shared" si="8"/>
        <v>-1178.2999999999993</v>
      </c>
      <c r="AA12" s="30">
        <f t="shared" si="4"/>
        <v>2531.6000000000004</v>
      </c>
    </row>
    <row r="13" spans="1:27" ht="24" customHeight="1">
      <c r="A13" s="6">
        <v>6</v>
      </c>
      <c r="B13" s="1" t="s">
        <v>51</v>
      </c>
      <c r="C13" s="122">
        <f>населення!C13+льготи!C13+субсидии!C13+'держ.бюджет'!C13+'місц.-район.бюджет'!C13+обласной!C13+'госпрозрахунк.'!C13</f>
        <v>200.1</v>
      </c>
      <c r="D13" s="19">
        <f>населення!D13+льготи!D13+субсидии!D13+'держ.бюджет'!D13+'місц.-район.бюджет'!D13+обласной!D13+'госпрозрахунк.'!D13</f>
        <v>1007.4000000000001</v>
      </c>
      <c r="E13" s="19">
        <f>населення!E13+льготи!E13+субсидии!E13+'держ.бюджет'!E13+'місц.-район.бюджет'!E13+обласной!E13+'госпрозрахунк.'!E13</f>
        <v>72.8</v>
      </c>
      <c r="F13" s="18">
        <f t="shared" si="10"/>
        <v>7.226523724439149</v>
      </c>
      <c r="G13" s="19">
        <f>населення!G13+льготи!G13+субсидии!G13+'держ.бюджет'!G13+'місц.-район.бюджет'!G13+обласной!G13+'госпрозрахунк.'!G13</f>
        <v>815.6999999999999</v>
      </c>
      <c r="H13" s="19">
        <f>населення!H13+льготи!H13+субсидии!H13+'держ.бюджет'!H13+'місц.-район.бюджет'!H13+обласной!H13+'госпрозрахунк.'!H13</f>
        <v>410.00000000000006</v>
      </c>
      <c r="I13" s="18">
        <f t="shared" si="5"/>
        <v>50.26357729557437</v>
      </c>
      <c r="J13" s="19">
        <f>населення!J13+льготи!J13+субсидии!J13+'держ.бюджет'!J13+'місц.-район.бюджет'!J13+обласной!J13+'госпрозрахунк.'!J13</f>
        <v>433.8</v>
      </c>
      <c r="K13" s="19">
        <f>населення!K13+льготи!K13+субсидии!K13+'держ.бюджет'!K13+'місц.-район.бюджет'!K13+обласной!K13+'госпрозрахунк.'!K13</f>
        <v>392.7</v>
      </c>
      <c r="L13" s="18">
        <f t="shared" si="6"/>
        <v>90.52558782849239</v>
      </c>
      <c r="M13" s="3">
        <f>населення!M13+льготи!M13+субсидии!M13+'держ.бюджет'!M13+'місц.-район.бюджет'!P13+обласной!M13+'госпрозрахунк.'!M13</f>
        <v>368.49999999999994</v>
      </c>
      <c r="N13" s="3">
        <f>населення!N13+льготи!N13+субсидии!N13+'держ.бюджет'!N13+'місц.-район.бюджет'!Q13+обласной!N13+'госпрозрахунк.'!N13</f>
        <v>664.4</v>
      </c>
      <c r="O13" s="18">
        <f t="shared" si="7"/>
        <v>180.2985074626866</v>
      </c>
      <c r="P13" s="19">
        <f>населення!P13+льготи!P13+субсидии!P13+'держ.бюджет'!P13+'місц.-район.бюджет'!P13+обласной!P13+'госпрозрахунк.'!P13</f>
        <v>17.9</v>
      </c>
      <c r="Q13" s="19">
        <f>населення!Q13+льготи!Q13+субсидии!Q13+'держ.бюджет'!Q13+'місц.-район.бюджет'!Q13+обласной!Q13+'госпрозрахунк.'!Q13</f>
        <v>483.29999999999995</v>
      </c>
      <c r="R13" s="18">
        <f t="shared" si="1"/>
        <v>2700</v>
      </c>
      <c r="S13" s="19">
        <f>населення!S13+льготи!S13+субсидии!S13+'держ.бюджет'!S13+'місц.-район.бюджет'!S13+обласной!S13+'госпрозрахунк.'!S13</f>
        <v>2274.8</v>
      </c>
      <c r="T13" s="19">
        <f>населення!T13+льготи!T13+субсидии!T13+'держ.бюджет'!T13+'місц.-район.бюджет'!T13+обласной!T13+'госпрозрахунк.'!T13</f>
        <v>1358.8</v>
      </c>
      <c r="U13" s="18">
        <f t="shared" si="9"/>
        <v>59.73272375593458</v>
      </c>
      <c r="V13" s="4">
        <f>населення!V13+льготи!V13+субсидии!V13+'держ.бюджет'!V13+'місц.-район.бюджет'!V13+обласной!V13+'госпрозрахунк.'!V13</f>
        <v>916.0000000000002</v>
      </c>
      <c r="W13" s="4">
        <f>населення!W13+льготи!W13+субсидии!W13+'держ.бюджет'!W13+'місц.-район.бюджет'!W13+обласной!W13+'госпрозрахунк.'!W13</f>
        <v>1116.1000000000001</v>
      </c>
      <c r="X13" s="30">
        <f t="shared" si="2"/>
        <v>2274.8</v>
      </c>
      <c r="Y13" s="30">
        <f t="shared" si="3"/>
        <v>1358.8</v>
      </c>
      <c r="Z13" s="30">
        <f t="shared" si="8"/>
        <v>916.0000000000002</v>
      </c>
      <c r="AA13" s="30">
        <f t="shared" si="4"/>
        <v>1116.1000000000001</v>
      </c>
    </row>
    <row r="14" spans="1:27" ht="24" customHeight="1">
      <c r="A14" s="6">
        <v>7</v>
      </c>
      <c r="B14" s="1" t="s">
        <v>52</v>
      </c>
      <c r="C14" s="122">
        <f>населення!C14+льготи!C14+субсидии!C14+'держ.бюджет'!C14+'місц.-район.бюджет'!C14+обласной!C14+'госпрозрахунк.'!C14</f>
        <v>-1.4000000000000001</v>
      </c>
      <c r="D14" s="19">
        <f>населення!D14+льготи!D14+субсидии!D14+'держ.бюджет'!D14+'місц.-район.бюджет'!D14+обласной!D14+'госпрозрахунк.'!D14</f>
        <v>821</v>
      </c>
      <c r="E14" s="19">
        <f>населення!E14+льготи!E14+субсидии!E14+'держ.бюджет'!E14+'місц.-район.бюджет'!E14+обласной!E14+'госпрозрахунк.'!E14</f>
        <v>413</v>
      </c>
      <c r="F14" s="18">
        <f t="shared" si="10"/>
        <v>50.304506699147375</v>
      </c>
      <c r="G14" s="19">
        <f>населення!G14+льготи!G14+субсидии!G14+'держ.бюджет'!G14+'місц.-район.бюджет'!G14+обласной!G14+'госпрозрахунк.'!G14</f>
        <v>868.2</v>
      </c>
      <c r="H14" s="19">
        <f>населення!H14+льготи!H14+субсидии!H14+'держ.бюджет'!H14+'місц.-район.бюджет'!H14+обласной!H14+'госпрозрахунк.'!H14</f>
        <v>683.1999999999999</v>
      </c>
      <c r="I14" s="18">
        <f t="shared" si="5"/>
        <v>78.69154572679105</v>
      </c>
      <c r="J14" s="19">
        <f>населення!J14+льготи!J14+субсидии!J14+'держ.бюджет'!J14+'місц.-район.бюджет'!J14+обласной!J14+'госпрозрахунк.'!J14</f>
        <v>590.3</v>
      </c>
      <c r="K14" s="19">
        <f>населення!K14+льготи!K14+субсидии!K14+'держ.бюджет'!K14+'місц.-район.бюджет'!K14+обласной!K14+'госпрозрахунк.'!K14</f>
        <v>426.5</v>
      </c>
      <c r="L14" s="18">
        <f t="shared" si="6"/>
        <v>72.25139759444352</v>
      </c>
      <c r="M14" s="3">
        <f>населення!M14+льготи!M14+субсидии!M14+'держ.бюджет'!M14+'місц.-район.бюджет'!P14+обласной!M14+'госпрозрахунк.'!M14</f>
        <v>551.4</v>
      </c>
      <c r="N14" s="3">
        <f>населення!N14+льготи!N14+субсидии!N14+'держ.бюджет'!N14+'місц.-район.бюджет'!Q14+обласной!N14+'госпрозрахунк.'!N14</f>
        <v>624.8</v>
      </c>
      <c r="O14" s="18">
        <f t="shared" si="7"/>
        <v>113.31157054769676</v>
      </c>
      <c r="P14" s="19">
        <f>населення!P14+льготи!P14+субсидии!P14+'держ.бюджет'!P14+'місц.-район.бюджет'!P14+обласной!P14+'госпрозрахунк.'!P14</f>
        <v>71.6</v>
      </c>
      <c r="Q14" s="19">
        <f>населення!Q14+льготи!Q14+субсидии!Q14+'держ.бюджет'!Q14+'місц.-район.бюджет'!Q14+обласной!Q14+'госпрозрахунк.'!Q14</f>
        <v>288.29999999999995</v>
      </c>
      <c r="R14" s="18">
        <f t="shared" si="1"/>
        <v>402.6536312849162</v>
      </c>
      <c r="S14" s="19">
        <f>населення!S14+льготи!S14+субсидии!S14+'держ.бюджет'!S14+'місц.-район.бюджет'!S14+обласной!S14+'госпрозрахунк.'!S14</f>
        <v>2351.1</v>
      </c>
      <c r="T14" s="19">
        <f>населення!T14+льготи!T14+субсидии!T14+'держ.бюджет'!T14+'місц.-район.бюджет'!T14+обласной!T14+'госпрозрахунк.'!T14</f>
        <v>1810.9999999999998</v>
      </c>
      <c r="U14" s="18">
        <f t="shared" si="9"/>
        <v>77.02777423333758</v>
      </c>
      <c r="V14" s="4">
        <f>населення!V14+льготи!V14+субсидии!V14+'держ.бюджет'!V14+'місц.-район.бюджет'!V14+обласной!V14+'госпрозрахунк.'!V14</f>
        <v>540.1000000000001</v>
      </c>
      <c r="W14" s="4">
        <f>населення!W14+льготи!W14+субсидии!W14+'держ.бюджет'!W14+'місц.-район.бюджет'!W14+обласной!W14+'госпрозрахунк.'!W14</f>
        <v>538.7000000000002</v>
      </c>
      <c r="X14" s="30">
        <f t="shared" si="2"/>
        <v>2351.1</v>
      </c>
      <c r="Y14" s="30">
        <f t="shared" si="3"/>
        <v>1810.9999999999998</v>
      </c>
      <c r="Z14" s="30">
        <f t="shared" si="8"/>
        <v>540.1000000000001</v>
      </c>
      <c r="AA14" s="30">
        <f t="shared" si="4"/>
        <v>538.7</v>
      </c>
    </row>
    <row r="15" spans="1:27" ht="24" customHeight="1">
      <c r="A15" s="6">
        <v>8</v>
      </c>
      <c r="B15" s="1" t="s">
        <v>53</v>
      </c>
      <c r="C15" s="122">
        <f>населення!C15+льготи!C15+субсидии!C15+'держ.бюджет'!C15+'місц.-район.бюджет'!C15+обласной!C15+'госпрозрахунк.'!C15</f>
        <v>3941.1</v>
      </c>
      <c r="D15" s="19">
        <f>населення!D15+льготи!D15+субсидии!D15+'держ.бюджет'!D15+'місц.-район.бюджет'!D15+обласной!D15+'госпрозрахунк.'!D15</f>
        <v>6460.500000000001</v>
      </c>
      <c r="E15" s="19">
        <f>населення!E15+льготи!E15+субсидии!E15+'держ.бюджет'!E15+'місц.-район.бюджет'!E15+обласной!E15+'госпрозрахунк.'!E15</f>
        <v>2746.4</v>
      </c>
      <c r="F15" s="18">
        <f t="shared" si="10"/>
        <v>42.510641591208106</v>
      </c>
      <c r="G15" s="19">
        <f>населення!G15+льготи!G15+субсидии!G15+'держ.бюджет'!G15+'місц.-район.бюджет'!G15+обласной!G15+'госпрозрахунк.'!G15</f>
        <v>5385.599999999999</v>
      </c>
      <c r="H15" s="19">
        <f>населення!H15+льготи!H15+субсидии!H15+'держ.бюджет'!H15+'місц.-район.бюджет'!H15+обласной!H15+'госпрозрахунк.'!H15</f>
        <v>4628.8</v>
      </c>
      <c r="I15" s="18">
        <f t="shared" si="5"/>
        <v>85.94771241830067</v>
      </c>
      <c r="J15" s="19">
        <f>населення!J15+льготи!J15+субсидии!J15+'держ.бюджет'!J15+'місц.-район.бюджет'!J15+обласной!J15+'госпрозрахунк.'!J15</f>
        <v>3623.1000000000004</v>
      </c>
      <c r="K15" s="19">
        <f>населення!K15+льготи!K15+субсидии!K15+'держ.бюджет'!K15+'місц.-район.бюджет'!K15+обласной!K15+'госпрозрахунк.'!K15</f>
        <v>6291.900000000001</v>
      </c>
      <c r="L15" s="18">
        <f t="shared" si="6"/>
        <v>173.66067732052662</v>
      </c>
      <c r="M15" s="3">
        <f>населення!M15+льготи!M15+субсидии!M15+'держ.бюджет'!M15+'місц.-район.бюджет'!P15+обласной!M15+'госпрозрахунк.'!M15</f>
        <v>10524.900000000001</v>
      </c>
      <c r="N15" s="3">
        <f>населення!N15+льготи!N15+субсидии!N15+'держ.бюджет'!N15+'місц.-район.бюджет'!Q15+обласной!N15+'госпрозрахунк.'!N15</f>
        <v>9357.3</v>
      </c>
      <c r="O15" s="18">
        <f t="shared" si="7"/>
        <v>88.90630789841232</v>
      </c>
      <c r="P15" s="19">
        <f>населення!P15+льготи!P15+субсидии!P15+'держ.бюджет'!P15+'місц.-район.бюджет'!P15+обласной!P15+'госпрозрахунк.'!P15</f>
        <v>335.8</v>
      </c>
      <c r="Q15" s="19">
        <f>населення!Q15+льготи!Q15+субсидии!Q15+'держ.бюджет'!Q15+'місц.-район.бюджет'!Q15+обласной!Q15+'госпрозрахунк.'!Q15</f>
        <v>2269.6</v>
      </c>
      <c r="R15" s="18">
        <f t="shared" si="1"/>
        <v>675.878499106611</v>
      </c>
      <c r="S15" s="19">
        <f>населення!S15+льготи!S15+субсидии!S15+'держ.бюджет'!S15+'місц.-район.бюджет'!S15+обласной!S15+'госпрозрахунк.'!S15</f>
        <v>15805.000000000002</v>
      </c>
      <c r="T15" s="19">
        <f>населення!T15+льготи!T15+субсидии!T15+'держ.бюджет'!T15+'місц.-район.бюджет'!T15+обласной!T15+'госпрозрахунк.'!T15</f>
        <v>15936.699999999999</v>
      </c>
      <c r="U15" s="18">
        <f t="shared" si="9"/>
        <v>100.83328060740271</v>
      </c>
      <c r="V15" s="4">
        <f>населення!V15+льготи!V15+субсидии!V15+'держ.бюджет'!V15+'місц.-район.бюджет'!V15+обласной!V15+'госпрозрахунк.'!V15</f>
        <v>-131.69999999999982</v>
      </c>
      <c r="W15" s="4">
        <f>населення!W15+льготи!W15+субсидии!W15+'держ.бюджет'!W15+'місц.-район.бюджет'!W15+обласной!W15+'госпрозрахунк.'!W15</f>
        <v>3809.3999999999996</v>
      </c>
      <c r="X15" s="30">
        <f t="shared" si="2"/>
        <v>15805</v>
      </c>
      <c r="Y15" s="30">
        <f t="shared" si="3"/>
        <v>15936.700000000003</v>
      </c>
      <c r="Z15" s="30">
        <f t="shared" si="8"/>
        <v>-131.70000000000255</v>
      </c>
      <c r="AA15" s="30">
        <f t="shared" si="4"/>
        <v>3809.399999999996</v>
      </c>
    </row>
    <row r="16" spans="1:27" ht="24" customHeight="1">
      <c r="A16" s="28">
        <v>9</v>
      </c>
      <c r="B16" s="1" t="s">
        <v>54</v>
      </c>
      <c r="C16" s="122">
        <f>населення!C16+льготи!C16+субсидии!C16+'держ.бюджет'!C16+'місц.-район.бюджет'!C16+обласной!C16+'госпрозрахунк.'!C16</f>
        <v>-128.6</v>
      </c>
      <c r="D16" s="19">
        <f>населення!D16+льготи!D16+субсидии!D16+'держ.бюджет'!D16+'місц.-район.бюджет'!D16+обласной!D16+'госпрозрахунк.'!D16</f>
        <v>1728.6000000000001</v>
      </c>
      <c r="E16" s="19">
        <f>населення!E16+льготи!E16+субсидии!E16+'держ.бюджет'!E16+'місц.-район.бюджет'!E16+обласной!E16+'госпрозрахунк.'!E16</f>
        <v>206.2</v>
      </c>
      <c r="F16" s="18">
        <f t="shared" si="10"/>
        <v>11.928728450769407</v>
      </c>
      <c r="G16" s="19">
        <f>населення!G16+льготи!G16+субсидии!G16+'держ.бюджет'!G16+'місц.-район.бюджет'!G16+обласной!G16+'госпрозрахунк.'!G16</f>
        <v>1705.3999999999999</v>
      </c>
      <c r="H16" s="19">
        <f>населення!H16+льготи!H16+субсидии!H16+'держ.бюджет'!H16+'місц.-район.бюджет'!H16+обласной!H16+'госпрозрахунк.'!H16</f>
        <v>1099.1</v>
      </c>
      <c r="I16" s="18">
        <f t="shared" si="5"/>
        <v>64.44822329072359</v>
      </c>
      <c r="J16" s="19">
        <f>населення!J16+льготи!J16+субсидии!J16+'держ.бюджет'!J16+'місц.-район.бюджет'!J16+обласной!J16+'госпрозрахунк.'!J16</f>
        <v>886.9000000000001</v>
      </c>
      <c r="K16" s="19">
        <f>населення!K16+льготи!K16+субсидии!K16+'держ.бюджет'!K16+'місц.-район.бюджет'!K16+обласной!K16+'госпрозрахунк.'!K16</f>
        <v>733.5</v>
      </c>
      <c r="L16" s="18">
        <f t="shared" si="6"/>
        <v>82.70379975194497</v>
      </c>
      <c r="M16" s="3">
        <f>населення!M16+льготи!M16+субсидии!M16+'держ.бюджет'!M16+'місц.-район.бюджет'!P16+обласной!M16+'госпрозрахунк.'!M16</f>
        <v>176.1</v>
      </c>
      <c r="N16" s="3">
        <f>населення!N16+льготи!N16+субсидии!N16+'держ.бюджет'!N16+'місц.-район.бюджет'!Q16+обласной!N16+'госпрозрахунк.'!N16</f>
        <v>546.4</v>
      </c>
      <c r="O16" s="18">
        <f t="shared" si="7"/>
        <v>310.27825099375355</v>
      </c>
      <c r="P16" s="19">
        <f>населення!P16+льготи!P16+субсидии!P16+'держ.бюджет'!P16+'місц.-район.бюджет'!P16+обласной!P16+'госпрозрахунк.'!P16</f>
        <v>19.4</v>
      </c>
      <c r="Q16" s="19">
        <f>населення!Q16+льготи!Q16+субсидии!Q16+'держ.бюджет'!Q16+'місц.-район.бюджет'!Q16+обласной!Q16+'госпрозрахунк.'!Q16</f>
        <v>422.3</v>
      </c>
      <c r="R16" s="18">
        <f t="shared" si="1"/>
        <v>2176.8041237113403</v>
      </c>
      <c r="S16" s="19">
        <f>населення!S16+льготи!S16+субсидии!S16+'держ.бюджет'!S16+'місц.-район.бюджет'!S16+обласной!S16+'госпрозрахунк.'!S16</f>
        <v>4340.299999999999</v>
      </c>
      <c r="T16" s="19">
        <f>населення!T16+льготи!T16+субсидии!T16+'держ.бюджет'!T16+'місц.-район.бюджет'!T16+обласной!T16+'госпрозрахунк.'!T16</f>
        <v>2461.1</v>
      </c>
      <c r="U16" s="18">
        <f t="shared" si="9"/>
        <v>56.703453678317175</v>
      </c>
      <c r="V16" s="4">
        <f>населення!V16+льготи!V16+субсидии!V16+'держ.бюджет'!V16+'місц.-район.бюджет'!V16+обласной!V16+'госпрозрахунк.'!V16</f>
        <v>1879.1999999999994</v>
      </c>
      <c r="W16" s="4">
        <f>населення!W16+льготи!W16+субсидии!W16+'держ.бюджет'!W16+'місц.-район.бюджет'!W16+обласной!W16+'госпрозрахунк.'!W16</f>
        <v>1750.5999999999995</v>
      </c>
      <c r="X16" s="30">
        <f t="shared" si="2"/>
        <v>4340.299999999999</v>
      </c>
      <c r="Y16" s="30">
        <f t="shared" si="3"/>
        <v>2461.1</v>
      </c>
      <c r="Z16" s="30">
        <f t="shared" si="8"/>
        <v>1879.1999999999994</v>
      </c>
      <c r="AA16" s="30">
        <f t="shared" si="4"/>
        <v>1750.599999999999</v>
      </c>
    </row>
    <row r="17" spans="1:27" ht="24" customHeight="1">
      <c r="A17" s="28">
        <v>10</v>
      </c>
      <c r="B17" s="20" t="s">
        <v>55</v>
      </c>
      <c r="C17" s="122">
        <f>населення!C17+льготи!C17+субсидии!C17+'держ.бюджет'!C17+'місц.-район.бюджет'!C17+обласной!C17+'госпрозрахунк.'!C17</f>
        <v>8010.699999999999</v>
      </c>
      <c r="D17" s="19">
        <f>населення!D17+льготи!D17+субсидии!D17+'держ.бюджет'!D17+'місц.-район.бюджет'!D17+обласной!D17+'госпрозрахунк.'!D17</f>
        <v>3167.2999999999997</v>
      </c>
      <c r="E17" s="19">
        <f>населення!E17+льготи!E17+субсидии!E17+'держ.бюджет'!E17+'місц.-район.бюджет'!E17+обласной!E17+'госпрозрахунк.'!E17</f>
        <v>816.6</v>
      </c>
      <c r="F17" s="18">
        <f t="shared" si="10"/>
        <v>25.782211978656903</v>
      </c>
      <c r="G17" s="19">
        <f>населення!G17+льготи!G17+субсидии!G17+'держ.бюджет'!G17+'місц.-район.бюджет'!G17+обласной!G17+'госпрозрахунк.'!G17</f>
        <v>2710.8</v>
      </c>
      <c r="H17" s="19">
        <f>населення!H17+льготи!H17+субсидии!H17+'держ.бюджет'!H17+'місц.-район.бюджет'!H17+обласной!H17+'госпрозрахунк.'!H17</f>
        <v>1654.5</v>
      </c>
      <c r="I17" s="18">
        <f t="shared" si="5"/>
        <v>61.03364320495794</v>
      </c>
      <c r="J17" s="19">
        <f>населення!J17+льготи!J17+субсидии!J17+'держ.бюджет'!J17+'місц.-район.бюджет'!J17+обласной!J17+'госпрозрахунк.'!J17</f>
        <v>1281.8999999999999</v>
      </c>
      <c r="K17" s="19">
        <f>населення!K17+льготи!K17+субсидии!K17+'держ.бюджет'!K17+'місц.-район.бюджет'!K17+обласной!K17+'госпрозрахунк.'!K17</f>
        <v>1604.5</v>
      </c>
      <c r="L17" s="18">
        <f t="shared" si="6"/>
        <v>125.16576956080819</v>
      </c>
      <c r="M17" s="3">
        <f>населення!M17+льготи!M17+субсидии!M17+'держ.бюджет'!M17+'місц.-район.бюджет'!P17+обласной!M17+'госпрозрахунк.'!M17</f>
        <v>5238.500000000001</v>
      </c>
      <c r="N17" s="3">
        <f>населення!N17+льготи!N17+субсидии!N17+'держ.бюджет'!N17+'місц.-район.бюджет'!Q17+обласной!N17+'госпрозрахунк.'!N17</f>
        <v>2489.4</v>
      </c>
      <c r="O17" s="18">
        <f t="shared" si="7"/>
        <v>47.52123699532308</v>
      </c>
      <c r="P17" s="19">
        <f>населення!P17+льготи!P17+субсидии!P17+'держ.бюджет'!P17+'місц.-район.бюджет'!P17+обласной!P17+'госпрозрахунк.'!P17</f>
        <v>120.5</v>
      </c>
      <c r="Q17" s="19">
        <f>населення!Q17+льготи!Q17+субсидии!Q17+'держ.бюджет'!Q17+'місц.-район.бюджет'!Q17+обласной!Q17+'госпрозрахунк.'!Q17</f>
        <v>983</v>
      </c>
      <c r="R17" s="18">
        <f t="shared" si="1"/>
        <v>815.7676348547717</v>
      </c>
      <c r="S17" s="19">
        <f>населення!S17+льготи!S17+субсидии!S17+'держ.бюджет'!S17+'місц.-район.бюджет'!S17+обласной!S17+'госпрозрахунк.'!S17</f>
        <v>7280.5</v>
      </c>
      <c r="T17" s="19">
        <f>населення!T17+льготи!T17+субсидии!T17+'держ.бюджет'!T17+'місц.-район.бюджет'!T17+обласной!T17+'госпрозрахунк.'!T17</f>
        <v>5058.599999999999</v>
      </c>
      <c r="U17" s="18">
        <f t="shared" si="9"/>
        <v>69.48149165579287</v>
      </c>
      <c r="V17" s="4">
        <f>населення!V17+льготи!V17+субсидии!V17+'держ.бюджет'!V17+'місц.-район.бюджет'!V17+обласной!V17+'госпрозрахунк.'!V17</f>
        <v>2221.9</v>
      </c>
      <c r="W17" s="4">
        <f>населення!W17+льготи!W17+субсидии!W17+'держ.бюджет'!W17+'місц.-район.бюджет'!W17+обласной!W17+'госпрозрахунк.'!W17</f>
        <v>10232.6</v>
      </c>
      <c r="X17" s="30">
        <f t="shared" si="2"/>
        <v>7280.5</v>
      </c>
      <c r="Y17" s="30">
        <f t="shared" si="3"/>
        <v>5058.6</v>
      </c>
      <c r="Z17" s="30">
        <f t="shared" si="8"/>
        <v>2221.8999999999996</v>
      </c>
      <c r="AA17" s="30">
        <f t="shared" si="4"/>
        <v>10232.599999999999</v>
      </c>
    </row>
    <row r="18" spans="1:27" ht="24" customHeight="1">
      <c r="A18" s="28">
        <v>11</v>
      </c>
      <c r="B18" s="20" t="s">
        <v>56</v>
      </c>
      <c r="C18" s="122">
        <f>населення!C18+льготи!C18+субсидии!C18+'держ.бюджет'!C18+'місц.-район.бюджет'!C18+обласной!C18+'госпрозрахунк.'!C18</f>
        <v>114.2</v>
      </c>
      <c r="D18" s="19">
        <f>населення!D18+льготи!D18+субсидии!D18+'держ.бюджет'!D18+'місц.-район.бюджет'!D18+обласной!D18+'госпрозрахунк.'!D18</f>
        <v>714.4</v>
      </c>
      <c r="E18" s="19">
        <f>населення!E18+льготи!E18+субсидии!E18+'держ.бюджет'!E18+'місц.-район.бюджет'!E18+обласной!E18+'госпрозрахунк.'!E18</f>
        <v>336.20000000000005</v>
      </c>
      <c r="F18" s="18">
        <f t="shared" si="10"/>
        <v>47.06047032474805</v>
      </c>
      <c r="G18" s="19">
        <f>населення!G18+льготи!G18+субсидии!G18+'держ.бюджет'!G18+'місц.-район.бюджет'!G18+обласной!G18+'госпрозрахунк.'!G18</f>
        <v>712.5</v>
      </c>
      <c r="H18" s="19">
        <f>населення!H18+льготи!H18+субсидии!H18+'держ.бюджет'!H18+'місц.-район.бюджет'!H18+обласной!H18+'госпрозрахунк.'!H18</f>
        <v>820.5</v>
      </c>
      <c r="I18" s="18">
        <f t="shared" si="5"/>
        <v>115.15789473684211</v>
      </c>
      <c r="J18" s="19">
        <f>населення!J18+льготи!J18+субсидии!J18+'держ.бюджет'!J18+'місц.-район.бюджет'!J18+обласной!J18+'госпрозрахунк.'!J18</f>
        <v>361.5</v>
      </c>
      <c r="K18" s="19">
        <f>населення!K18+льготи!K18+субсидии!K18+'держ.бюджет'!K18+'місц.-район.бюджет'!K18+обласной!K18+'госпрозрахунк.'!K18</f>
        <v>451.70000000000005</v>
      </c>
      <c r="L18" s="18">
        <f t="shared" si="6"/>
        <v>124.95159059474415</v>
      </c>
      <c r="M18" s="3">
        <f>населення!M18+льготи!M18+субсидии!M18+'держ.бюджет'!M18+'місц.-район.бюджет'!P18+обласной!M18+'госпрозрахунк.'!M18</f>
        <v>442</v>
      </c>
      <c r="N18" s="3">
        <f>населення!N18+льготи!N18+субсидии!N18+'держ.бюджет'!N18+'місц.-район.бюджет'!Q18+обласной!N18+'госпрозрахунк.'!N18</f>
        <v>268.79999999999995</v>
      </c>
      <c r="O18" s="18">
        <f t="shared" si="7"/>
        <v>60.81447963800905</v>
      </c>
      <c r="P18" s="19">
        <f>населення!P18+льготи!P18+субсидии!P18+'держ.бюджет'!P18+'місц.-район.бюджет'!P18+обласной!P18+'госпрозрахунк.'!P18</f>
        <v>0</v>
      </c>
      <c r="Q18" s="19">
        <f>населення!Q18+льготи!Q18+субсидии!Q18+'держ.бюджет'!Q18+'місц.-район.бюджет'!Q18+обласной!Q18+'госпрозрахунк.'!Q18</f>
        <v>32.8</v>
      </c>
      <c r="R18" s="40" t="e">
        <f t="shared" si="1"/>
        <v>#DIV/0!</v>
      </c>
      <c r="S18" s="19">
        <f>населення!S18+льготи!S18+субсидии!S18+'держ.бюджет'!S18+'місц.-район.бюджет'!S18+обласной!S18+'госпрозрахунк.'!S18</f>
        <v>1788.4</v>
      </c>
      <c r="T18" s="19">
        <f>населення!T18+льготи!T18+субсидии!T18+'держ.бюджет'!T18+'місц.-район.бюджет'!T18+обласной!T18+'госпрозрахунк.'!T18</f>
        <v>1641.2000000000003</v>
      </c>
      <c r="U18" s="18">
        <f t="shared" si="9"/>
        <v>91.76917915455157</v>
      </c>
      <c r="V18" s="4">
        <f>населення!V18+льготи!V18+субсидии!V18+'держ.бюджет'!V18+'місц.-район.бюджет'!V18+обласной!V18+'госпрозрахунк.'!V18</f>
        <v>147.19999999999996</v>
      </c>
      <c r="W18" s="4">
        <f>населення!W18+льготи!W18+субсидии!W18+'держ.бюджет'!W18+'місц.-район.бюджет'!W18+обласной!W18+'госпрозрахунк.'!W18</f>
        <v>261.4</v>
      </c>
      <c r="X18" s="30">
        <f t="shared" si="2"/>
        <v>1788.4</v>
      </c>
      <c r="Y18" s="30">
        <f t="shared" si="3"/>
        <v>1641.2</v>
      </c>
      <c r="Z18" s="30">
        <f t="shared" si="8"/>
        <v>147.20000000000005</v>
      </c>
      <c r="AA18" s="30">
        <f t="shared" si="4"/>
        <v>261.4000000000001</v>
      </c>
    </row>
    <row r="19" spans="1:28" ht="24" customHeight="1">
      <c r="A19" s="28">
        <v>12</v>
      </c>
      <c r="B19" s="1" t="s">
        <v>80</v>
      </c>
      <c r="C19" s="122">
        <f>населення!C19+льготи!C19+субсидии!C19+'держ.бюджет'!C19+'місц.-район.бюджет'!C19+обласной!C19+'госпрозрахунк.'!C19</f>
        <v>3884.2</v>
      </c>
      <c r="D19" s="19">
        <f>населення!D19+льготи!D19+субсидии!D19+'держ.бюджет'!D19+'місц.-район.бюджет'!D19+обласной!D19+'госпрозрахунк.'!D19</f>
        <v>3883.5</v>
      </c>
      <c r="E19" s="19">
        <f>населення!E19+льготи!E19+субсидии!E19+'держ.бюджет'!E19+'місц.-район.бюджет'!E19+обласной!E19+'госпрозрахунк.'!E19</f>
        <v>986.5999999999998</v>
      </c>
      <c r="F19" s="18">
        <f t="shared" si="10"/>
        <v>25.404918243852194</v>
      </c>
      <c r="G19" s="19">
        <f>населення!G19+льготи!G19+субсидии!G19+'держ.бюджет'!G19+'місц.-район.бюджет'!G19+обласной!G19+'госпрозрахунк.'!G19</f>
        <v>4162.4</v>
      </c>
      <c r="H19" s="19">
        <f>населення!H19+льготи!H19+субсидии!H19+'держ.бюджет'!H19+'місц.-район.бюджет'!H19+обласной!H19+'госпрозрахунк.'!H19</f>
        <v>4551.1</v>
      </c>
      <c r="I19" s="18">
        <f t="shared" si="5"/>
        <v>109.3383624831828</v>
      </c>
      <c r="J19" s="19">
        <f>населення!J19+льготи!J19+субсидии!J19+'держ.бюджет'!J19+'місц.-район.бюджет'!J19+обласной!J19+'госпрозрахунк.'!J19</f>
        <v>2416</v>
      </c>
      <c r="K19" s="19">
        <f>населення!K19+льготи!K19+субсидии!K19+'держ.бюджет'!K19+'місц.-район.бюджет'!K19+обласной!K19+'госпрозрахунк.'!K19</f>
        <v>4204.7</v>
      </c>
      <c r="L19" s="18">
        <f t="shared" si="6"/>
        <v>174.03559602649005</v>
      </c>
      <c r="M19" s="3">
        <f>населення!M19+льготи!M19+субсидии!M19+'держ.бюджет'!M19+'місц.-район.бюджет'!P19+обласной!M19+'госпрозрахунк.'!M19</f>
        <v>6298.099999999999</v>
      </c>
      <c r="N19" s="3">
        <f>населення!N19+льготи!N19+субсидии!N19+'держ.бюджет'!N19+'місц.-район.бюджет'!Q19+обласной!N19+'госпрозрахунк.'!N19</f>
        <v>5068.5</v>
      </c>
      <c r="O19" s="18">
        <f t="shared" si="7"/>
        <v>80.4766516886045</v>
      </c>
      <c r="P19" s="19">
        <f>населення!P19+льготи!P19+субсидии!P19+'держ.бюджет'!P19+'місц.-район.бюджет'!P19+обласной!P19+'госпрозрахунк.'!P19</f>
        <v>17.6</v>
      </c>
      <c r="Q19" s="19">
        <f>населення!Q19+льготи!Q19+субсидии!Q19+'держ.бюджет'!Q19+'місц.-район.бюджет'!Q19+обласной!Q19+'госпрозрахунк.'!Q19</f>
        <v>266.7</v>
      </c>
      <c r="R19" s="18">
        <f t="shared" si="1"/>
        <v>1515.3409090909088</v>
      </c>
      <c r="S19" s="19">
        <f>населення!S19+льготи!S19+субсидии!S19+'держ.бюджет'!S19+'місц.-район.бюджет'!S19+обласной!S19+'госпрозрахунк.'!S19</f>
        <v>10479.5</v>
      </c>
      <c r="T19" s="19">
        <f>населення!T19+льготи!T19+субсидии!T19+'держ.бюджет'!T19+'місц.-район.бюджет'!T19+обласной!T19+'госпрозрахунк.'!T19</f>
        <v>10009.099999999999</v>
      </c>
      <c r="U19" s="18">
        <f t="shared" si="9"/>
        <v>95.51123622310223</v>
      </c>
      <c r="V19" s="4">
        <f>населення!V19+льготи!V19+субсидии!V19+'держ.бюджет'!V19+'місц.-район.бюджет'!V19+обласной!V19+'госпрозрахунк.'!V19</f>
        <v>470.39999999999975</v>
      </c>
      <c r="W19" s="4">
        <f>населення!W19+льготи!W19+субсидии!W19+'держ.бюджет'!W19+'місц.-район.бюджет'!W19+обласной!W19+'госпрозрахунк.'!W19</f>
        <v>4354.599999999999</v>
      </c>
      <c r="X19" s="30">
        <f t="shared" si="2"/>
        <v>10479.5</v>
      </c>
      <c r="Y19" s="30">
        <f t="shared" si="3"/>
        <v>10009.1</v>
      </c>
      <c r="Z19" s="30">
        <f>X19-Y19</f>
        <v>470.39999999999964</v>
      </c>
      <c r="AA19" s="30">
        <f t="shared" si="4"/>
        <v>4354.6</v>
      </c>
      <c r="AB19" s="27">
        <f>AA19-W19</f>
        <v>0</v>
      </c>
    </row>
    <row r="20" spans="1:27" ht="24" customHeight="1">
      <c r="A20" s="6">
        <v>13</v>
      </c>
      <c r="B20" s="20" t="s">
        <v>57</v>
      </c>
      <c r="C20" s="122">
        <f>населення!C20+льготи!C20+субсидии!C20+'держ.бюджет'!C20+'місц.-район.бюджет'!C20+обласной!C20+'госпрозрахунк.'!C20</f>
        <v>-1.7</v>
      </c>
      <c r="D20" s="19">
        <f>населення!D20+льготи!D20+субсидии!D20+'держ.бюджет'!D20+'місц.-район.бюджет'!D20+обласной!D20+'госпрозрахунк.'!D20</f>
        <v>0</v>
      </c>
      <c r="E20" s="19">
        <f>населення!E20+льготи!E20+субсидии!E20+'держ.бюджет'!E20+'місц.-район.бюджет'!E20+обласной!E20+'госпрозрахунк.'!E20</f>
        <v>0</v>
      </c>
      <c r="F20" s="40" t="e">
        <f t="shared" si="10"/>
        <v>#DIV/0!</v>
      </c>
      <c r="G20" s="19">
        <f>населення!G20+льготи!G20+субсидии!G20+'держ.бюджет'!G20+'місц.-район.бюджет'!G20+обласной!G20+'госпрозрахунк.'!G20</f>
        <v>0</v>
      </c>
      <c r="H20" s="19">
        <f>населення!H20+льготи!H20+субсидии!H20+'держ.бюджет'!H20+'місц.-район.бюджет'!H20+обласной!H20+'госпрозрахунк.'!H20</f>
        <v>0</v>
      </c>
      <c r="I20" s="40" t="e">
        <f t="shared" si="5"/>
        <v>#DIV/0!</v>
      </c>
      <c r="J20" s="19">
        <f>населення!J20+льготи!J20+субсидии!J20+'держ.бюджет'!J20+'місц.-район.бюджет'!J20+обласной!J20+'госпрозрахунк.'!J20</f>
        <v>0</v>
      </c>
      <c r="K20" s="19">
        <f>населення!K20+льготи!K20+субсидии!K20+'держ.бюджет'!K20+'місц.-район.бюджет'!K20+обласной!K20+'госпрозрахунк.'!K20</f>
        <v>0</v>
      </c>
      <c r="L20" s="40" t="e">
        <f t="shared" si="6"/>
        <v>#DIV/0!</v>
      </c>
      <c r="M20" s="3">
        <f>населення!M20+льготи!M20+субсидии!M20+'держ.бюджет'!M20+'місц.-район.бюджет'!P20+обласной!M20+'госпрозрахунк.'!M20</f>
        <v>0</v>
      </c>
      <c r="N20" s="3">
        <f>населення!N20+льготи!N20+субсидии!N20+'держ.бюджет'!N20+'місц.-район.бюджет'!Q20+обласной!N20+'госпрозрахунк.'!N20</f>
        <v>0</v>
      </c>
      <c r="O20" s="40" t="e">
        <f t="shared" si="7"/>
        <v>#DIV/0!</v>
      </c>
      <c r="P20" s="19">
        <f>населення!P20+льготи!P20+субсидии!P20+'держ.бюджет'!P20+'місц.-район.бюджет'!P20+обласной!P20+'госпрозрахунк.'!P20</f>
        <v>0</v>
      </c>
      <c r="Q20" s="19">
        <f>населення!Q20+льготи!Q20+субсидии!Q20+'держ.бюджет'!Q20+'місц.-район.бюджет'!Q20+обласной!Q20+'госпрозрахунк.'!Q20</f>
        <v>0</v>
      </c>
      <c r="R20" s="40" t="e">
        <f t="shared" si="1"/>
        <v>#DIV/0!</v>
      </c>
      <c r="S20" s="19">
        <f>населення!S20+льготи!S20+субсидии!S20+'держ.бюджет'!S20+'місц.-район.бюджет'!S20+обласной!S20+'госпрозрахунк.'!S20</f>
        <v>0</v>
      </c>
      <c r="T20" s="19">
        <f>населення!T20+льготи!T20+субсидии!T20+'держ.бюджет'!T20+'місц.-район.бюджет'!T20+обласной!T20+'госпрозрахунк.'!T20</f>
        <v>0</v>
      </c>
      <c r="U20" s="40" t="e">
        <f t="shared" si="9"/>
        <v>#DIV/0!</v>
      </c>
      <c r="V20" s="4">
        <f>населення!V20+льготи!V20+субсидии!V20+'держ.бюджет'!V20+'місц.-район.бюджет'!V20+обласной!V20+'госпрозрахунк.'!V20</f>
        <v>0</v>
      </c>
      <c r="W20" s="4">
        <f>населення!W20+льготи!W20+субсидии!W20+'держ.бюджет'!W20+'місц.-район.бюджет'!W20+обласной!W20+'госпрозрахунк.'!W20</f>
        <v>-1.7</v>
      </c>
      <c r="X20" s="30">
        <f t="shared" si="2"/>
        <v>0</v>
      </c>
      <c r="Y20" s="30">
        <f t="shared" si="3"/>
        <v>0</v>
      </c>
      <c r="Z20" s="30">
        <f t="shared" si="8"/>
        <v>0</v>
      </c>
      <c r="AA20" s="30">
        <f t="shared" si="4"/>
        <v>-1.7</v>
      </c>
    </row>
    <row r="21" spans="1:27" ht="24" customHeight="1">
      <c r="A21" s="28">
        <v>14</v>
      </c>
      <c r="B21" s="20" t="s">
        <v>58</v>
      </c>
      <c r="C21" s="122">
        <f>населення!C21+льготи!C21+субсидии!C21+'держ.бюджет'!C21+'місц.-район.бюджет'!C21+обласной!C21+'госпрозрахунк.'!C21</f>
        <v>-412.5</v>
      </c>
      <c r="D21" s="19">
        <f>населення!D21+льготи!D21+субсидии!D21+'держ.бюджет'!D21+'місц.-район.бюджет'!D21+обласной!D21+'госпрозрахунк.'!D21</f>
        <v>693.5</v>
      </c>
      <c r="E21" s="19">
        <f>населення!E21+льготи!E21+субсидии!E21+'держ.бюджет'!E21+'місц.-район.бюджет'!E21+обласной!E21+'госпрозрахунк.'!E21</f>
        <v>102.6</v>
      </c>
      <c r="F21" s="18">
        <f t="shared" si="10"/>
        <v>14.794520547945206</v>
      </c>
      <c r="G21" s="19">
        <f>населення!G21+льготи!G21+субсидии!G21+'держ.бюджет'!G21+'місц.-район.бюджет'!G21+обласной!G21+'госпрозрахунк.'!G21</f>
        <v>565.4</v>
      </c>
      <c r="H21" s="19">
        <f>населення!H21+льготи!H21+субсидии!H21+'держ.бюджет'!H21+'місц.-район.бюджет'!H21+обласной!H21+'госпрозрахунк.'!H21</f>
        <v>628</v>
      </c>
      <c r="I21" s="18">
        <f t="shared" si="5"/>
        <v>111.07180756986206</v>
      </c>
      <c r="J21" s="19">
        <f>населення!J21+льготи!J21+субсидии!J21+'держ.бюджет'!J21+'місц.-район.бюджет'!J21+обласной!J21+'госпрозрахунк.'!J21</f>
        <v>401.29999999999995</v>
      </c>
      <c r="K21" s="19">
        <f>населення!K21+льготи!K21+субсидии!K21+'держ.бюджет'!K21+'місц.-район.бюджет'!K21+обласной!K21+'госпрозрахунк.'!K21</f>
        <v>491.9</v>
      </c>
      <c r="L21" s="18">
        <f t="shared" si="6"/>
        <v>122.57662596561177</v>
      </c>
      <c r="M21" s="3">
        <f>населення!M21+льготи!M21+субсидии!M21+'держ.бюджет'!M21+'місц.-район.бюджет'!P21+обласной!M21+'госпрозрахунк.'!M21</f>
        <v>1357</v>
      </c>
      <c r="N21" s="3">
        <f>населення!N21+льготи!N21+субсидии!N21+'держ.бюджет'!N21+'місц.-район.бюджет'!Q21+обласной!N21+'госпрозрахунк.'!N21</f>
        <v>1043.1</v>
      </c>
      <c r="O21" s="18">
        <f t="shared" si="7"/>
        <v>76.86809137803978</v>
      </c>
      <c r="P21" s="19">
        <f>населення!P21+льготи!P21+субсидии!P21+'держ.бюджет'!P21+'місц.-район.бюджет'!P21+обласной!P21+'госпрозрахунк.'!P21</f>
        <v>134.8</v>
      </c>
      <c r="Q21" s="19">
        <f>населення!Q21+льготи!Q21+субсидии!Q21+'держ.бюджет'!Q21+'місц.-район.бюджет'!Q21+обласной!Q21+'госпрозрахунк.'!Q21</f>
        <v>199.39999999999998</v>
      </c>
      <c r="R21" s="18">
        <f t="shared" si="1"/>
        <v>147.9228486646884</v>
      </c>
      <c r="S21" s="19">
        <f>населення!S21+льготи!S21+субсидии!S21+'держ.бюджет'!S21+'місц.-район.бюджет'!S21+обласной!S21+'госпрозрахунк.'!S21</f>
        <v>1795</v>
      </c>
      <c r="T21" s="19">
        <f>населення!T21+льготи!T21+субсидии!T21+'держ.бюджет'!T21+'місц.-район.бюджет'!T21+обласной!T21+'госпрозрахунк.'!T21</f>
        <v>1421.9</v>
      </c>
      <c r="U21" s="18">
        <f t="shared" si="9"/>
        <v>79.21448467966574</v>
      </c>
      <c r="V21" s="4">
        <f>населення!V21+льготи!V21+субсидии!V21+'держ.бюджет'!V21+'місц.-район.бюджет'!V21+обласной!V21+'госпрозрахунк.'!V21</f>
        <v>373.09999999999997</v>
      </c>
      <c r="W21" s="4">
        <f>населення!W21+льготи!W21+субсидии!W21+'держ.бюджет'!W21+'місц.-район.бюджет'!W21+обласной!W21+'госпрозрахунк.'!W21</f>
        <v>-39.4</v>
      </c>
      <c r="X21" s="30">
        <f t="shared" si="2"/>
        <v>1795</v>
      </c>
      <c r="Y21" s="30">
        <f t="shared" si="3"/>
        <v>1421.9</v>
      </c>
      <c r="Z21" s="30">
        <f t="shared" si="8"/>
        <v>373.0999999999999</v>
      </c>
      <c r="AA21" s="30">
        <f t="shared" si="4"/>
        <v>-39.40000000000009</v>
      </c>
    </row>
    <row r="22" spans="1:27" ht="30" customHeight="1">
      <c r="A22" s="28">
        <v>15</v>
      </c>
      <c r="B22" s="20" t="s">
        <v>59</v>
      </c>
      <c r="C22" s="122">
        <f>населення!C22+льготи!C22+субсидии!C22+'держ.бюджет'!C22+'місц.-район.бюджет'!C22+обласной!C22+'госпрозрахунк.'!C22</f>
        <v>197.2</v>
      </c>
      <c r="D22" s="19">
        <f>населення!D22+льготи!D22+субсидии!D22+'держ.бюджет'!D22+'місц.-район.бюджет'!D22+обласной!D22+'госпрозрахунк.'!D22</f>
        <v>1536.6999999999998</v>
      </c>
      <c r="E22" s="19">
        <f>населення!E22+льготи!E22+субсидии!E22+'держ.бюджет'!E22+'місц.-район.бюджет'!E22+обласной!E22+'госпрозрахунк.'!E22</f>
        <v>1456.8000000000002</v>
      </c>
      <c r="F22" s="18">
        <f t="shared" si="10"/>
        <v>94.80054662588667</v>
      </c>
      <c r="G22" s="19">
        <f>населення!G22+льготи!G22+субсидии!G22+'держ.бюджет'!G22+'місц.-район.бюджет'!G22+обласной!G22+'госпрозрахунк.'!G22</f>
        <v>1534.7</v>
      </c>
      <c r="H22" s="19">
        <f>населення!H22+льготи!H22+субсидии!H22+'держ.бюджет'!H22+'місц.-район.бюджет'!H22+обласной!H22+'госпрозрахунк.'!H22</f>
        <v>1457.9</v>
      </c>
      <c r="I22" s="18">
        <f t="shared" si="5"/>
        <v>94.99576464455595</v>
      </c>
      <c r="J22" s="19">
        <f>населення!J22+льготи!J22+субсидии!J22+'держ.бюджет'!J22+'місц.-район.бюджет'!J22+обласной!J22+'госпрозрахунк.'!J22</f>
        <v>1041.7</v>
      </c>
      <c r="K22" s="19">
        <f>населення!K22+льготи!K22+субсидии!K22+'держ.бюджет'!K22+'місц.-район.бюджет'!K22+обласной!K22+'госпрозрахунк.'!K22</f>
        <v>1084.3</v>
      </c>
      <c r="L22" s="18">
        <f t="shared" si="6"/>
        <v>104.0894691369876</v>
      </c>
      <c r="M22" s="3">
        <f>населення!M22+льготи!M22+субсидии!M22+'держ.бюджет'!M22+'місц.-район.бюджет'!P22+обласной!M22+'госпрозрахунк.'!M22</f>
        <v>431.70000000000005</v>
      </c>
      <c r="N22" s="3">
        <f>населення!N22+льготи!N22+субсидии!N22+'держ.бюджет'!N22+'місц.-район.бюджет'!Q22+обласной!N22+'госпрозрахунк.'!N22</f>
        <v>320.5</v>
      </c>
      <c r="O22" s="18">
        <f t="shared" si="7"/>
        <v>74.24137132267778</v>
      </c>
      <c r="P22" s="19">
        <f>населення!P22+льготи!P22+субсидии!P22+'держ.бюджет'!P22+'місц.-район.бюджет'!P22+обласной!P22+'госпрозрахунк.'!P22</f>
        <v>161.1</v>
      </c>
      <c r="Q22" s="19">
        <f>населення!Q22+льготи!Q22+субсидии!Q22+'держ.бюджет'!Q22+'місц.-район.бюджет'!Q22+обласной!Q22+'госпрозрахунк.'!Q22</f>
        <v>239.99999999999997</v>
      </c>
      <c r="R22" s="18">
        <f t="shared" si="1"/>
        <v>148.975791433892</v>
      </c>
      <c r="S22" s="19">
        <f>населення!S22+льготи!S22+субсидии!S22+'держ.бюджет'!S22+'місц.-район.бюджет'!S22+обласной!S22+'госпрозрахунк.'!S22</f>
        <v>4274.2</v>
      </c>
      <c r="T22" s="19">
        <f>населення!T22+льготи!T22+субсидии!T22+'держ.бюджет'!T22+'місц.-район.бюджет'!T22+обласной!T22+'госпрозрахунк.'!T22</f>
        <v>4238.999999999999</v>
      </c>
      <c r="U22" s="18">
        <f t="shared" si="9"/>
        <v>99.17645407327686</v>
      </c>
      <c r="V22" s="4">
        <f>населення!V22+льготи!V22+субсидии!V22+'держ.бюджет'!V22+'місц.-район.бюджет'!V22+обласной!V22+'госпрозрахунк.'!V22</f>
        <v>35.20000000000064</v>
      </c>
      <c r="W22" s="4">
        <f>населення!W22+льготи!W22+субсидии!W22+'держ.бюджет'!W22+'місц.-район.бюджет'!W22+обласной!W22+'госпрозрахунк.'!W22</f>
        <v>232.40000000000003</v>
      </c>
      <c r="X22" s="30">
        <f t="shared" si="2"/>
        <v>4274.2</v>
      </c>
      <c r="Y22" s="30">
        <f t="shared" si="3"/>
        <v>4239</v>
      </c>
      <c r="Z22" s="30">
        <f t="shared" si="8"/>
        <v>35.19999999999982</v>
      </c>
      <c r="AA22" s="30">
        <f t="shared" si="4"/>
        <v>232.39999999999964</v>
      </c>
    </row>
    <row r="23" spans="1:27" ht="29.25" customHeight="1">
      <c r="A23" s="28">
        <v>16</v>
      </c>
      <c r="B23" s="20" t="s">
        <v>60</v>
      </c>
      <c r="C23" s="123"/>
      <c r="D23" s="124"/>
      <c r="E23" s="124"/>
      <c r="F23" s="124"/>
      <c r="G23" s="124"/>
      <c r="H23" s="124"/>
      <c r="I23" s="124"/>
      <c r="J23" s="19"/>
      <c r="K23" s="19"/>
      <c r="L23" s="124"/>
      <c r="M23" s="3"/>
      <c r="N23" s="3"/>
      <c r="O23" s="18"/>
      <c r="P23" s="19"/>
      <c r="Q23" s="19"/>
      <c r="R23" s="124"/>
      <c r="S23" s="19"/>
      <c r="T23" s="19"/>
      <c r="U23" s="124"/>
      <c r="V23" s="4">
        <f>населення!V23+льготи!V23+субсидии!V23+'держ.бюджет'!V23+'місц.-район.бюджет'!V23+обласной!V23+'госпрозрахунк.'!V23</f>
        <v>0</v>
      </c>
      <c r="W23" s="4">
        <f>населення!W23+льготи!W23+субсидии!W23+'держ.бюджет'!W23+'місц.-район.бюджет'!W23+обласной!W23+'госпрозрахунк.'!W23</f>
        <v>0</v>
      </c>
      <c r="X23" s="30">
        <f t="shared" si="2"/>
        <v>0</v>
      </c>
      <c r="Y23" s="30">
        <f t="shared" si="3"/>
        <v>0</v>
      </c>
      <c r="Z23" s="30">
        <f t="shared" si="8"/>
        <v>0</v>
      </c>
      <c r="AA23" s="30">
        <f t="shared" si="4"/>
        <v>0</v>
      </c>
    </row>
    <row r="24" spans="1:27" ht="27.75" customHeight="1">
      <c r="A24" s="28" t="s">
        <v>10</v>
      </c>
      <c r="B24" s="20" t="s">
        <v>61</v>
      </c>
      <c r="C24" s="122">
        <f>населення!C24+льготи!C24+субсидии!C24+'держ.бюджет'!C24+'місц.-район.бюджет'!C24+обласной!C24+'госпрозрахунк.'!C24</f>
        <v>15741.8</v>
      </c>
      <c r="D24" s="19">
        <f>населення!D24+льготи!D24+субсидии!D24+'держ.бюджет'!D24+'місц.-район.бюджет'!D24+обласной!D24+'госпрозрахунк.'!D24</f>
        <v>10888.3</v>
      </c>
      <c r="E24" s="19">
        <f>населення!E24+льготи!E24+субсидии!E24+'держ.бюджет'!E24+'місц.-район.бюджет'!E24+обласной!E24+'госпрозрахунк.'!E24</f>
        <v>11260.6</v>
      </c>
      <c r="F24" s="18">
        <f>E24/D24*100</f>
        <v>103.41926655217068</v>
      </c>
      <c r="G24" s="19">
        <f>населення!G24+льготи!G24+субсидии!G24+'держ.бюджет'!G24+'місц.-район.бюджет'!G24+обласной!G24+'госпрозрахунк.'!G24</f>
        <v>9291.800000000001</v>
      </c>
      <c r="H24" s="19">
        <f>населення!H24+льготи!H24+субсидии!H24+'держ.бюджет'!H24+'місц.-район.бюджет'!H24+обласной!H24+'госпрозрахунк.'!H24</f>
        <v>7653.099999999999</v>
      </c>
      <c r="I24" s="18">
        <f>H24/G24*100</f>
        <v>82.36401988850382</v>
      </c>
      <c r="J24" s="19">
        <f>населення!J24+льготи!J24+субсидии!J24+'держ.бюджет'!J24+'місц.-район.бюджет'!J24+обласной!J24+'госпрозрахунк.'!J24</f>
        <v>5252.2</v>
      </c>
      <c r="K24" s="19">
        <f>населення!K24+льготи!K24+субсидии!K24+'держ.бюджет'!K24+'місц.-район.бюджет'!K24+обласной!K24+'госпрозрахунк.'!K24</f>
        <v>6408.300000000001</v>
      </c>
      <c r="L24" s="18">
        <f>K24/J24*100</f>
        <v>122.01172841856749</v>
      </c>
      <c r="M24" s="3">
        <f>населення!M24+льготи!M24+субсидии!M24+'держ.бюджет'!M24+'місц.-район.бюджет'!P24+обласной!M24+'госпрозрахунк.'!M24</f>
        <v>19902.4</v>
      </c>
      <c r="N24" s="3">
        <f>населення!N24+льготи!N24+субсидии!N24+'держ.бюджет'!N24+'місц.-район.бюджет'!Q24+обласной!N24+'госпрозрахунк.'!N24</f>
        <v>19726.799999999996</v>
      </c>
      <c r="O24" s="18">
        <f t="shared" si="7"/>
        <v>99.11769434842026</v>
      </c>
      <c r="P24" s="19">
        <f>населення!P24+льготи!P24+субсидии!P24+'держ.бюджет'!P24+'місц.-район.бюджет'!P24+обласной!P24+'госпрозрахунк.'!P24</f>
        <v>1.4210854715202004E-14</v>
      </c>
      <c r="Q24" s="19">
        <f>населення!Q24+льготи!Q24+субсидии!Q24+'держ.бюджет'!Q24+'місц.-район.бюджет'!Q24+обласной!Q24+'госпрозрахунк.'!Q24</f>
        <v>3748.7999999999997</v>
      </c>
      <c r="R24" s="40">
        <f>Q24/P24*100</f>
        <v>2.637983481732268E+19</v>
      </c>
      <c r="S24" s="19">
        <f>населення!S24+льготи!S24+субсидии!S24+'держ.бюджет'!S24+'місц.-район.бюджет'!S24+обласной!S24+'госпрозрахунк.'!S24</f>
        <v>25432.3</v>
      </c>
      <c r="T24" s="19">
        <f>населення!T24+льготи!T24+субсидии!T24+'держ.бюджет'!T24+'місц.-район.бюджет'!T24+обласной!T24+'госпрозрахунк.'!T24</f>
        <v>29070.8</v>
      </c>
      <c r="U24" s="18">
        <f t="shared" si="9"/>
        <v>114.30661009818223</v>
      </c>
      <c r="V24" s="4">
        <f>населення!V24+льготи!V24+субсидии!V24+'держ.бюджет'!V24+'місц.-район.бюджет'!V24+обласной!V24+'госпрозрахунк.'!V24</f>
        <v>-3638.5</v>
      </c>
      <c r="W24" s="4">
        <f>населення!W24+льготи!W24+субсидии!W24+'держ.бюджет'!W24+'місц.-район.бюджет'!W24+обласной!W24+'госпрозрахунк.'!W24</f>
        <v>12103.3</v>
      </c>
      <c r="X24" s="30">
        <f t="shared" si="2"/>
        <v>25432.3</v>
      </c>
      <c r="Y24" s="30">
        <f t="shared" si="3"/>
        <v>29070.8</v>
      </c>
      <c r="Z24" s="30">
        <f t="shared" si="8"/>
        <v>-3638.5</v>
      </c>
      <c r="AA24" s="30">
        <f t="shared" si="4"/>
        <v>12103.3</v>
      </c>
    </row>
    <row r="25" spans="1:27" ht="22.5" customHeight="1">
      <c r="A25" s="28">
        <v>18</v>
      </c>
      <c r="B25" s="1" t="s">
        <v>62</v>
      </c>
      <c r="C25" s="122">
        <f>населення!C25+льготи!C25+субсидии!C25+'держ.бюджет'!C25+'місц.-район.бюджет'!C25+обласной!C25+'госпрозрахунк.'!C25</f>
        <v>-299.2</v>
      </c>
      <c r="D25" s="19">
        <f>населення!D25+льготи!D25+субсидии!D25+'держ.бюджет'!D25+'місц.-район.бюджет'!D25+обласной!D25+'госпрозрахунк.'!D25</f>
        <v>1232.1000000000001</v>
      </c>
      <c r="E25" s="19">
        <f>населення!E25+льготи!E25+субсидии!E25+'держ.бюджет'!E25+'місц.-район.бюджет'!E25+обласной!E25+'госпрозрахунк.'!E25</f>
        <v>290.70000000000005</v>
      </c>
      <c r="F25" s="45">
        <f>E25/D25*100</f>
        <v>23.593864134404676</v>
      </c>
      <c r="G25" s="19">
        <f>населення!G25+льготи!G25+субсидии!G25+'держ.бюджет'!G25+'місц.-район.бюджет'!G25+обласной!G25+'госпрозрахунк.'!G25</f>
        <v>1006.3999999999999</v>
      </c>
      <c r="H25" s="19">
        <f>населення!H25+льготи!H25+субсидии!H25+'держ.бюджет'!H25+'місц.-район.бюджет'!H25+обласной!H25+'госпрозрахунк.'!H25</f>
        <v>763.8</v>
      </c>
      <c r="I25" s="18">
        <f>H25/G25*100</f>
        <v>75.89427662957075</v>
      </c>
      <c r="J25" s="19">
        <f>населення!J25+льготи!J25+субсидии!J25+'держ.бюджет'!J25+'місц.-район.бюджет'!J25+обласной!J25+'госпрозрахунк.'!J25</f>
        <v>576.6</v>
      </c>
      <c r="K25" s="19">
        <f>населення!K25+льготи!K25+субсидии!K25+'держ.бюджет'!K25+'місц.-район.бюджет'!K25+обласной!K25+'госпрозрахунк.'!K25</f>
        <v>754.3</v>
      </c>
      <c r="L25" s="18">
        <f>K25/J25*100</f>
        <v>130.81859174471035</v>
      </c>
      <c r="M25" s="3">
        <f>населення!M25+льготи!M25+субсидии!M25+'держ.бюджет'!M25+'місц.-район.бюджет'!P25+обласной!M25+'госпрозрахунк.'!M25</f>
        <v>1171.7</v>
      </c>
      <c r="N25" s="3">
        <f>населення!N25+льготи!N25+субсидии!N25+'держ.бюджет'!N25+'місц.-район.бюджет'!Q25+обласной!N25+'госпрозрахунк.'!N25</f>
        <v>980.5</v>
      </c>
      <c r="O25" s="18">
        <f t="shared" si="7"/>
        <v>83.68182981991977</v>
      </c>
      <c r="P25" s="19">
        <f>населення!P25+льготи!P25+субсидии!P25+'держ.бюджет'!P25+'місц.-район.бюджет'!P25+обласной!P25+'госпрозрахунк.'!P25</f>
        <v>87.5</v>
      </c>
      <c r="Q25" s="19">
        <f>населення!Q25+льготи!Q25+субсидии!Q25+'держ.бюджет'!Q25+'місц.-район.бюджет'!Q25+обласной!Q25+'госпрозрахунк.'!Q25</f>
        <v>186.5</v>
      </c>
      <c r="R25" s="18">
        <f>Q25/P25*100</f>
        <v>213.1428571428571</v>
      </c>
      <c r="S25" s="19">
        <f>населення!S25+льготи!S25+субсидии!S25+'держ.бюджет'!S25+'місц.-район.бюджет'!S25+обласной!S25+'госпрозрахунк.'!S25</f>
        <v>2902.6000000000004</v>
      </c>
      <c r="T25" s="19">
        <f>населення!T25+льготи!T25+субсидии!T25+'держ.бюджет'!T25+'місц.-район.бюджет'!T25+обласной!T25+'госпрозрахунк.'!T25</f>
        <v>1995.3000000000002</v>
      </c>
      <c r="U25" s="18">
        <f t="shared" si="9"/>
        <v>68.74181768070005</v>
      </c>
      <c r="V25" s="4">
        <f>населення!V25+льготи!V25+субсидии!V25+'держ.бюджет'!V25+'місц.-район.бюджет'!V25+обласной!V25+'госпрозрахунк.'!V25</f>
        <v>907.3</v>
      </c>
      <c r="W25" s="4">
        <f>населення!W25+льготи!W25+субсидии!W25+'держ.бюджет'!W25+'місц.-район.бюджет'!W25+обласной!W25+'госпрозрахунк.'!W25</f>
        <v>608.0999999999999</v>
      </c>
      <c r="X25" s="30">
        <f t="shared" si="2"/>
        <v>2902.6</v>
      </c>
      <c r="Y25" s="30">
        <f t="shared" si="3"/>
        <v>1995.3</v>
      </c>
      <c r="Z25" s="30">
        <f t="shared" si="8"/>
        <v>907.3</v>
      </c>
      <c r="AA25" s="30">
        <f t="shared" si="4"/>
        <v>608.1000000000001</v>
      </c>
    </row>
    <row r="26" spans="1:27" ht="24.75" customHeight="1">
      <c r="A26" s="28">
        <v>19</v>
      </c>
      <c r="B26" s="20" t="s">
        <v>63</v>
      </c>
      <c r="C26" s="122">
        <f>населення!C26+льготи!C26+субсидии!C26+'держ.бюджет'!C26+'місц.-район.бюджет'!C26+обласной!C26+'госпрозрахунк.'!C26</f>
        <v>2389.9</v>
      </c>
      <c r="D26" s="19">
        <f>населення!D26+льготи!D26+субсидии!D26+'держ.бюджет'!D26+'місц.-район.бюджет'!D26+обласной!D26+'госпрозрахунк.'!D26</f>
        <v>1689.6</v>
      </c>
      <c r="E26" s="19">
        <f>населення!E26+льготи!E26+субсидии!E26+'держ.бюджет'!E26+'місц.-район.бюджет'!E26+обласной!E26+'госпрозрахунк.'!E26</f>
        <v>532.6</v>
      </c>
      <c r="F26" s="18">
        <f>E26/D26*100</f>
        <v>31.52225378787879</v>
      </c>
      <c r="G26" s="19">
        <f>населення!G26+льготи!G26+субсидии!G26+'держ.бюджет'!G26+'місц.-район.бюджет'!G26+обласной!G26+'госпрозрахунк.'!G26</f>
        <v>1383.1</v>
      </c>
      <c r="H26" s="19">
        <f>населення!H26+льготи!H26+субсидии!H26+'держ.бюджет'!H26+'місц.-район.бюджет'!H26+обласной!H26+'госпрозрахунк.'!H26</f>
        <v>1772.6</v>
      </c>
      <c r="I26" s="18">
        <f>H26/G26*100</f>
        <v>128.16137661774277</v>
      </c>
      <c r="J26" s="19">
        <f>населення!J26+льготи!J26+субсидии!J26+'держ.бюджет'!J26+'місц.-район.бюджет'!J26+обласной!J26+'госпрозрахунк.'!J26</f>
        <v>892.9</v>
      </c>
      <c r="K26" s="19">
        <f>населення!K26+льготи!K26+субсидии!K26+'держ.бюджет'!K26+'місц.-район.бюджет'!K26+обласной!K26+'госпрозрахунк.'!K26</f>
        <v>538.4</v>
      </c>
      <c r="L26" s="18">
        <f>K26/J26*100</f>
        <v>60.29790570052638</v>
      </c>
      <c r="M26" s="3">
        <f>населення!M26+льготи!M26+субсидии!M26+'держ.бюджет'!M26+'місц.-район.бюджет'!P26+обласной!M26+'госпрозрахунк.'!M26</f>
        <v>1735.3</v>
      </c>
      <c r="N26" s="3">
        <f>населення!N26+льготи!N26+субсидии!N26+'держ.бюджет'!N26+'місц.-район.бюджет'!Q26+обласной!N26+'госпрозрахунк.'!N26</f>
        <v>805.5</v>
      </c>
      <c r="O26" s="18">
        <f t="shared" si="7"/>
        <v>46.41848671699418</v>
      </c>
      <c r="P26" s="19">
        <f>населення!P26+льготи!P26+субсидии!P26+'держ.бюджет'!P26+'місц.-район.бюджет'!P26+обласной!P26+'госпрозрахунк.'!P26</f>
        <v>25.299999999999997</v>
      </c>
      <c r="Q26" s="19">
        <f>населення!Q26+льготи!Q26+субсидии!Q26+'держ.бюджет'!Q26+'місц.-район.бюджет'!Q26+обласной!Q26+'госпрозрахунк.'!Q26</f>
        <v>324.30000000000007</v>
      </c>
      <c r="R26" s="18">
        <f>Q26/P26*100</f>
        <v>1281.8181818181822</v>
      </c>
      <c r="S26" s="19">
        <f>населення!S26+льготи!S26+субсидии!S26+'держ.бюджет'!S26+'місц.-район.бюджет'!S26+обласной!S26+'госпрозрахунк.'!S26</f>
        <v>3990.8999999999996</v>
      </c>
      <c r="T26" s="19">
        <f>населення!T26+льготи!T26+субсидии!T26+'держ.бюджет'!T26+'місц.-район.бюджет'!T26+обласной!T26+'госпрозрахунк.'!T26</f>
        <v>3167.8999999999996</v>
      </c>
      <c r="U26" s="18">
        <f t="shared" si="9"/>
        <v>79.37808514370191</v>
      </c>
      <c r="V26" s="4">
        <f>населення!V26+льготи!V26+субсидии!V26+'держ.бюджет'!V26+'місц.-район.бюджет'!V26+обласной!V26+'госпрозрахунк.'!V26</f>
        <v>823.0000000000002</v>
      </c>
      <c r="W26" s="4">
        <f>населення!W26+льготи!W26+субсидии!W26+'держ.бюджет'!W26+'місц.-район.бюджет'!W26+обласной!W26+'госпрозрахунк.'!W26</f>
        <v>3212.8999999999996</v>
      </c>
      <c r="X26" s="30">
        <f t="shared" si="2"/>
        <v>3990.9</v>
      </c>
      <c r="Y26" s="30">
        <f t="shared" si="3"/>
        <v>3167.9</v>
      </c>
      <c r="Z26" s="30">
        <f t="shared" si="8"/>
        <v>823</v>
      </c>
      <c r="AA26" s="30">
        <f t="shared" si="4"/>
        <v>3212.9</v>
      </c>
    </row>
    <row r="27" spans="1:27" ht="30" customHeight="1">
      <c r="A27" s="28">
        <v>20</v>
      </c>
      <c r="B27" s="20" t="s">
        <v>93</v>
      </c>
      <c r="C27" s="122">
        <f>населення!C27+льготи!C27+субсидии!C27+'держ.бюджет'!C27+'місц.-район.бюджет'!C27+обласной!C27+'госпрозрахунк.'!C27</f>
        <v>6723</v>
      </c>
      <c r="D27" s="19">
        <f>населення!D27+льготи!D27+субсидии!D27+'держ.бюджет'!D27+'місц.-район.бюджет'!D27+обласной!D27+'госпрозрахунк.'!D27</f>
        <v>5169.6</v>
      </c>
      <c r="E27" s="19">
        <f>населення!E27+льготи!E27+субсидии!E27+'держ.бюджет'!E27+'місц.-район.бюджет'!E27+обласной!E27+'госпрозрахунк.'!E27</f>
        <v>5846.999999999999</v>
      </c>
      <c r="F27" s="45">
        <f>E27/D27*100</f>
        <v>113.10352831940574</v>
      </c>
      <c r="G27" s="19">
        <f>населення!G27+льготи!G27+субсидии!G27+'держ.бюджет'!G27+'місц.-район.бюджет'!G27+обласной!G27+'госпрозрахунк.'!G27</f>
        <v>5662.4</v>
      </c>
      <c r="H27" s="19">
        <f>населення!H27+льготи!H27+субсидии!H27+'держ.бюджет'!H27+'місц.-район.бюджет'!H27+обласной!H27+'госпрозрахунк.'!H27</f>
        <v>1534.8</v>
      </c>
      <c r="I27" s="18">
        <f>H27/G27*100</f>
        <v>27.10511443910709</v>
      </c>
      <c r="J27" s="19">
        <f>населення!J27+льготи!J27+субсидии!J27+'держ.бюджет'!J27+'місц.-район.бюджет'!J27+обласной!J27+'госпрозрахунк.'!J27</f>
        <v>2925.7000000000003</v>
      </c>
      <c r="K27" s="19">
        <f>населення!K27+льготи!K27+субсидии!K27+'держ.бюджет'!K27+'місц.-район.бюджет'!K27+обласной!K27+'госпрозрахунк.'!K27</f>
        <v>4860.400000000001</v>
      </c>
      <c r="L27" s="18">
        <f>K27/J27*100</f>
        <v>166.12776429572412</v>
      </c>
      <c r="M27" s="3">
        <f>населення!M27+льготи!M27+субсидии!M27+'держ.бюджет'!M27+'місц.-район.бюджет'!P27+обласной!M27+'госпрозрахунк.'!M27</f>
        <v>9737.000000000002</v>
      </c>
      <c r="N27" s="3">
        <f>населення!N27+льготи!N27+субсидии!N27+'держ.бюджет'!N27+'місц.-район.бюджет'!Q27+обласной!N27+'госпрозрахунк.'!N27</f>
        <v>9747.4</v>
      </c>
      <c r="O27" s="18">
        <f t="shared" si="7"/>
        <v>100.10680907877168</v>
      </c>
      <c r="P27" s="19">
        <f>населення!P27+льготи!P27+субсидии!P27+'держ.бюджет'!P27+'місц.-район.бюджет'!P27+обласной!P27+'госпрозрахунк.'!P27</f>
        <v>104.80000000000001</v>
      </c>
      <c r="Q27" s="19">
        <f>населення!Q27+льготи!Q27+субсидии!Q27+'держ.бюджет'!Q27+'місц.-район.бюджет'!Q27+обласной!Q27+'госпрозрахунк.'!Q27</f>
        <v>1644.1</v>
      </c>
      <c r="R27" s="18">
        <f>Q27/P27*100</f>
        <v>1568.797709923664</v>
      </c>
      <c r="S27" s="19">
        <f>населення!S27+льготи!S27+субсидии!S27+'держ.бюджет'!S27+'місц.-район.бюджет'!S27+обласной!S27+'госпрозрахунк.'!S27</f>
        <v>13862.500000000002</v>
      </c>
      <c r="T27" s="19">
        <f>населення!T27+льготи!T27+субсидии!T27+'держ.бюджет'!T27+'місц.-район.бюджет'!T27+обласной!T27+'госпрозрахунк.'!T27</f>
        <v>13886.3</v>
      </c>
      <c r="U27" s="18">
        <f t="shared" si="9"/>
        <v>100.17168620378717</v>
      </c>
      <c r="V27" s="4">
        <f>населення!V27+льготи!V27+субсидии!V27+'держ.бюджет'!V27+'місц.-район.бюджет'!V27+обласной!V27+'госпрозрахунк.'!V27</f>
        <v>-23.799999999996885</v>
      </c>
      <c r="W27" s="4">
        <f>населення!W27+льготи!W27+субсидии!W27+'держ.бюджет'!W27+'місц.-район.бюджет'!W27+обласной!W27+'госпрозрахунк.'!W27</f>
        <v>6699.200000000004</v>
      </c>
      <c r="X27" s="30">
        <f t="shared" si="2"/>
        <v>13862.5</v>
      </c>
      <c r="Y27" s="30">
        <f t="shared" si="3"/>
        <v>13886.300000000001</v>
      </c>
      <c r="Z27" s="30">
        <f t="shared" si="8"/>
        <v>-23.80000000000109</v>
      </c>
      <c r="AA27" s="30">
        <f t="shared" si="4"/>
        <v>6699.199999999999</v>
      </c>
    </row>
    <row r="28" spans="1:27" ht="30.75" customHeight="1">
      <c r="A28" s="28">
        <v>21</v>
      </c>
      <c r="B28" s="1" t="s">
        <v>64</v>
      </c>
      <c r="C28" s="122">
        <f>населення!C28+льготи!C28+субсидии!C28+'держ.бюджет'!C28+'місц.-район.бюджет'!C28+обласной!C28+'госпрозрахунк.'!C28</f>
        <v>359</v>
      </c>
      <c r="D28" s="19">
        <f>населення!D28+льготи!D28+субсидии!D28+'держ.бюджет'!D28+'місц.-район.бюджет'!D28+обласной!D28+'госпрозрахунк.'!D28</f>
        <v>3827.4</v>
      </c>
      <c r="E28" s="19">
        <f>населення!E28+льготи!E28+субсидии!E28+'держ.бюджет'!E28+'місц.-район.бюджет'!E28+обласной!E28+'госпрозрахунк.'!E28</f>
        <v>2568.6000000000004</v>
      </c>
      <c r="F28" s="18">
        <f>E28/D28*100</f>
        <v>67.11083241887444</v>
      </c>
      <c r="G28" s="19">
        <f>населення!G28+льготи!G28+субсидии!G28+'держ.бюджет'!G28+'місц.-район.бюджет'!G28+обласной!G28+'госпрозрахунк.'!G28</f>
        <v>2289.2999999999997</v>
      </c>
      <c r="H28" s="19">
        <f>населення!H28+льготи!H28+субсидии!H28+'держ.бюджет'!H28+'місц.-район.бюджет'!H28+обласной!H28+'госпрозрахунк.'!H28</f>
        <v>2955.3</v>
      </c>
      <c r="I28" s="18">
        <f>H28/G28*100</f>
        <v>129.09186214126592</v>
      </c>
      <c r="J28" s="19">
        <f>населення!J28+льготи!J28+субсидии!J28+'держ.бюджет'!J28+'місц.-район.бюджет'!J28+обласной!J28+'госпрозрахунк.'!J28</f>
        <v>1351</v>
      </c>
      <c r="K28" s="19">
        <f>населення!K28+льготи!K28+субсидии!K28+'держ.бюджет'!K28+'місц.-район.бюджет'!K28+обласной!K28+'госпрозрахунк.'!K28</f>
        <v>1583</v>
      </c>
      <c r="L28" s="18">
        <f>K28/J28*100</f>
        <v>117.17246484085861</v>
      </c>
      <c r="M28" s="3">
        <f>населення!M28+льготи!M28+субсидии!M28+'держ.бюджет'!M28+'місц.-район.бюджет'!P28+обласной!M28+'госпрозрахунк.'!M28</f>
        <v>1244.6</v>
      </c>
      <c r="N28" s="3">
        <f>населення!N28+льготи!N28+субсидии!N28+'держ.бюджет'!N28+'місц.-район.бюджет'!Q28+обласной!N28+'госпрозрахунк.'!N28</f>
        <v>886.4000000000001</v>
      </c>
      <c r="O28" s="18">
        <f t="shared" si="7"/>
        <v>71.2196689699502</v>
      </c>
      <c r="P28" s="19">
        <f>населення!P28+льготи!P28+субсидии!P28+'держ.бюджет'!P28+'місц.-район.бюджет'!P28+обласной!P28+'госпрозрахунк.'!P28</f>
        <v>121.3</v>
      </c>
      <c r="Q28" s="19">
        <f>населення!Q28+льготи!Q28+субсидии!Q28+'держ.бюджет'!Q28+'місц.-район.бюджет'!Q28+обласной!Q28+'госпрозрахунк.'!Q28</f>
        <v>210.50000000000003</v>
      </c>
      <c r="R28" s="18">
        <f>Q28/P28*100</f>
        <v>173.53668590272056</v>
      </c>
      <c r="S28" s="19">
        <f>населення!S28+льготи!S28+субсидии!S28+'держ.бюджет'!S28+'місц.-район.бюджет'!S28+обласной!S28+'госпрозрахунк.'!S28</f>
        <v>7589</v>
      </c>
      <c r="T28" s="19">
        <f>населення!T28+льготи!T28+субсидии!T28+'держ.бюджет'!T28+'місц.-район.бюджет'!T28+обласной!T28+'госпрозрахунк.'!T28</f>
        <v>7317.400000000001</v>
      </c>
      <c r="U28" s="18">
        <f t="shared" si="9"/>
        <v>96.4211358545263</v>
      </c>
      <c r="V28" s="4">
        <f>населення!V28+льготи!V28+субсидии!V28+'держ.бюджет'!V28+'місц.-район.бюджет'!V28+обласной!V28+'госпрозрахунк.'!V28</f>
        <v>271.6000000000001</v>
      </c>
      <c r="W28" s="4">
        <f>населення!W28+льготи!W28+субсидии!W28+'держ.бюджет'!W28+'місц.-район.бюджет'!W28+обласной!W28+'госпрозрахунк.'!W28</f>
        <v>630.6000000000005</v>
      </c>
      <c r="X28" s="30">
        <f t="shared" si="2"/>
        <v>7589</v>
      </c>
      <c r="Y28" s="30">
        <f t="shared" si="3"/>
        <v>7317.400000000001</v>
      </c>
      <c r="Z28" s="30">
        <f t="shared" si="8"/>
        <v>271.59999999999945</v>
      </c>
      <c r="AA28" s="30">
        <f t="shared" si="4"/>
        <v>630.5999999999995</v>
      </c>
    </row>
    <row r="29" spans="1:27" ht="24.75" customHeight="1">
      <c r="A29" s="28">
        <v>22</v>
      </c>
      <c r="B29" s="1" t="s">
        <v>65</v>
      </c>
      <c r="C29" s="46"/>
      <c r="D29" s="47"/>
      <c r="E29" s="47"/>
      <c r="F29" s="47"/>
      <c r="G29" s="47"/>
      <c r="H29" s="47"/>
      <c r="I29" s="47"/>
      <c r="J29" s="19"/>
      <c r="K29" s="19"/>
      <c r="L29" s="47"/>
      <c r="M29" s="3"/>
      <c r="N29" s="3"/>
      <c r="O29" s="18"/>
      <c r="P29" s="19"/>
      <c r="Q29" s="19"/>
      <c r="R29" s="47"/>
      <c r="S29" s="19">
        <f>населення!S29+льготи!S29+субсидии!S29+'держ.бюджет'!S29+'місц.-район.бюджет'!S29+обласной!S29+'госпрозрахунк.'!S29</f>
        <v>0</v>
      </c>
      <c r="T29" s="19">
        <f>населення!T29+льготи!T29+субсидии!T29+'держ.бюджет'!T29+'місц.-район.бюджет'!T29+обласной!T29+'госпрозрахунк.'!T29</f>
        <v>0</v>
      </c>
      <c r="U29" s="47"/>
      <c r="V29" s="4">
        <f>населення!V29+льготи!V29+субсидии!V29+'держ.бюджет'!V29+'місц.-район.бюджет'!V29+обласной!V29+'госпрозрахунк.'!V29</f>
        <v>0</v>
      </c>
      <c r="W29" s="4">
        <f>населення!W29+льготи!W29+субсидии!W29+'держ.бюджет'!W29+'місц.-район.бюджет'!W29+обласной!W29+'госпрозрахунк.'!W29</f>
        <v>0</v>
      </c>
      <c r="X29" s="30">
        <f t="shared" si="2"/>
        <v>0</v>
      </c>
      <c r="Y29" s="30">
        <f t="shared" si="3"/>
        <v>0</v>
      </c>
      <c r="Z29" s="30">
        <f t="shared" si="8"/>
        <v>0</v>
      </c>
      <c r="AA29" s="30">
        <f t="shared" si="4"/>
        <v>0</v>
      </c>
    </row>
    <row r="30" spans="1:27" ht="24.75" customHeight="1">
      <c r="A30" s="28">
        <v>23</v>
      </c>
      <c r="B30" s="20" t="s">
        <v>66</v>
      </c>
      <c r="C30" s="46"/>
      <c r="D30" s="47"/>
      <c r="E30" s="47"/>
      <c r="F30" s="47"/>
      <c r="G30" s="47"/>
      <c r="H30" s="47"/>
      <c r="I30" s="47"/>
      <c r="J30" s="19"/>
      <c r="K30" s="19"/>
      <c r="L30" s="47"/>
      <c r="M30" s="3"/>
      <c r="N30" s="3"/>
      <c r="O30" s="18"/>
      <c r="P30" s="19"/>
      <c r="Q30" s="19"/>
      <c r="R30" s="47"/>
      <c r="S30" s="19">
        <f>населення!S30+льготи!S30+субсидии!S30+'держ.бюджет'!S30+'місц.-район.бюджет'!S30+обласной!S30+'госпрозрахунк.'!S30</f>
        <v>0</v>
      </c>
      <c r="T30" s="19">
        <f>населення!T30+льготи!T30+субсидии!T30+'держ.бюджет'!T30+'місц.-район.бюджет'!T30+обласной!T30+'госпрозрахунк.'!T30</f>
        <v>0</v>
      </c>
      <c r="U30" s="47"/>
      <c r="V30" s="4">
        <f>населення!V30+льготи!V30+субсидии!V30+'держ.бюджет'!V30+'місц.-район.бюджет'!V30+обласной!V30+'госпрозрахунк.'!V30</f>
        <v>0</v>
      </c>
      <c r="W30" s="4">
        <f>населення!W30+льготи!W30+субсидии!W30+'держ.бюджет'!W30+'місц.-район.бюджет'!W30+обласной!W30+'госпрозрахунк.'!W30</f>
        <v>0</v>
      </c>
      <c r="X30" s="30">
        <f t="shared" si="2"/>
        <v>0</v>
      </c>
      <c r="Y30" s="30">
        <f t="shared" si="3"/>
        <v>0</v>
      </c>
      <c r="Z30" s="30">
        <f t="shared" si="8"/>
        <v>0</v>
      </c>
      <c r="AA30" s="30">
        <f t="shared" si="4"/>
        <v>0</v>
      </c>
    </row>
    <row r="31" spans="1:27" ht="24.75" customHeight="1">
      <c r="A31" s="28">
        <v>24</v>
      </c>
      <c r="B31" s="20" t="s">
        <v>67</v>
      </c>
      <c r="C31" s="46"/>
      <c r="D31" s="47"/>
      <c r="E31" s="47"/>
      <c r="F31" s="47"/>
      <c r="G31" s="47"/>
      <c r="H31" s="47"/>
      <c r="I31" s="47"/>
      <c r="J31" s="19"/>
      <c r="K31" s="19"/>
      <c r="L31" s="47"/>
      <c r="M31" s="3"/>
      <c r="N31" s="3"/>
      <c r="O31" s="18"/>
      <c r="P31" s="19"/>
      <c r="Q31" s="19"/>
      <c r="R31" s="47"/>
      <c r="S31" s="19">
        <f>населення!S31+льготи!S31+субсидии!S31+'держ.бюджет'!S31+'місц.-район.бюджет'!S31+обласной!S31+'госпрозрахунк.'!S31</f>
        <v>0</v>
      </c>
      <c r="T31" s="19">
        <f>населення!T31+льготи!T31+субсидии!T31+'держ.бюджет'!T31+'місц.-район.бюджет'!T31+обласной!T31+'госпрозрахунк.'!T31</f>
        <v>0</v>
      </c>
      <c r="U31" s="47"/>
      <c r="V31" s="4">
        <f>населення!V31+льготи!V31+субсидии!V31+'держ.бюджет'!V31+'місц.-район.бюджет'!V31+обласной!V31+'госпрозрахунк.'!V31</f>
        <v>0</v>
      </c>
      <c r="W31" s="4">
        <f>населення!W31+льготи!W31+субсидии!W31+'держ.бюджет'!W31+'місц.-район.бюджет'!W31+обласной!W31+'госпрозрахунк.'!W31</f>
        <v>0</v>
      </c>
      <c r="X31" s="30">
        <f t="shared" si="2"/>
        <v>0</v>
      </c>
      <c r="Y31" s="30">
        <f t="shared" si="3"/>
        <v>0</v>
      </c>
      <c r="Z31" s="30">
        <f t="shared" si="8"/>
        <v>0</v>
      </c>
      <c r="AA31" s="30">
        <f t="shared" si="4"/>
        <v>0</v>
      </c>
    </row>
    <row r="32" spans="1:27" ht="24.75" customHeight="1">
      <c r="A32" s="28">
        <v>25</v>
      </c>
      <c r="B32" s="20" t="s">
        <v>68</v>
      </c>
      <c r="C32" s="122"/>
      <c r="D32" s="48"/>
      <c r="E32" s="48"/>
      <c r="F32" s="48"/>
      <c r="G32" s="32"/>
      <c r="H32" s="32"/>
      <c r="I32" s="48"/>
      <c r="J32" s="19"/>
      <c r="K32" s="19"/>
      <c r="L32" s="48"/>
      <c r="M32" s="3"/>
      <c r="N32" s="3"/>
      <c r="O32" s="18"/>
      <c r="P32" s="19"/>
      <c r="Q32" s="19"/>
      <c r="R32" s="48"/>
      <c r="S32" s="19">
        <f>населення!S32+льготи!S32+субсидии!S32+'держ.бюджет'!S32+'місц.-район.бюджет'!S32+обласной!S32+'госпрозрахунк.'!S32</f>
        <v>0</v>
      </c>
      <c r="T32" s="19">
        <f>населення!T32+льготи!T32+субсидии!T32+'держ.бюджет'!T32+'місц.-район.бюджет'!T32+обласной!T32+'госпрозрахунк.'!T32</f>
        <v>0</v>
      </c>
      <c r="U32" s="48"/>
      <c r="V32" s="4">
        <f>населення!V32+льготи!V32+субсидии!V32+'держ.бюджет'!V32+'місц.-район.бюджет'!V32+обласной!V32+'госпрозрахунк.'!V32</f>
        <v>0</v>
      </c>
      <c r="W32" s="4">
        <f>населення!W32+льготи!W32+субсидии!W32+'держ.бюджет'!W32+'місц.-район.бюджет'!W32+обласной!W32+'госпрозрахунк.'!W32</f>
        <v>0</v>
      </c>
      <c r="X32" s="30">
        <f t="shared" si="2"/>
        <v>0</v>
      </c>
      <c r="Y32" s="30">
        <f t="shared" si="3"/>
        <v>0</v>
      </c>
      <c r="Z32" s="30">
        <f t="shared" si="8"/>
        <v>0</v>
      </c>
      <c r="AA32" s="30">
        <f t="shared" si="4"/>
        <v>0</v>
      </c>
    </row>
    <row r="33" spans="1:27" ht="24.75" customHeight="1">
      <c r="A33" s="6"/>
      <c r="B33" s="20" t="s">
        <v>104</v>
      </c>
      <c r="C33" s="49">
        <f>населення!C33+льготи!C33+субсидии!C33+'держ.бюджет'!C33+'місц.-район.бюджет'!C33+обласной!C33+'госпрозрахунк.'!C33</f>
        <v>29321.3</v>
      </c>
      <c r="D33" s="19">
        <f>населення!D33+льготи!D33+субсидии!D33+'держ.бюджет'!D33+'місц.-район.бюджет'!D33+обласной!D33+'госпрозрахунк.'!D33</f>
        <v>22307.899999999998</v>
      </c>
      <c r="E33" s="19">
        <f>населення!E33+льготи!E33+субсидии!E33+'держ.бюджет'!E33+'місц.-район.бюджет'!E33+обласной!E33+'госпрозрахунк.'!E33</f>
        <v>11600.2</v>
      </c>
      <c r="F33" s="18">
        <f>E33/D33*100</f>
        <v>52.000412409953434</v>
      </c>
      <c r="G33" s="19">
        <f>населення!G33+льготи!G33+субсидии!G33+'держ.бюджет'!G33+'місц.-район.бюджет'!G33+обласной!G33+'госпрозрахунк.'!G33</f>
        <v>17663.2</v>
      </c>
      <c r="H33" s="19">
        <f>населення!H33+льготи!H33+субсидии!H33+'держ.бюджет'!H33+'місц.-район.бюджет'!H33+обласной!H33+'госпрозрахунк.'!H33</f>
        <v>14745.699999999997</v>
      </c>
      <c r="I33" s="18">
        <f aca="true" t="shared" si="11" ref="I33:I46">H33/G33*100</f>
        <v>83.48260790796682</v>
      </c>
      <c r="J33" s="19">
        <f>населення!J33+льготи!J33+субсидии!J33+'держ.бюджет'!J33+'місц.-район.бюджет'!J33+обласной!J33+'госпрозрахунк.'!J33</f>
        <v>7861.4</v>
      </c>
      <c r="K33" s="19">
        <f>населення!K33+льготи!K33+субсидии!K33+'держ.бюджет'!K33+'місц.-район.бюджет'!K33+обласной!K33+'госпрозрахунк.'!K33</f>
        <v>12349.5</v>
      </c>
      <c r="L33" s="18">
        <f aca="true" t="shared" si="12" ref="L33:L46">K33/J33*100</f>
        <v>157.09034014297708</v>
      </c>
      <c r="M33" s="3">
        <f>населення!M33+льготи!M33+субсидии!M33+'держ.бюджет'!M33+'місц.-район.бюджет'!P33+обласной!M33+'госпрозрахунк.'!M33</f>
        <v>24716.9</v>
      </c>
      <c r="N33" s="3">
        <f>населення!N33+льготи!N33+субсидии!N33+'держ.бюджет'!N33+'місц.-район.бюджет'!Q33+обласной!N33+'госпрозрахунк.'!N33</f>
        <v>16922.5</v>
      </c>
      <c r="O33" s="18">
        <f t="shared" si="7"/>
        <v>68.46530106930885</v>
      </c>
      <c r="P33" s="19">
        <f>населення!P33+льготи!P33+субсидии!P33+'держ.бюджет'!P33+'місц.-район.бюджет'!P33+обласной!P33+'госпрозрахунк.'!P33</f>
        <v>1062.3</v>
      </c>
      <c r="Q33" s="19">
        <f>населення!Q33+льготи!Q33+субсидии!Q33+'держ.бюджет'!Q33+'місц.-район.бюджет'!Q33+обласной!Q33+'госпрозрахунк.'!Q33</f>
        <v>9040.5</v>
      </c>
      <c r="R33" s="18">
        <f aca="true" t="shared" si="13" ref="R33:R46">Q33/P33*100</f>
        <v>851.0307822648971</v>
      </c>
      <c r="S33" s="19">
        <f>населення!S33+льготи!S33+субсидии!S33+'держ.бюджет'!S33+'місц.-район.бюджет'!S33+обласной!S33+'госпрозрахунк.'!S33</f>
        <v>48894.8</v>
      </c>
      <c r="T33" s="19">
        <f>населення!T33+льготи!T33+субсидии!T33+'держ.бюджет'!T33+'місц.-район.бюджет'!T33+обласной!T33+'госпрозрахунк.'!T33</f>
        <v>47735.9</v>
      </c>
      <c r="U33" s="18">
        <f aca="true" t="shared" si="14" ref="U33:U42">T33/S33*100</f>
        <v>97.62980930487495</v>
      </c>
      <c r="V33" s="4">
        <f>населення!V33+льготи!V33+субсидии!V33+'держ.бюджет'!V33+'місц.-район.бюджет'!V33+обласной!V33+'госпрозрахунк.'!V33</f>
        <v>1158.900000000001</v>
      </c>
      <c r="W33" s="4">
        <f>населення!W33+льготи!W33+субсидии!W33+'держ.бюджет'!W33+'місц.-район.бюджет'!W33+обласной!W33+'госпрозрахунк.'!W33</f>
        <v>30480.2</v>
      </c>
      <c r="X33" s="30">
        <f t="shared" si="2"/>
        <v>48894.8</v>
      </c>
      <c r="Y33" s="30">
        <f t="shared" si="3"/>
        <v>47735.899999999994</v>
      </c>
      <c r="Z33" s="30">
        <f t="shared" si="8"/>
        <v>1158.9000000000087</v>
      </c>
      <c r="AA33" s="30">
        <f t="shared" si="4"/>
        <v>30480.20000000001</v>
      </c>
    </row>
    <row r="34" spans="1:27" ht="24.75" customHeight="1">
      <c r="A34" s="28"/>
      <c r="B34" s="20" t="s">
        <v>69</v>
      </c>
      <c r="C34" s="122">
        <f>населення!C34+льготи!C34+субсидии!C34+'держ.бюджет'!C34+'місц.-район.бюджет'!C34+обласной!C34+'госпрозрахунк.'!C34</f>
        <v>20.500000000000007</v>
      </c>
      <c r="D34" s="19">
        <f>населення!D34+льготи!D34+субсидии!D34+'держ.бюджет'!D34+'місц.-район.бюджет'!D34+обласной!D34+'госпрозрахунк.'!D34</f>
        <v>616.4</v>
      </c>
      <c r="E34" s="19">
        <f>населення!E34+льготи!E34+субсидии!E34+'держ.бюджет'!E34+'місц.-район.бюджет'!E34+обласной!E34+'госпрозрахунк.'!E34</f>
        <v>0</v>
      </c>
      <c r="F34" s="18">
        <f aca="true" t="shared" si="15" ref="F34:F43">E34/D34*100</f>
        <v>0</v>
      </c>
      <c r="G34" s="19">
        <f>населення!G34+льготи!G34+субсидии!G34+'держ.бюджет'!G34+'місц.-район.бюджет'!G34+обласной!G34+'госпрозрахунк.'!G34</f>
        <v>908.4</v>
      </c>
      <c r="H34" s="19">
        <f>населення!H34+льготи!H34+субсидии!H34+'держ.бюджет'!H34+'місц.-район.бюджет'!H34+обласной!H34+'госпрозрахунк.'!H34</f>
        <v>100.7</v>
      </c>
      <c r="I34" s="18">
        <f t="shared" si="11"/>
        <v>11.085424922941437</v>
      </c>
      <c r="J34" s="19">
        <f>населення!J34+льготи!J34+субсидии!J34+'держ.бюджет'!J34+'місц.-район.бюджет'!J34+обласной!J34+'госпрозрахунк.'!J34</f>
        <v>670</v>
      </c>
      <c r="K34" s="19">
        <f>населення!K34+льготи!K34+субсидии!K34+'держ.бюджет'!K34+'місц.-район.бюджет'!K34+обласной!K34+'госпрозрахунк.'!K34</f>
        <v>2015.1</v>
      </c>
      <c r="L34" s="18">
        <f t="shared" si="12"/>
        <v>300.76119402985074</v>
      </c>
      <c r="M34" s="3">
        <f>населення!M34+льготи!M34+субсидии!M34+'держ.бюджет'!M34+'місц.-район.бюджет'!P34+обласной!M34+'госпрозрахунк.'!M34</f>
        <v>1808</v>
      </c>
      <c r="N34" s="3">
        <f>населення!N34+льготи!N34+субсидии!N34+'держ.бюджет'!N34+'місц.-район.бюджет'!Q34+обласной!N34+'госпрозрахунк.'!N34</f>
        <v>1835</v>
      </c>
      <c r="O34" s="18">
        <f t="shared" si="7"/>
        <v>101.49336283185842</v>
      </c>
      <c r="P34" s="19">
        <f>населення!P34+льготи!P34+субсидии!P34+'держ.бюджет'!P34+'місц.-район.бюджет'!P34+обласной!P34+'госпрозрахунк.'!P34</f>
        <v>80.39999999999999</v>
      </c>
      <c r="Q34" s="19">
        <f>населення!Q34+льготи!Q34+субсидии!Q34+'держ.бюджет'!Q34+'місц.-район.бюджет'!Q34+обласной!Q34+'госпрозрахунк.'!Q34</f>
        <v>107.3</v>
      </c>
      <c r="R34" s="18">
        <f t="shared" si="13"/>
        <v>133.4577114427861</v>
      </c>
      <c r="S34" s="19">
        <f>населення!S34+льготи!S34+субсидии!S34+'держ.бюджет'!S34+'місц.-район.бюджет'!S34+обласной!S34+'госпрозрахунк.'!S34</f>
        <v>2275.2</v>
      </c>
      <c r="T34" s="19">
        <f>населення!T34+льготи!T34+субсидии!T34+'держ.бюджет'!T34+'місц.-район.бюджет'!T34+обласной!T34+'госпрозрахунк.'!T34</f>
        <v>2223.1</v>
      </c>
      <c r="U34" s="18">
        <f t="shared" si="14"/>
        <v>97.71009142053447</v>
      </c>
      <c r="V34" s="4">
        <f>населення!V34+льготи!V34+субсидии!V34+'держ.бюджет'!V34+'місц.-район.бюджет'!V34+обласной!V34+'госпрозрахунк.'!V34</f>
        <v>52.10000000000008</v>
      </c>
      <c r="W34" s="4">
        <f>населення!W34+льготи!W34+субсидии!W34+'держ.бюджет'!W34+'місц.-район.бюджет'!W34+обласной!W34+'госпрозрахунк.'!W34</f>
        <v>72.60000000000011</v>
      </c>
      <c r="X34" s="30">
        <f t="shared" si="2"/>
        <v>2275.2000000000003</v>
      </c>
      <c r="Y34" s="30">
        <f t="shared" si="3"/>
        <v>2223.1</v>
      </c>
      <c r="Z34" s="30">
        <f t="shared" si="8"/>
        <v>52.100000000000364</v>
      </c>
      <c r="AA34" s="30">
        <f t="shared" si="4"/>
        <v>72.60000000000036</v>
      </c>
    </row>
    <row r="35" spans="1:27" ht="36.75" customHeight="1">
      <c r="A35" s="28">
        <v>26</v>
      </c>
      <c r="B35" s="20" t="s">
        <v>94</v>
      </c>
      <c r="C35" s="122">
        <f>населення!C35+льготи!C35+субсидии!C35+'держ.бюджет'!C35+'місц.-район.бюджет'!C35+обласной!C35+'госпрозрахунк.'!C35</f>
        <v>17205.5</v>
      </c>
      <c r="D35" s="19">
        <f>населення!D35+льготи!D35+субсидии!D35+'держ.бюджет'!D35+'місц.-район.бюджет'!D35+обласной!D35+'госпрозрахунк.'!D35</f>
        <v>6875.499999999999</v>
      </c>
      <c r="E35" s="19">
        <f>населення!E35+льготи!E35+субсидии!E35+'держ.бюджет'!E35+'місц.-район.бюджет'!E35+обласной!E35+'госпрозрахунк.'!E35</f>
        <v>5264.399999999999</v>
      </c>
      <c r="F35" s="18">
        <f t="shared" si="15"/>
        <v>76.56752236201004</v>
      </c>
      <c r="G35" s="19">
        <f>населення!G35+льготи!G35+субсидии!G35+'держ.бюджет'!G35+'місц.-район.бюджет'!G35+обласной!G35+'госпрозрахунк.'!G35</f>
        <v>6399.000000000001</v>
      </c>
      <c r="H35" s="19">
        <f>населення!H35+льготи!H35+субсидии!H35+'держ.бюджет'!H35+'місц.-район.бюджет'!H35+обласной!H35+'госпрозрахунк.'!H35</f>
        <v>2292.6</v>
      </c>
      <c r="I35" s="18">
        <f t="shared" si="11"/>
        <v>35.82747304266291</v>
      </c>
      <c r="J35" s="19">
        <f>населення!J35+льготи!J35+субсидии!J35+'держ.бюджет'!J35+'місц.-район.бюджет'!J35+обласной!J35+'госпрозрахунк.'!J35</f>
        <v>4688.7</v>
      </c>
      <c r="K35" s="19">
        <f>населення!K35+льготи!K35+субсидии!K35+'держ.бюджет'!K35+'місц.-район.бюджет'!K35+обласной!K35+'госпрозрахунк.'!K35</f>
        <v>2211.4</v>
      </c>
      <c r="L35" s="18">
        <f t="shared" si="12"/>
        <v>47.16445923177</v>
      </c>
      <c r="M35" s="3">
        <f>населення!M35+льготи!M35+субсидии!M35+'держ.бюджет'!M35+'місц.-район.бюджет'!P35+обласной!M35+'госпрозрахунк.'!M35</f>
        <v>15905.200000000003</v>
      </c>
      <c r="N35" s="3">
        <f>населення!N35+льготи!N35+субсидии!N35+'держ.бюджет'!N35+'місц.-район.бюджет'!Q35+обласной!N35+'госпрозрахунк.'!N35</f>
        <v>8979.1</v>
      </c>
      <c r="O35" s="18">
        <f t="shared" si="7"/>
        <v>56.45386414505948</v>
      </c>
      <c r="P35" s="19">
        <f>населення!P35+льготи!P35+субсидии!P35+'держ.бюджет'!P35+'місц.-район.бюджет'!P35+обласной!P35+'госпрозрахунк.'!P35</f>
        <v>74.6</v>
      </c>
      <c r="Q35" s="19">
        <f>населення!Q35+льготи!Q35+субсидии!Q35+'держ.бюджет'!Q35+'місц.-район.бюджет'!Q35+обласной!Q35+'госпрозрахунк.'!Q35</f>
        <v>2182.5</v>
      </c>
      <c r="R35" s="18">
        <f t="shared" si="13"/>
        <v>2925.6032171581774</v>
      </c>
      <c r="S35" s="19">
        <f>населення!S35+льготи!S35+субсидии!S35+'держ.бюджет'!S35+'місц.-район.бюджет'!S35+обласной!S35+'госпрозрахунк.'!S35</f>
        <v>18037.800000000007</v>
      </c>
      <c r="T35" s="19">
        <f>населення!T35+льготи!T35+субсидии!T35+'держ.бюджет'!T35+'місц.-район.бюджет'!T35+обласной!T35+'госпрозрахунк.'!T35</f>
        <v>11950.9</v>
      </c>
      <c r="U35" s="18">
        <f t="shared" si="14"/>
        <v>66.25475390568693</v>
      </c>
      <c r="V35" s="4">
        <f>населення!V35+льготи!V35+субсидии!V35+'держ.бюджет'!V35+'місц.-район.бюджет'!V35+обласной!V35+'госпрозрахунк.'!V35</f>
        <v>6086.900000000002</v>
      </c>
      <c r="W35" s="4">
        <f>населення!W35+льготи!W35+субсидии!W35+'держ.бюджет'!W35+'місц.-район.бюджет'!W35+обласной!W35+'госпрозрахунк.'!W35</f>
        <v>23292.399999999998</v>
      </c>
      <c r="X35" s="30">
        <f t="shared" si="2"/>
        <v>18037.8</v>
      </c>
      <c r="Y35" s="30">
        <f t="shared" si="3"/>
        <v>11950.899999999998</v>
      </c>
      <c r="Z35" s="30">
        <f t="shared" si="8"/>
        <v>6086.9000000000015</v>
      </c>
      <c r="AA35" s="30">
        <f t="shared" si="4"/>
        <v>23292.400000000005</v>
      </c>
    </row>
    <row r="36" spans="1:27" ht="27.75" customHeight="1">
      <c r="A36" s="28">
        <v>27</v>
      </c>
      <c r="B36" s="1" t="s">
        <v>70</v>
      </c>
      <c r="C36" s="122">
        <f>населення!C36+льготи!C36+субсидии!C36+'держ.бюджет'!C36+'місц.-район.бюджет'!C36+обласной!C36+'госпрозрахунк.'!C36</f>
        <v>-517.4999999999999</v>
      </c>
      <c r="D36" s="19">
        <f>населення!D36+льготи!D36+субсидии!D36+'держ.бюджет'!D36+'місц.-район.бюджет'!D36+обласной!D36+'госпрозрахунк.'!D36</f>
        <v>1930.8999999999999</v>
      </c>
      <c r="E36" s="19">
        <f>населення!E36+льготи!E36+субсидии!E36+'держ.бюджет'!E36+'місц.-район.бюджет'!E36+обласной!E36+'госпрозрахунк.'!E36</f>
        <v>458</v>
      </c>
      <c r="F36" s="18">
        <f t="shared" si="15"/>
        <v>23.719509037236524</v>
      </c>
      <c r="G36" s="19">
        <f>населення!G36+льготи!G36+субсидии!G36+'держ.бюджет'!G36+'місц.-район.бюджет'!G36+обласной!G36+'госпрозрахунк.'!G36</f>
        <v>1613.5</v>
      </c>
      <c r="H36" s="19">
        <f>населення!H36+льготи!H36+субсидии!H36+'держ.бюджет'!H36+'місц.-район.бюджет'!H36+обласной!H36+'госпрозрахунк.'!H36</f>
        <v>1338.9</v>
      </c>
      <c r="I36" s="18">
        <f t="shared" si="11"/>
        <v>82.98109699411218</v>
      </c>
      <c r="J36" s="19">
        <f>населення!J36+льготи!J36+субсидии!J36+'держ.бюджет'!J36+'місц.-район.бюджет'!J36+обласной!J36+'госпрозрахунк.'!J36</f>
        <v>866.1</v>
      </c>
      <c r="K36" s="19">
        <f>населення!K36+льготи!K36+субсидии!K36+'держ.бюджет'!K36+'місц.-район.бюджет'!K36+обласной!K36+'госпрозрахунк.'!K36</f>
        <v>862.8</v>
      </c>
      <c r="L36" s="18">
        <f t="shared" si="12"/>
        <v>99.61898164184274</v>
      </c>
      <c r="M36" s="3">
        <f>населення!M36+льготи!M36+субсидии!M36+'держ.бюджет'!M36+'місц.-район.бюджет'!P36+обласной!M36+'госпрозрахунк.'!M36</f>
        <v>1655.1000000000001</v>
      </c>
      <c r="N36" s="3">
        <f>населення!N36+льготи!N36+субсидии!N36+'держ.бюджет'!N36+'місц.-район.бюджет'!Q36+обласной!N36+'госпрозрахунк.'!N36</f>
        <v>1700.3</v>
      </c>
      <c r="O36" s="18">
        <f t="shared" si="7"/>
        <v>102.73095281251886</v>
      </c>
      <c r="P36" s="19">
        <f>населення!P36+льготи!P36+субсидии!P36+'держ.бюджет'!P36+'місц.-район.бюджет'!P36+обласной!P36+'госпрозрахунк.'!P36</f>
        <v>83.89999999999999</v>
      </c>
      <c r="Q36" s="19">
        <f>населення!Q36+льготи!Q36+субсидии!Q36+'держ.бюджет'!Q36+'місц.-район.бюджет'!Q36+обласной!Q36+'госпрозрахунк.'!Q36</f>
        <v>554.7</v>
      </c>
      <c r="R36" s="18">
        <f t="shared" si="13"/>
        <v>661.1442193087009</v>
      </c>
      <c r="S36" s="19">
        <f>населення!S36+льготи!S36+субсидии!S36+'держ.бюджет'!S36+'місц.-район.бюджет'!S36+обласной!S36+'госпрозрахунк.'!S36</f>
        <v>4494.4</v>
      </c>
      <c r="T36" s="19">
        <f>населення!T36+льготи!T36+субсидии!T36+'держ.бюджет'!T36+'місц.-район.бюджет'!T36+обласной!T36+'госпрозрахунк.'!T36</f>
        <v>3214.4</v>
      </c>
      <c r="U36" s="18">
        <f t="shared" si="14"/>
        <v>71.52011391954433</v>
      </c>
      <c r="V36" s="4">
        <f>населення!V36+льготи!V36+субсидии!V36+'держ.бюджет'!V36+'місц.-район.бюджет'!V36+обласной!V36+'госпрозрахунк.'!V36</f>
        <v>1280.0000000000005</v>
      </c>
      <c r="W36" s="4">
        <f>населення!W36+льготи!W36+субсидии!W36+'держ.бюджет'!W36+'місц.-район.бюджет'!W36+обласной!W36+'госпрозрахунк.'!W36</f>
        <v>762.5000000000005</v>
      </c>
      <c r="X36" s="30">
        <f t="shared" si="2"/>
        <v>4494.4</v>
      </c>
      <c r="Y36" s="30">
        <f t="shared" si="3"/>
        <v>3214.3999999999996</v>
      </c>
      <c r="Z36" s="30">
        <f t="shared" si="8"/>
        <v>1280</v>
      </c>
      <c r="AA36" s="30">
        <f t="shared" si="4"/>
        <v>762.5</v>
      </c>
    </row>
    <row r="37" spans="1:27" ht="24.75" customHeight="1">
      <c r="A37" s="28">
        <v>28</v>
      </c>
      <c r="B37" s="20" t="s">
        <v>71</v>
      </c>
      <c r="C37" s="122">
        <f>населення!C37+льготи!C37+субсидии!C37+'держ.бюджет'!C37+'місц.-район.бюджет'!C37+обласной!C37+'госпрозрахунк.'!C37</f>
        <v>31015.4</v>
      </c>
      <c r="D37" s="19">
        <f>населення!D37+льготи!D37+субсидии!D37+'держ.бюджет'!D37+'місц.-район.бюджет'!D37+обласной!D37+'госпрозрахунк.'!D37</f>
        <v>18473.8</v>
      </c>
      <c r="E37" s="19">
        <f>населення!E37+льготи!E37+субсидии!E37+'держ.бюджет'!E37+'місц.-район.бюджет'!E37+обласной!E37+'госпрозрахунк.'!E37</f>
        <v>18627.5</v>
      </c>
      <c r="F37" s="18">
        <f t="shared" si="15"/>
        <v>100.83198908724789</v>
      </c>
      <c r="G37" s="19">
        <f>населення!G37+льготи!G37+субсидии!G37+'держ.бюджет'!G37+'місц.-район.бюджет'!G37+обласной!G37+'госпрозрахунк.'!G37</f>
        <v>16795.8</v>
      </c>
      <c r="H37" s="19">
        <f>населення!H37+льготи!H37+субсидии!H37+'держ.бюджет'!H37+'місц.-район.бюджет'!H37+обласной!H37+'госпрозрахунк.'!H37</f>
        <v>15374.199999999999</v>
      </c>
      <c r="I37" s="18">
        <f t="shared" si="11"/>
        <v>91.53597923290346</v>
      </c>
      <c r="J37" s="19">
        <f>населення!J37+льготи!J37+субсидии!J37+'держ.бюджет'!J37+'місц.-район.бюджет'!J37+обласной!J37+'госпрозрахунк.'!J37</f>
        <v>10143.9</v>
      </c>
      <c r="K37" s="19">
        <f>населення!K37+льготи!K37+субсидии!K37+'держ.бюджет'!K37+'місц.-район.бюджет'!K37+обласной!K37+'госпрозрахунк.'!K37</f>
        <v>7074.799999999999</v>
      </c>
      <c r="L37" s="18">
        <f t="shared" si="12"/>
        <v>69.74437839489742</v>
      </c>
      <c r="M37" s="3">
        <f>населення!M37+льготи!M37+субсидии!M37+'держ.бюджет'!M37+'місц.-район.бюджет'!P37+обласной!M37+'госпрозрахунк.'!M37</f>
        <v>37038.6</v>
      </c>
      <c r="N37" s="3">
        <f>населення!N37+льготи!N37+субсидии!N37+'держ.бюджет'!N37+'місц.-район.бюджет'!Q37+обласной!N37+'госпрозрахунк.'!N37</f>
        <v>36085.8</v>
      </c>
      <c r="O37" s="18">
        <f t="shared" si="7"/>
        <v>97.42754855745088</v>
      </c>
      <c r="P37" s="19">
        <f>населення!P37+льготи!P37+субсидии!P37+'держ.бюджет'!P37+'місц.-район.бюджет'!P37+обласной!P37+'госпрозрахунк.'!P37</f>
        <v>973.6999999999999</v>
      </c>
      <c r="Q37" s="19">
        <f>населення!Q37+льготи!Q37+субсидии!Q37+'держ.бюджет'!Q37+'місц.-район.бюджет'!Q37+обласной!Q37+'госпрозрахунк.'!Q37</f>
        <v>10998.699999999999</v>
      </c>
      <c r="R37" s="18">
        <f t="shared" si="13"/>
        <v>1129.5778987367771</v>
      </c>
      <c r="S37" s="19">
        <f>населення!S37+льготи!S37+субсидии!S37+'держ.бюджет'!S37+'місц.-район.бюджет'!S37+обласной!S37+'госпрозрахунк.'!S37</f>
        <v>46387.2</v>
      </c>
      <c r="T37" s="19">
        <f>населення!T37+льготи!T37+субсидии!T37+'держ.бюджет'!T37+'місц.-район.бюджет'!T37+обласной!T37+'госпрозрахунк.'!T37</f>
        <v>52075.20000000001</v>
      </c>
      <c r="U37" s="18">
        <f t="shared" si="14"/>
        <v>112.26200331125831</v>
      </c>
      <c r="V37" s="4">
        <f>населення!V37+льготи!V37+субсидии!V37+'держ.бюджет'!V37+'місц.-район.бюджет'!V37+обласной!V37+'госпрозрахунк.'!V37</f>
        <v>-5688.0000000000055</v>
      </c>
      <c r="W37" s="4">
        <f>населення!W37+льготи!W37+субсидии!W37+'держ.бюджет'!W37+'місц.-район.бюджет'!W37+обласной!W37+'госпрозрахунк.'!W37</f>
        <v>25327.399999999994</v>
      </c>
      <c r="X37" s="30">
        <f t="shared" si="2"/>
        <v>46387.2</v>
      </c>
      <c r="Y37" s="30">
        <f t="shared" si="3"/>
        <v>52075.2</v>
      </c>
      <c r="Z37" s="30">
        <f t="shared" si="8"/>
        <v>-5688</v>
      </c>
      <c r="AA37" s="30">
        <f t="shared" si="4"/>
        <v>25327.40000000001</v>
      </c>
    </row>
    <row r="38" spans="1:27" ht="22.5" customHeight="1">
      <c r="A38" s="28">
        <v>29</v>
      </c>
      <c r="B38" s="20" t="s">
        <v>72</v>
      </c>
      <c r="C38" s="122">
        <f>населення!C38+льготи!C38+субсидии!C38+'держ.бюджет'!C38+'місц.-район.бюджет'!C38+обласной!C38+'госпрозрахунк.'!C38</f>
        <v>23473.1</v>
      </c>
      <c r="D38" s="19">
        <f>населення!D38+льготи!D38+субсидии!D38+'держ.бюджет'!D38+'місц.-район.бюджет'!D38+обласной!D38+'госпрозрахунк.'!D38</f>
        <v>15256.199999999999</v>
      </c>
      <c r="E38" s="19">
        <f>населення!E38+льготи!E38+субсидии!E38+'держ.бюджет'!E38+'місц.-район.бюджет'!E38+обласной!E38+'госпрозрахунк.'!E38</f>
        <v>5945.6</v>
      </c>
      <c r="F38" s="18">
        <f t="shared" si="15"/>
        <v>38.971696752795594</v>
      </c>
      <c r="G38" s="19">
        <f>населення!G38+льготи!G38+субсидии!G38+'держ.бюджет'!G38+'місц.-район.бюджет'!G38+обласной!G38+'госпрозрахунк.'!G38</f>
        <v>16376.7</v>
      </c>
      <c r="H38" s="19">
        <f>населення!H38+льготи!H38+субсидии!H38+'держ.бюджет'!H38+'місц.-район.бюджет'!H38+обласной!H38+'госпрозрахунк.'!H38</f>
        <v>7202.7</v>
      </c>
      <c r="I38" s="18">
        <f t="shared" si="11"/>
        <v>43.98138819176024</v>
      </c>
      <c r="J38" s="19">
        <f>населення!J38+льготи!J38+субсидии!J38+'держ.бюджет'!J38+'місц.-район.бюджет'!J38+обласной!J38+'госпрозрахунк.'!J38</f>
        <v>8858.199999999999</v>
      </c>
      <c r="K38" s="19">
        <f>населення!K38+льготи!K38+субсидии!K38+'держ.бюджет'!K38+'місц.-район.бюджет'!K38+обласной!K38+'госпрозрахунк.'!K38</f>
        <v>3814.2999999999997</v>
      </c>
      <c r="L38" s="18">
        <f t="shared" si="12"/>
        <v>43.059538055135356</v>
      </c>
      <c r="M38" s="3">
        <f>населення!M38+льготи!M38+субсидии!M38+'держ.бюджет'!M38+'місц.-район.бюджет'!P38+обласной!M38+'госпрозрахунк.'!M38</f>
        <v>33421.5</v>
      </c>
      <c r="N38" s="3">
        <f>населення!N38+льготи!N38+субсидии!N38+'держ.бюджет'!N38+'місц.-район.бюджет'!Q38+обласной!N38+'госпрозрахунк.'!N38</f>
        <v>12953.9</v>
      </c>
      <c r="O38" s="18">
        <f t="shared" si="7"/>
        <v>38.759181963706</v>
      </c>
      <c r="P38" s="19">
        <f>населення!P38+льготи!P38+субсидии!P38+'держ.бюджет'!P38+'місц.-район.бюджет'!P38+обласной!P38+'госпрозрахунк.'!P38</f>
        <v>1771.8</v>
      </c>
      <c r="Q38" s="19">
        <f>населення!Q38+льготи!Q38+субсидии!Q38+'держ.бюджет'!Q38+'місц.-район.бюджет'!Q38+обласной!Q38+'госпрозрахунк.'!Q38</f>
        <v>5605.599999999999</v>
      </c>
      <c r="R38" s="18">
        <f t="shared" si="13"/>
        <v>316.3788237950107</v>
      </c>
      <c r="S38" s="19">
        <f>населення!S38+льготи!S38+субсидии!S38+'держ.бюджет'!S38+'місц.-район.бюджет'!S38+обласной!S38+'госпрозрахунк.'!S38</f>
        <v>42262.9</v>
      </c>
      <c r="T38" s="19">
        <f>населення!T38+льготи!T38+субсидии!T38+'держ.бюджет'!T38+'місц.-район.бюджет'!T38+обласной!T38+'госпрозрахунк.'!T38</f>
        <v>22568.199999999997</v>
      </c>
      <c r="U38" s="18">
        <f t="shared" si="14"/>
        <v>53.399553745720226</v>
      </c>
      <c r="V38" s="4">
        <f>населення!V38+льготи!V38+субсидии!V38+'держ.бюджет'!V38+'місц.-район.бюджет'!V38+обласной!V38+'госпрозрахунк.'!V38</f>
        <v>19694.700000000004</v>
      </c>
      <c r="W38" s="4">
        <f>населення!W38+льготи!W38+субсидии!W38+'держ.бюджет'!W38+'місц.-район.бюджет'!W38+обласной!W38+'госпрозрахунк.'!W38</f>
        <v>43167.80000000001</v>
      </c>
      <c r="X38" s="30">
        <f t="shared" si="2"/>
        <v>42262.9</v>
      </c>
      <c r="Y38" s="30">
        <f t="shared" si="3"/>
        <v>22568.199999999997</v>
      </c>
      <c r="Z38" s="30">
        <f t="shared" si="8"/>
        <v>19694.700000000004</v>
      </c>
      <c r="AA38" s="30">
        <f t="shared" si="4"/>
        <v>43167.8</v>
      </c>
    </row>
    <row r="39" spans="1:27" ht="27.75" customHeight="1">
      <c r="A39" s="28">
        <v>30</v>
      </c>
      <c r="B39" s="20" t="s">
        <v>95</v>
      </c>
      <c r="C39" s="122">
        <f>населення!C39+льготи!C39+субсидии!C39+'держ.бюджет'!C39+'місц.-район.бюджет'!C39+обласной!C39+'госпрозрахунк.'!C39</f>
        <v>88302</v>
      </c>
      <c r="D39" s="19">
        <f>населення!D39+льготи!D39+субсидии!D39+'держ.бюджет'!D39+'місц.-район.бюджет'!D39+обласной!D39+'госпрозрахунк.'!D39</f>
        <v>43186.9</v>
      </c>
      <c r="E39" s="19">
        <f>населення!E39+льготи!E39+субсидии!E39+'держ.бюджет'!E39+'місц.-район.бюджет'!E39+обласной!E39+'госпрозрахунк.'!E39</f>
        <v>40535.100000000006</v>
      </c>
      <c r="F39" s="18">
        <f t="shared" si="15"/>
        <v>93.85971208861947</v>
      </c>
      <c r="G39" s="19">
        <f>населення!G39+льготи!G39+субсидии!G39+'держ.бюджет'!G39+'місц.-район.бюджет'!G39+обласной!G39+'госпрозрахунк.'!G39</f>
        <v>45315.700000000004</v>
      </c>
      <c r="H39" s="19">
        <f>населення!H39+льготи!H39+субсидии!H39+'держ.бюджет'!H39+'місц.-район.бюджет'!H39+обласной!H39+'госпрозрахунк.'!H39</f>
        <v>39846.9</v>
      </c>
      <c r="I39" s="18">
        <f t="shared" si="11"/>
        <v>87.93177640420427</v>
      </c>
      <c r="J39" s="19">
        <f>населення!J39+льготи!J39+субсидии!J39+'держ.бюджет'!J39+'місц.-район.бюджет'!J39+обласной!J39+'госпрозрахунк.'!J39</f>
        <v>26405.699999999997</v>
      </c>
      <c r="K39" s="19">
        <f>населення!K39+льготи!K39+субсидии!K39+'держ.бюджет'!K39+'місц.-район.бюджет'!K39+обласной!K39+'госпрозрахунк.'!K39</f>
        <v>14416.500000000002</v>
      </c>
      <c r="L39" s="18">
        <f t="shared" si="12"/>
        <v>54.59616673672731</v>
      </c>
      <c r="M39" s="3">
        <f>населення!M39+льготи!M39+субсидии!M39+'держ.бюджет'!M39+'місц.-район.бюджет'!P39+обласной!M39+'госпрозрахунк.'!M39</f>
        <v>100573.29999999999</v>
      </c>
      <c r="N39" s="3">
        <f>населення!N39+льготи!N39+субсидии!N39+'держ.бюджет'!N39+'місц.-район.бюджет'!Q39+обласной!N39+'госпрозрахунк.'!N39</f>
        <v>90187</v>
      </c>
      <c r="O39" s="18">
        <f t="shared" si="7"/>
        <v>89.67290523429182</v>
      </c>
      <c r="P39" s="19">
        <f>населення!P39+льготи!P39+субсидии!P39+'держ.бюджет'!P39+'місц.-район.бюджет'!P39+обласной!P39+'госпрозрахунк.'!P39</f>
        <v>2588.9999999999995</v>
      </c>
      <c r="Q39" s="19">
        <f>населення!Q39+льготи!Q39+субсидии!Q39+'держ.бюджет'!Q39+'місц.-район.бюджет'!Q39+обласной!Q39+'госпрозрахунк.'!Q39</f>
        <v>7885.9</v>
      </c>
      <c r="R39" s="18">
        <f t="shared" si="13"/>
        <v>304.5925067593666</v>
      </c>
      <c r="S39" s="19">
        <f>населення!S39+льготи!S39+субсидии!S39+'держ.бюджет'!S39+'місц.-район.бюджет'!S39+обласной!S39+'госпрозрахунк.'!S39</f>
        <v>117497.29999999999</v>
      </c>
      <c r="T39" s="19">
        <f>населення!T39+льготи!T39+субсидии!T39+'держ.бюджет'!T39+'місц.-район.бюджет'!T39+обласной!T39+'госпрозрахунк.'!T39</f>
        <v>102684.4</v>
      </c>
      <c r="U39" s="18">
        <f t="shared" si="14"/>
        <v>87.39298690267778</v>
      </c>
      <c r="V39" s="4">
        <f>населення!V39+льготи!V39+субсидии!V39+'держ.бюджет'!V39+'місц.-район.бюджет'!V39+обласной!V39+'госпрозрахунк.'!V39</f>
        <v>14812.899999999992</v>
      </c>
      <c r="W39" s="4">
        <f>населення!W39+льготи!W39+субсидии!W39+'держ.бюджет'!W39+'місц.-район.бюджет'!W39+обласной!W39+'госпрозрахунк.'!W39</f>
        <v>103114.9</v>
      </c>
      <c r="X39" s="30">
        <f t="shared" si="2"/>
        <v>117497.3</v>
      </c>
      <c r="Y39" s="30">
        <f t="shared" si="3"/>
        <v>102684.4</v>
      </c>
      <c r="Z39" s="30">
        <f t="shared" si="8"/>
        <v>14812.900000000009</v>
      </c>
      <c r="AA39" s="30">
        <f t="shared" si="4"/>
        <v>103114.9</v>
      </c>
    </row>
    <row r="40" spans="1:27" ht="24.75" customHeight="1">
      <c r="A40" s="28">
        <v>31</v>
      </c>
      <c r="B40" s="20" t="s">
        <v>73</v>
      </c>
      <c r="C40" s="122">
        <f>населення!C40+льготи!C40+субсидии!C40+'держ.бюджет'!C40+'місц.-район.бюджет'!C40+обласной!C40+'госпрозрахунк.'!C40</f>
        <v>251.69999999999996</v>
      </c>
      <c r="D40" s="19">
        <f>населення!D40+льготи!D40+субсидии!D40+'держ.бюджет'!D40+'місц.-район.бюджет'!D40+обласной!D40+'госпрозрахунк.'!D40</f>
        <v>508.8</v>
      </c>
      <c r="E40" s="19">
        <f>населення!E40+льготи!E40+субсидии!E40+'держ.бюджет'!E40+'місц.-район.бюджет'!E40+обласной!E40+'госпрозрахунк.'!E40</f>
        <v>89.5</v>
      </c>
      <c r="F40" s="18">
        <f t="shared" si="15"/>
        <v>17.590408805031448</v>
      </c>
      <c r="G40" s="19">
        <f>населення!G40+льготи!G40+субсидии!G40+'держ.бюджет'!G40+'місц.-район.бюджет'!G40+обласной!G40+'госпрозрахунк.'!G40</f>
        <v>388.4</v>
      </c>
      <c r="H40" s="19">
        <f>населення!H40+льготи!H40+субсидии!H40+'держ.бюджет'!H40+'місц.-район.бюджет'!H40+обласной!H40+'госпрозрахунк.'!H40</f>
        <v>142</v>
      </c>
      <c r="I40" s="18">
        <f t="shared" si="11"/>
        <v>36.560247167868184</v>
      </c>
      <c r="J40" s="19">
        <f>населення!J40+льготи!J40+субсидии!J40+'держ.бюджет'!J40+'місц.-район.бюджет'!J40+обласной!J40+'госпрозрахунк.'!J40</f>
        <v>213.10000000000002</v>
      </c>
      <c r="K40" s="19">
        <f>населення!K40+льготи!K40+субсидии!K40+'держ.бюджет'!K40+'місц.-район.бюджет'!K40+обласной!K40+'госпрозрахунк.'!K40</f>
        <v>629.6</v>
      </c>
      <c r="L40" s="18">
        <f t="shared" si="12"/>
        <v>295.4481464101361</v>
      </c>
      <c r="M40" s="3">
        <f>населення!M40+льготи!M40+субсидии!M40+'держ.бюджет'!M40+'місц.-район.бюджет'!P40+обласной!M40+'госпрозрахунк.'!M40</f>
        <v>115.9</v>
      </c>
      <c r="N40" s="3">
        <f>населення!N40+льготи!N40+субсидии!N40+'держ.бюджет'!N40+'місц.-район.бюджет'!Q40+обласной!N40+'госпрозрахунк.'!N40</f>
        <v>203.20000000000002</v>
      </c>
      <c r="O40" s="18">
        <f t="shared" si="7"/>
        <v>175.3235547886109</v>
      </c>
      <c r="P40" s="19">
        <f>населення!P40+льготи!P40+субсидии!P40+'держ.бюджет'!P40+'місц.-район.бюджет'!P40+обласной!P40+'госпрозрахунк.'!P40</f>
        <v>26</v>
      </c>
      <c r="Q40" s="19">
        <f>населення!Q40+льготи!Q40+субсидии!Q40+'держ.бюджет'!Q40+'місц.-район.бюджет'!Q40+обласной!Q40+'госпрозрахунк.'!Q40</f>
        <v>159.8</v>
      </c>
      <c r="R40" s="18">
        <f t="shared" si="13"/>
        <v>614.6153846153846</v>
      </c>
      <c r="S40" s="19">
        <f>населення!S40+льготи!S40+субсидии!S40+'держ.бюджет'!S40+'місц.-район.бюджет'!S40+обласной!S40+'госпрозрахунк.'!S40</f>
        <v>1136.3</v>
      </c>
      <c r="T40" s="19">
        <f>населення!T40+льготи!T40+субсидии!T40+'держ.бюджет'!T40+'місц.-район.бюджет'!T40+обласной!T40+'госпрозрахунк.'!T40</f>
        <v>1020.9</v>
      </c>
      <c r="U40" s="18">
        <f t="shared" si="14"/>
        <v>89.84423127695152</v>
      </c>
      <c r="V40" s="4">
        <f>населення!V40+льготи!V40+субсидии!V40+'держ.бюджет'!V40+'місц.-район.бюджет'!V40+обласной!V40+'госпрозрахунк.'!V40</f>
        <v>115.39999999999993</v>
      </c>
      <c r="W40" s="4">
        <f>населення!W40+льготи!W40+субсидии!W40+'держ.бюджет'!W40+'місц.-район.бюджет'!W40+обласной!W40+'госпрозрахунк.'!W40</f>
        <v>367.0999999999999</v>
      </c>
      <c r="X40" s="30">
        <f t="shared" si="2"/>
        <v>1136.3000000000002</v>
      </c>
      <c r="Y40" s="30">
        <f t="shared" si="3"/>
        <v>1020.9000000000001</v>
      </c>
      <c r="Z40" s="30">
        <f t="shared" si="8"/>
        <v>115.40000000000009</v>
      </c>
      <c r="AA40" s="30">
        <f t="shared" si="4"/>
        <v>367.10000000000014</v>
      </c>
    </row>
    <row r="41" spans="1:27" ht="27.75" customHeight="1">
      <c r="A41" s="28">
        <v>32</v>
      </c>
      <c r="B41" s="1" t="s">
        <v>74</v>
      </c>
      <c r="C41" s="122">
        <f>населення!C41+льготи!C41+субсидии!C41+'держ.бюджет'!C41+'місц.-район.бюджет'!C41+обласной!C41+'госпрозрахунк.'!C41</f>
        <v>40174.3</v>
      </c>
      <c r="D41" s="19">
        <f>населення!D41+льготи!D41+субсидии!D41+'держ.бюджет'!D41+'місц.-район.бюджет'!D41+обласной!D41+'госпрозрахунк.'!D41</f>
        <v>18154.2</v>
      </c>
      <c r="E41" s="19">
        <f>населення!E41+льготи!E41+субсидии!E41+'держ.бюджет'!E41+'місц.-район.бюджет'!E41+обласной!E41+'госпрозрахунк.'!E41</f>
        <v>20159.9</v>
      </c>
      <c r="F41" s="18">
        <f t="shared" si="15"/>
        <v>111.04813211267917</v>
      </c>
      <c r="G41" s="19">
        <f>населення!G41+льготи!G41+субсидии!G41+'держ.бюджет'!G41+'місц.-район.бюджет'!G41+обласной!G41+'госпрозрахунк.'!G41</f>
        <v>17092.100000000002</v>
      </c>
      <c r="H41" s="19">
        <f>населення!H41+льготи!H41+субсидии!H41+'держ.бюджет'!H41+'місц.-район.бюджет'!H41+обласной!H41+'госпрозрахунк.'!H41</f>
        <v>18221.199999999997</v>
      </c>
      <c r="I41" s="18">
        <f t="shared" si="11"/>
        <v>106.60597586019269</v>
      </c>
      <c r="J41" s="19">
        <f>населення!J41+льготи!J41+субсидии!J41+'держ.бюджет'!J41+'місц.-район.бюджет'!J41+обласной!J41+'госпрозрахунк.'!J41</f>
        <v>10052.4</v>
      </c>
      <c r="K41" s="19">
        <f>населення!K41+льготи!K41+субсидии!K41+'держ.бюджет'!K41+'місц.-район.бюджет'!K41+обласной!K41+'госпрозрахунк.'!K41</f>
        <v>6793.900000000001</v>
      </c>
      <c r="L41" s="18">
        <f t="shared" si="12"/>
        <v>67.58485535792448</v>
      </c>
      <c r="M41" s="3">
        <f>населення!M41+льготи!M41+субсидии!M41+'держ.бюджет'!M41+'місц.-район.бюджет'!P41+обласной!M41+'госпрозрахунк.'!M41</f>
        <v>39995.5</v>
      </c>
      <c r="N41" s="3">
        <f>населення!N41+льготи!N41+субсидии!N41+'держ.бюджет'!N41+'місц.-район.бюджет'!Q41+обласной!N41+'госпрозрахунк.'!N41</f>
        <v>41829.8</v>
      </c>
      <c r="O41" s="18">
        <f t="shared" si="7"/>
        <v>104.58626595491994</v>
      </c>
      <c r="P41" s="19">
        <f>населення!P41+льготи!P41+субсидии!P41+'держ.бюджет'!P41+'місц.-район.бюджет'!P41+обласной!P41+'госпрозрахунк.'!P41</f>
        <v>70.3</v>
      </c>
      <c r="Q41" s="19">
        <f>населення!Q41+льготи!Q41+субсидии!Q41+'держ.бюджет'!Q41+'місц.-район.бюджет'!Q41+обласной!Q41+'госпрозрахунк.'!Q41</f>
        <v>4183.2</v>
      </c>
      <c r="R41" s="18">
        <f t="shared" si="13"/>
        <v>5950.49786628734</v>
      </c>
      <c r="S41" s="19">
        <f>населення!S41+льготи!S41+субсидии!S41+'держ.бюджет'!S41+'місц.-район.бюджет'!S41+обласной!S41+'госпрозрахунк.'!S41</f>
        <v>45369.00000000001</v>
      </c>
      <c r="T41" s="19">
        <f>населення!T41+льготи!T41+субсидии!T41+'держ.бюджет'!T41+'місц.-район.бюджет'!T41+обласной!T41+'госпрозрахунк.'!T41</f>
        <v>49358.200000000004</v>
      </c>
      <c r="U41" s="18">
        <f t="shared" si="14"/>
        <v>108.79278802706693</v>
      </c>
      <c r="V41" s="4">
        <f>населення!V41+льготи!V41+субсидии!V41+'держ.бюджет'!V41+'місц.-район.бюджет'!V41+обласной!V41+'госпрозрахунк.'!V41</f>
        <v>-3989.1999999999975</v>
      </c>
      <c r="W41" s="4">
        <f>населення!W41+льготи!W41+субсидии!W41+'держ.бюджет'!W41+'місц.-район.бюджет'!W41+обласной!W41+'госпрозрахунк.'!W41</f>
        <v>36185.100000000006</v>
      </c>
      <c r="X41" s="30">
        <f t="shared" si="2"/>
        <v>45369.00000000001</v>
      </c>
      <c r="Y41" s="30">
        <f t="shared" si="3"/>
        <v>49358.2</v>
      </c>
      <c r="Z41" s="30">
        <f t="shared" si="8"/>
        <v>-3989.19999999999</v>
      </c>
      <c r="AA41" s="30">
        <f t="shared" si="4"/>
        <v>36185.10000000002</v>
      </c>
    </row>
    <row r="42" spans="1:27" ht="24.75" customHeight="1">
      <c r="A42" s="28">
        <v>33</v>
      </c>
      <c r="B42" s="20" t="s">
        <v>75</v>
      </c>
      <c r="C42" s="122">
        <f>населення!C42+льготи!C42+субсидии!C42+'держ.бюджет'!C42+'місц.-район.бюджет'!C42+обласной!C42+'госпрозрахунк.'!C42</f>
        <v>23090.5</v>
      </c>
      <c r="D42" s="19">
        <f>населення!D42+льготи!D42+субсидии!D42+'держ.бюджет'!D42+'місц.-район.бюджет'!D42+обласной!D42+'госпрозрахунк.'!D42</f>
        <v>17300.1</v>
      </c>
      <c r="E42" s="19">
        <f>населення!E42+льготи!E42+субсидии!E42+'держ.бюджет'!E42+'місц.-район.бюджет'!E42+обласной!E42+'госпрозрахунк.'!E42</f>
        <v>18549.2</v>
      </c>
      <c r="F42" s="18">
        <f t="shared" si="15"/>
        <v>107.22018947867356</v>
      </c>
      <c r="G42" s="19">
        <f>населення!G42+льготи!G42+субсидии!G42+'держ.бюджет'!G42+'місц.-район.бюджет'!G42+обласной!G42+'госпрозрахунк.'!G42</f>
        <v>16075.300000000001</v>
      </c>
      <c r="H42" s="19">
        <f>населення!H42+льготи!H42+субсидии!H42+'держ.бюджет'!H42+'місц.-район.бюджет'!H42+обласной!H42+'госпрозрахунк.'!H42</f>
        <v>13326.3</v>
      </c>
      <c r="I42" s="18">
        <f t="shared" si="11"/>
        <v>82.89923049647595</v>
      </c>
      <c r="J42" s="19">
        <f>населення!J42+льготи!J42+субсидии!J42+'держ.бюджет'!J42+'місц.-район.бюджет'!J42+обласной!J42+'госпрозрахунк.'!J42</f>
        <v>9574.1</v>
      </c>
      <c r="K42" s="19">
        <f>населення!K42+льготи!K42+субсидии!K42+'держ.бюджет'!K42+'місц.-район.бюджет'!K42+обласной!K42+'госпрозрахунк.'!K42</f>
        <v>6494.099999999999</v>
      </c>
      <c r="L42" s="18">
        <f t="shared" si="12"/>
        <v>67.82987434850273</v>
      </c>
      <c r="M42" s="3">
        <f>населення!M42+льготи!M42+субсидии!M42+'держ.бюджет'!M42+'місц.-район.бюджет'!P42+обласной!M42+'госпрозрахунк.'!M42</f>
        <v>37441.6</v>
      </c>
      <c r="N42" s="3">
        <f>населення!N42+льготи!N42+субсидии!N42+'держ.бюджет'!N42+'місц.-район.бюджет'!Q42+обласной!N42+'госпрозрахунк.'!N42</f>
        <v>35173.49999999999</v>
      </c>
      <c r="O42" s="18">
        <f t="shared" si="7"/>
        <v>93.94229947438141</v>
      </c>
      <c r="P42" s="19">
        <f>населення!P42+льготи!P42+субсидии!P42+'держ.бюджет'!P42+'місц.-район.бюджет'!P42+обласной!P42+'госпрозрахунк.'!P42</f>
        <v>498.9</v>
      </c>
      <c r="Q42" s="19">
        <f>населення!Q42+льготи!Q42+субсидии!Q42+'держ.бюджет'!Q42+'місц.-район.бюджет'!Q42+обласной!Q42+'госпрозрахунк.'!Q42</f>
        <v>5782.2</v>
      </c>
      <c r="R42" s="18">
        <f t="shared" si="13"/>
        <v>1158.9897775105233</v>
      </c>
      <c r="S42" s="19">
        <f>населення!S42+льготи!S42+субсидии!S42+'держ.бюджет'!S42+'місц.-район.бюджет'!S42+обласной!S42+'госпрозрахунк.'!S42</f>
        <v>43448.399999999994</v>
      </c>
      <c r="T42" s="19">
        <f>населення!T42+льготи!T42+субсидии!T42+'держ.бюджет'!T42+'місц.-район.бюджет'!T42+обласной!T42+'госпрозрахунк.'!T42</f>
        <v>44151.799999999996</v>
      </c>
      <c r="U42" s="18">
        <f t="shared" si="14"/>
        <v>101.61893188241685</v>
      </c>
      <c r="V42" s="4">
        <f>населення!V42+льготи!V42+субсидии!V42+'держ.бюджет'!V42+'місц.-район.бюджет'!V42+обласной!V42+'госпрозрахунк.'!V42</f>
        <v>-703.4000000000033</v>
      </c>
      <c r="W42" s="4">
        <f>населення!W42+льготи!W42+субсидии!W42+'держ.бюджет'!W42+'місц.-район.бюджет'!W42+обласной!W42+'госпрозрахунк.'!W42</f>
        <v>22387.099999999995</v>
      </c>
      <c r="X42" s="30">
        <f t="shared" si="2"/>
        <v>43448.4</v>
      </c>
      <c r="Y42" s="30">
        <f t="shared" si="3"/>
        <v>44151.799999999996</v>
      </c>
      <c r="Z42" s="30">
        <f t="shared" si="8"/>
        <v>-703.3999999999942</v>
      </c>
      <c r="AA42" s="30">
        <f t="shared" si="4"/>
        <v>22387.1</v>
      </c>
    </row>
    <row r="43" spans="1:27" s="9" customFormat="1" ht="24.75" customHeight="1">
      <c r="A43" s="21">
        <v>34</v>
      </c>
      <c r="B43" s="22" t="s">
        <v>76</v>
      </c>
      <c r="C43" s="17">
        <f>SUM(C44:C45)</f>
        <v>2110471.4</v>
      </c>
      <c r="D43" s="4">
        <f>SUM(D44:D45)</f>
        <v>1037914</v>
      </c>
      <c r="E43" s="4">
        <f>SUM(E44:E45)</f>
        <v>748631.8</v>
      </c>
      <c r="F43" s="18">
        <f t="shared" si="15"/>
        <v>72.12850004913702</v>
      </c>
      <c r="G43" s="4">
        <f>SUM(G44:G45)</f>
        <v>1012451.5</v>
      </c>
      <c r="H43" s="4">
        <f>SUM(H44:H45)</f>
        <v>583797.8</v>
      </c>
      <c r="I43" s="18">
        <f t="shared" si="11"/>
        <v>57.66180404690991</v>
      </c>
      <c r="J43" s="4">
        <f>SUM(J44:J45)</f>
        <v>684991.7</v>
      </c>
      <c r="K43" s="4">
        <f>SUM(K44:K45)</f>
        <v>908198.1</v>
      </c>
      <c r="L43" s="18">
        <f t="shared" si="12"/>
        <v>132.5852707412367</v>
      </c>
      <c r="M43" s="4">
        <f>SUM(M44:M45)</f>
        <v>2549274.2</v>
      </c>
      <c r="N43" s="4">
        <f>SUM(N44:N45)</f>
        <v>2051384.1</v>
      </c>
      <c r="O43" s="18">
        <f t="shared" si="7"/>
        <v>80.4693390769812</v>
      </c>
      <c r="P43" s="4">
        <f>SUM(P44:P45)</f>
        <v>259848.2</v>
      </c>
      <c r="Q43" s="4">
        <f>SUM(Q44:Q45)</f>
        <v>349149</v>
      </c>
      <c r="R43" s="18">
        <f t="shared" si="13"/>
        <v>134.3665263026644</v>
      </c>
      <c r="S43" s="4">
        <f>SUM(S44:S45)</f>
        <v>2995205.4</v>
      </c>
      <c r="T43" s="4">
        <f>SUM(T44:T45)</f>
        <v>2589776.7</v>
      </c>
      <c r="U43" s="18">
        <f>T43/S43*100</f>
        <v>86.46407688768191</v>
      </c>
      <c r="V43" s="4">
        <f>SUM(V44:V45)</f>
        <v>405428.7</v>
      </c>
      <c r="W43" s="4">
        <f>SUM(W44:W45)</f>
        <v>2515900.1</v>
      </c>
      <c r="X43" s="30">
        <f t="shared" si="2"/>
        <v>2995205.4000000004</v>
      </c>
      <c r="Y43" s="30">
        <f t="shared" si="3"/>
        <v>2589776.7</v>
      </c>
      <c r="Z43" s="30">
        <f t="shared" si="8"/>
        <v>405428.7000000002</v>
      </c>
      <c r="AA43" s="30">
        <f t="shared" si="4"/>
        <v>2515900.1000000006</v>
      </c>
    </row>
    <row r="44" spans="1:24" s="9" customFormat="1" ht="25.5" customHeight="1">
      <c r="A44" s="21"/>
      <c r="B44" s="1" t="s">
        <v>77</v>
      </c>
      <c r="C44" s="122">
        <f>населення!C44+льготи!C44+субсидии!C44+'держ.бюджет'!C44+'місц.-район.бюджет'!C44+обласной!C44+'госпрозрахунк.'!C44</f>
        <v>2111623</v>
      </c>
      <c r="D44" s="19">
        <f>населення!D44+льготи!D44+субсидии!D44+'держ.бюджет'!D44+'місц.-район.бюджет'!D44+обласной!D44+'госпрозрахунк.'!D44</f>
        <v>1032139</v>
      </c>
      <c r="E44" s="19">
        <f>населення!E44+льготи!E44+субсидии!E44+'держ.бюджет'!E44+'місц.-район.бюджет'!E44+обласной!E44+'госпрозрахунк.'!E44</f>
        <v>747847</v>
      </c>
      <c r="F44" s="18">
        <f>E44/D44*100</f>
        <v>72.45603547584192</v>
      </c>
      <c r="G44" s="19">
        <f>населення!G44+льготи!G44+субсидии!G44+'держ.бюджет'!G44+'місц.-район.бюджет'!G44+обласной!G44+'госпрозрахунк.'!G44</f>
        <v>1005924</v>
      </c>
      <c r="H44" s="19">
        <f>населення!H44+льготи!H44+субсидии!H44+'держ.бюджет'!H44+'місц.-район.бюджет'!H44+обласной!H44+'госпрозрахунк.'!H44</f>
        <v>579661</v>
      </c>
      <c r="I44" s="18">
        <f t="shared" si="11"/>
        <v>57.62473109300503</v>
      </c>
      <c r="J44" s="19">
        <f>населення!J44+льготи!J44+субсидии!J44+'держ.бюджет'!J44+'місц.-район.бюджет'!J44+обласной!J44+'госпрозрахунк.'!J44</f>
        <v>680706</v>
      </c>
      <c r="K44" s="19">
        <f>населення!K44+льготи!K44+субсидии!K44+'держ.бюджет'!K44+'місц.-район.бюджет'!K44+обласной!K44+'госпрозрахунк.'!K44</f>
        <v>900781</v>
      </c>
      <c r="L44" s="18">
        <f t="shared" si="12"/>
        <v>132.33040402170687</v>
      </c>
      <c r="M44" s="3">
        <f>населення!M44+льготи!M44+субсидии!M44+'держ.бюджет'!M44+'місц.-район.бюджет'!P44+обласной!M44+'госпрозрахунк.'!M44</f>
        <v>2537964</v>
      </c>
      <c r="N44" s="3">
        <f>населення!N44+льготи!N44+субсидии!N44+'держ.бюджет'!N44+'місц.-район.бюджет'!Q44+обласной!N44+'госпрозрахунк.'!N44</f>
        <v>2044402</v>
      </c>
      <c r="O44" s="18">
        <f t="shared" si="7"/>
        <v>80.55283684086929</v>
      </c>
      <c r="P44" s="19">
        <f>населення!P44+льготи!P44+субсидии!P44+'держ.бюджет'!P44+'місц.-район.бюджет'!P44+обласной!P44+'госпрозрахунк.'!P44</f>
        <v>258319</v>
      </c>
      <c r="Q44" s="19">
        <f>населення!Q44+льготи!Q44+субсидии!Q44+'держ.бюджет'!Q44+'місц.-район.бюджет'!Q44+обласной!Q44+'госпрозрахунк.'!Q44</f>
        <v>346526</v>
      </c>
      <c r="R44" s="18">
        <f t="shared" si="13"/>
        <v>134.14653974349545</v>
      </c>
      <c r="S44" s="19">
        <f>населення!S44+льготи!S44+субсидии!S44+'держ.бюджет'!S44+'місц.-район.бюджет'!S44+обласной!S44+'госпрозрахунк.'!S44</f>
        <v>2977088</v>
      </c>
      <c r="T44" s="19">
        <f>населення!T44+льготи!T44+субсидии!T44+'держ.бюджет'!T44+'місц.-район.бюджет'!T44+обласной!T44+'госпрозрахунк.'!T44</f>
        <v>2574815</v>
      </c>
      <c r="U44" s="18">
        <f>T44/S44*100</f>
        <v>86.48770207666014</v>
      </c>
      <c r="V44" s="4">
        <f>населення!V44+льготи!V44+субсидии!V44+'держ.бюджет'!V44+'місц.-район.бюджет'!V44+обласной!V44+'госпрозрахунк.'!V44</f>
        <v>402273</v>
      </c>
      <c r="W44" s="4">
        <f>населення!W44+льготи!W44+субсидии!W44+'держ.бюджет'!W44+'місц.-район.бюджет'!W44+обласной!W44+'госпрозрахунк.'!W44</f>
        <v>2513896</v>
      </c>
      <c r="X44" s="5"/>
    </row>
    <row r="45" spans="1:24" s="9" customFormat="1" ht="24.75" customHeight="1">
      <c r="A45" s="50"/>
      <c r="B45" s="1" t="s">
        <v>69</v>
      </c>
      <c r="C45" s="122">
        <f>населення!C45+льготи!C45+субсидии!C45+'держ.бюджет'!C45+'місц.-район.бюджет'!C45+обласной!C45+'госпрозрахунк.'!C45</f>
        <v>-1151.6</v>
      </c>
      <c r="D45" s="19">
        <f>населення!D45+льготи!D45+субсидии!D45+'держ.бюджет'!D45+'місц.-район.бюджет'!D45+обласной!D45+'госпрозрахунк.'!D45</f>
        <v>5775</v>
      </c>
      <c r="E45" s="19">
        <f>населення!E45+льготи!E45+субсидии!E45+'держ.бюджет'!E45+'місц.-район.бюджет'!E45+обласной!E45+'госпрозрахунк.'!E45</f>
        <v>784.8</v>
      </c>
      <c r="F45" s="18">
        <f>E45/D45*100</f>
        <v>13.589610389610387</v>
      </c>
      <c r="G45" s="19">
        <f>населення!G45+льготи!G45+субсидии!G45+'держ.бюджет'!G45+'місц.-район.бюджет'!G45+обласной!G45+'госпрозрахунк.'!G45</f>
        <v>6527.5</v>
      </c>
      <c r="H45" s="19">
        <f>населення!H45+льготи!H45+субсидии!H45+'держ.бюджет'!H45+'місц.-район.бюджет'!H45+обласной!H45+'госпрозрахунк.'!H45</f>
        <v>4136.8</v>
      </c>
      <c r="I45" s="18">
        <f t="shared" si="11"/>
        <v>63.37495212562237</v>
      </c>
      <c r="J45" s="19">
        <f>населення!J45+льготи!J45+субсидии!J45+'держ.бюджет'!J45+'місц.-район.бюджет'!J45+обласной!J45+'госпрозрахунк.'!J45</f>
        <v>4285.700000000001</v>
      </c>
      <c r="K45" s="19">
        <f>населення!K45+льготи!K45+субсидии!K45+'держ.бюджет'!K45+'місц.-район.бюджет'!K45+обласной!K45+'госпрозрахунк.'!K45</f>
        <v>7417.1</v>
      </c>
      <c r="L45" s="18">
        <f t="shared" si="12"/>
        <v>173.06624355414516</v>
      </c>
      <c r="M45" s="3">
        <f>населення!M45+льготи!M45+субсидии!M45+'держ.бюджет'!M45+'місц.-район.бюджет'!P45+обласной!M45+'госпрозрахунк.'!M45</f>
        <v>11310.2</v>
      </c>
      <c r="N45" s="3">
        <f>населення!N45+льготи!N45+субсидии!N45+'держ.бюджет'!N45+'місц.-район.бюджет'!Q45+обласной!N45+'госпрозрахунк.'!N45</f>
        <v>6982.099999999999</v>
      </c>
      <c r="O45" s="18">
        <f t="shared" si="7"/>
        <v>61.73277218793655</v>
      </c>
      <c r="P45" s="19">
        <f>населення!P45+льготи!P45+субсидии!P45+'держ.бюджет'!P45+'місц.-район.бюджет'!P45+обласной!P45+'госпрозрахунк.'!P45</f>
        <v>1529.2</v>
      </c>
      <c r="Q45" s="19">
        <f>населення!Q45+льготи!Q45+субсидии!Q45+'держ.бюджет'!Q45+'місц.-район.бюджет'!Q45+обласной!Q45+'госпрозрахунк.'!Q45</f>
        <v>2623</v>
      </c>
      <c r="R45" s="18">
        <f t="shared" si="13"/>
        <v>171.52759612869474</v>
      </c>
      <c r="S45" s="19">
        <f>населення!S45+льготи!S45+субсидии!S45+'держ.бюджет'!S45+'місц.-район.бюджет'!S45+обласной!S45+'госпрозрахунк.'!S45</f>
        <v>18117.4</v>
      </c>
      <c r="T45" s="19">
        <f>населення!T45+льготи!T45+субсидии!T45+'держ.бюджет'!T45+'місц.-район.бюджет'!T45+обласной!T45+'госпрозрахунк.'!T45</f>
        <v>14961.699999999999</v>
      </c>
      <c r="U45" s="18">
        <f>T45/S45*100</f>
        <v>82.5819378056454</v>
      </c>
      <c r="V45" s="4">
        <f>населення!V45+льготи!V45+субсидии!V45+'держ.бюджет'!V45+'місц.-район.бюджет'!V45+обласной!V45+'госпрозрахунк.'!V45</f>
        <v>3155.700000000001</v>
      </c>
      <c r="W45" s="4">
        <f>населення!W45+льготи!W45+субсидии!W45+'держ.бюджет'!W45+'місц.-район.бюджет'!W45+обласной!W45+'госпрозрахунк.'!W45</f>
        <v>2004.1000000000008</v>
      </c>
      <c r="X45" s="5"/>
    </row>
    <row r="46" spans="1:27" s="9" customFormat="1" ht="24.75" customHeight="1">
      <c r="A46" s="21"/>
      <c r="B46" s="22" t="s">
        <v>78</v>
      </c>
      <c r="C46" s="17">
        <f>C7+C43</f>
        <v>2435585.03</v>
      </c>
      <c r="D46" s="4">
        <f>D7+D43</f>
        <v>1248889.3</v>
      </c>
      <c r="E46" s="4">
        <f>E7+E43</f>
        <v>913981.1000000001</v>
      </c>
      <c r="F46" s="18">
        <f>E46/D46*100</f>
        <v>73.18351594492803</v>
      </c>
      <c r="G46" s="4">
        <f>G7+G43</f>
        <v>1210785.9</v>
      </c>
      <c r="H46" s="4">
        <f>H7+H43</f>
        <v>739108.1000000001</v>
      </c>
      <c r="I46" s="18">
        <f t="shared" si="11"/>
        <v>61.043665936314596</v>
      </c>
      <c r="J46" s="4">
        <f>J7+J43</f>
        <v>799029.3999999999</v>
      </c>
      <c r="K46" s="4">
        <f>K7+K43</f>
        <v>1014191.6</v>
      </c>
      <c r="L46" s="18">
        <f t="shared" si="12"/>
        <v>126.92794532967125</v>
      </c>
      <c r="M46" s="4">
        <f>M7+M43</f>
        <v>2944190.7</v>
      </c>
      <c r="N46" s="4">
        <f>N7+N43</f>
        <v>2387779</v>
      </c>
      <c r="O46" s="18">
        <f t="shared" si="7"/>
        <v>81.10137023393219</v>
      </c>
      <c r="P46" s="4">
        <f>P7+P43</f>
        <v>269272.9</v>
      </c>
      <c r="Q46" s="4">
        <f>Q7+Q43</f>
        <v>413230.8</v>
      </c>
      <c r="R46" s="18">
        <f t="shared" si="13"/>
        <v>153.46171114880107</v>
      </c>
      <c r="S46" s="4">
        <f>S7+S43</f>
        <v>3527977.5</v>
      </c>
      <c r="T46" s="4">
        <f>T7+T43</f>
        <v>3080511.6</v>
      </c>
      <c r="U46" s="18">
        <f>T46/S46*100</f>
        <v>87.3166453017345</v>
      </c>
      <c r="V46" s="4">
        <f>V7+V43</f>
        <v>447465.9</v>
      </c>
      <c r="W46" s="4">
        <f>W7+W43</f>
        <v>2883050.93</v>
      </c>
      <c r="X46" s="30">
        <f>D46+G46+J46+P46</f>
        <v>3527977.5</v>
      </c>
      <c r="Y46" s="30">
        <f>E46+H46+K46+Q46</f>
        <v>3080511.6</v>
      </c>
      <c r="Z46" s="30">
        <f>X46-Y46</f>
        <v>447465.8999999999</v>
      </c>
      <c r="AA46" s="30">
        <f>C46+X46-Y46</f>
        <v>2883050.9299999992</v>
      </c>
    </row>
    <row r="47" spans="2:27" ht="18.75">
      <c r="B47" s="12"/>
      <c r="C47" s="25"/>
      <c r="D47" s="31"/>
      <c r="E47" s="31"/>
      <c r="F47" s="23"/>
      <c r="G47" s="24"/>
      <c r="H47" s="24"/>
      <c r="I47" s="23"/>
      <c r="J47" s="24"/>
      <c r="K47" s="24"/>
      <c r="L47" s="23"/>
      <c r="M47" s="23"/>
      <c r="N47" s="23"/>
      <c r="O47" s="23"/>
      <c r="P47" s="24"/>
      <c r="Q47" s="24"/>
      <c r="R47" s="23"/>
      <c r="S47" s="23"/>
      <c r="T47" s="23"/>
      <c r="U47" s="23"/>
      <c r="V47" s="39"/>
      <c r="W47" s="26"/>
      <c r="X47" s="27">
        <f>X43+X7</f>
        <v>3527977.5000000005</v>
      </c>
      <c r="Y47" s="27">
        <f>Y43+Y7</f>
        <v>3080511.6</v>
      </c>
      <c r="Z47" s="27">
        <f>Z43+Z7</f>
        <v>447465.9000000002</v>
      </c>
      <c r="AA47" s="27">
        <f>AA43+AA7</f>
        <v>2883050.9300000006</v>
      </c>
    </row>
    <row r="48" spans="22:26" ht="18.75">
      <c r="V48" s="39"/>
      <c r="Z48" s="27">
        <f>Z47-V46</f>
        <v>0</v>
      </c>
    </row>
    <row r="49" spans="22:23" ht="18.75">
      <c r="V49" s="39"/>
      <c r="W49" s="27"/>
    </row>
    <row r="50" spans="22:23" ht="18.75">
      <c r="V50" s="39"/>
      <c r="W50" s="27"/>
    </row>
    <row r="51" ht="18.75">
      <c r="V51" s="39"/>
    </row>
    <row r="52" ht="18.75">
      <c r="V52" s="39"/>
    </row>
    <row r="53" ht="18.75">
      <c r="V53" s="39"/>
    </row>
    <row r="54" ht="18.75">
      <c r="V54" s="39"/>
    </row>
    <row r="55" ht="18.75">
      <c r="V55" s="39"/>
    </row>
    <row r="56" ht="18.75">
      <c r="V56" s="39"/>
    </row>
    <row r="57" ht="18.75">
      <c r="V57" s="39"/>
    </row>
    <row r="58" ht="18.75">
      <c r="V58" s="39"/>
    </row>
    <row r="59" ht="18.75">
      <c r="V59" s="39"/>
    </row>
    <row r="60" ht="18.75">
      <c r="V60" s="39"/>
    </row>
    <row r="61" ht="18.75">
      <c r="V61" s="39"/>
    </row>
    <row r="62" ht="18.75">
      <c r="V62" s="39"/>
    </row>
    <row r="63" ht="18.75">
      <c r="V63" s="39"/>
    </row>
    <row r="64" ht="18.75">
      <c r="V64" s="39"/>
    </row>
    <row r="65" ht="18.75">
      <c r="V65" s="39"/>
    </row>
    <row r="66" ht="18.75">
      <c r="V66" s="39"/>
    </row>
    <row r="67" ht="18.75">
      <c r="V67" s="39"/>
    </row>
    <row r="68" ht="18.75">
      <c r="V68" s="39"/>
    </row>
    <row r="69" ht="18.75">
      <c r="V69" s="39"/>
    </row>
    <row r="70" ht="18.75">
      <c r="V70" s="39"/>
    </row>
    <row r="71" ht="18.75">
      <c r="V71" s="39"/>
    </row>
    <row r="72" ht="18.75">
      <c r="V72" s="39"/>
    </row>
    <row r="73" ht="18.75">
      <c r="V73" s="39"/>
    </row>
    <row r="74" ht="18.75">
      <c r="V74" s="39"/>
    </row>
    <row r="75" ht="18.75">
      <c r="V75" s="39"/>
    </row>
    <row r="76" ht="18.75">
      <c r="V76" s="39"/>
    </row>
    <row r="77" ht="18.75">
      <c r="V77" s="39"/>
    </row>
    <row r="78" ht="18.75">
      <c r="V78" s="39"/>
    </row>
    <row r="79" ht="18.75">
      <c r="V79" s="39"/>
    </row>
    <row r="80" ht="18.75">
      <c r="V80" s="39"/>
    </row>
    <row r="81" ht="18.75">
      <c r="V81" s="39"/>
    </row>
    <row r="82" ht="18.75">
      <c r="V82" s="39"/>
    </row>
    <row r="83" ht="18.75">
      <c r="V83" s="39"/>
    </row>
    <row r="84" ht="18.75">
      <c r="V84" s="39"/>
    </row>
    <row r="85" ht="18.75">
      <c r="V85" s="39"/>
    </row>
    <row r="86" ht="18.75">
      <c r="V86" s="39"/>
    </row>
    <row r="87" ht="18.75">
      <c r="V87" s="39"/>
    </row>
    <row r="88" ht="18.75">
      <c r="V88" s="39"/>
    </row>
    <row r="89" ht="18.75">
      <c r="V89" s="39"/>
    </row>
    <row r="90" ht="18.75">
      <c r="V90" s="39"/>
    </row>
    <row r="91" ht="18.75">
      <c r="V91" s="39"/>
    </row>
    <row r="92" ht="18.75">
      <c r="V92" s="39"/>
    </row>
    <row r="93" ht="18.75">
      <c r="V93" s="39"/>
    </row>
  </sheetData>
  <sheetProtection/>
  <autoFilter ref="F1:F93"/>
  <mergeCells count="10">
    <mergeCell ref="W5:W6"/>
    <mergeCell ref="V5:V6"/>
    <mergeCell ref="B2:W2"/>
    <mergeCell ref="B3:W3"/>
    <mergeCell ref="B4:C4"/>
    <mergeCell ref="D5:F5"/>
    <mergeCell ref="G5:I5"/>
    <mergeCell ref="S5:U5"/>
    <mergeCell ref="J5:L5"/>
    <mergeCell ref="P5:R5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102"/>
  <sheetViews>
    <sheetView view="pageBreakPreview" zoomScale="70" zoomScaleNormal="75" zoomScaleSheetLayoutView="70" zoomScalePageLayoutView="0" workbookViewId="0" topLeftCell="A2">
      <pane xSplit="3" ySplit="6" topLeftCell="O44" activePane="bottomRight" state="frozen"/>
      <selection pane="topLeft" activeCell="T8" sqref="T8"/>
      <selection pane="topRight" activeCell="T8" sqref="T8"/>
      <selection pane="bottomLeft" activeCell="T8" sqref="T8"/>
      <selection pane="bottomRight" activeCell="X47" sqref="X47"/>
    </sheetView>
  </sheetViews>
  <sheetFormatPr defaultColWidth="7.875" defaultRowHeight="12.75"/>
  <cols>
    <col min="1" max="1" width="7.75390625" style="7" customWidth="1"/>
    <col min="2" max="2" width="56.75390625" style="5" customWidth="1"/>
    <col min="3" max="3" width="16.75390625" style="51" customWidth="1"/>
    <col min="4" max="4" width="16.625" style="5" hidden="1" customWidth="1"/>
    <col min="5" max="5" width="15.75390625" style="5" hidden="1" customWidth="1"/>
    <col min="6" max="6" width="11.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4.25390625" style="9" customWidth="1"/>
    <col min="14" max="14" width="15.125" style="9" customWidth="1"/>
    <col min="15" max="15" width="11.875" style="9" customWidth="1"/>
    <col min="16" max="17" width="14.75390625" style="5" customWidth="1"/>
    <col min="18" max="18" width="11.875" style="9" customWidth="1"/>
    <col min="19" max="19" width="14.625" style="5" customWidth="1"/>
    <col min="20" max="20" width="15.625" style="5" customWidth="1"/>
    <col min="21" max="21" width="13.75390625" style="9" customWidth="1"/>
    <col min="22" max="22" width="19.75390625" style="5" customWidth="1"/>
    <col min="23" max="23" width="24.00390625" style="5" customWidth="1"/>
    <col min="24" max="24" width="12.875" style="5" customWidth="1"/>
    <col min="25" max="25" width="13.00390625" style="5" bestFit="1" customWidth="1"/>
    <col min="26" max="26" width="15.125" style="5" bestFit="1" customWidth="1"/>
    <col min="27" max="16384" width="7.875" style="5" customWidth="1"/>
  </cols>
  <sheetData>
    <row r="1" spans="4:23" ht="18.75"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s="42" customFormat="1" ht="42" customHeight="1">
      <c r="A2" s="41"/>
      <c r="B2" s="127" t="s">
        <v>90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1:23" s="42" customFormat="1" ht="42" customHeight="1">
      <c r="A3" s="41"/>
      <c r="B3" s="127" t="s">
        <v>118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2:23" ht="18.75">
      <c r="B4" s="128"/>
      <c r="C4" s="128"/>
      <c r="W4" s="13" t="s">
        <v>48</v>
      </c>
    </row>
    <row r="5" spans="1:23" s="10" customFormat="1" ht="36.75" customHeight="1">
      <c r="A5" s="99" t="s">
        <v>36</v>
      </c>
      <c r="B5" s="99"/>
      <c r="C5" s="35" t="s">
        <v>1</v>
      </c>
      <c r="D5" s="129" t="s">
        <v>111</v>
      </c>
      <c r="E5" s="130"/>
      <c r="F5" s="131"/>
      <c r="G5" s="132" t="s">
        <v>113</v>
      </c>
      <c r="H5" s="133"/>
      <c r="I5" s="134"/>
      <c r="J5" s="132" t="s">
        <v>117</v>
      </c>
      <c r="K5" s="133"/>
      <c r="L5" s="134"/>
      <c r="M5" s="121"/>
      <c r="N5" s="121" t="s">
        <v>122</v>
      </c>
      <c r="O5" s="121"/>
      <c r="P5" s="132" t="s">
        <v>119</v>
      </c>
      <c r="Q5" s="133"/>
      <c r="R5" s="134"/>
      <c r="S5" s="129" t="s">
        <v>114</v>
      </c>
      <c r="T5" s="130"/>
      <c r="U5" s="131"/>
      <c r="V5" s="125" t="s">
        <v>120</v>
      </c>
      <c r="W5" s="125" t="s">
        <v>121</v>
      </c>
    </row>
    <row r="6" spans="1:23" s="10" customFormat="1" ht="60" customHeight="1">
      <c r="A6" s="100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126"/>
      <c r="W6" s="126"/>
    </row>
    <row r="7" spans="1:25" s="9" customFormat="1" ht="36" customHeight="1">
      <c r="A7" s="15"/>
      <c r="B7" s="16" t="s">
        <v>49</v>
      </c>
      <c r="C7" s="101">
        <f>SUM(C8:C42)</f>
        <v>184720.52999999997</v>
      </c>
      <c r="D7" s="18">
        <f>SUM(D8:D42)</f>
        <v>50559.9</v>
      </c>
      <c r="E7" s="18">
        <f>SUM(E8:E42)</f>
        <v>30917.7</v>
      </c>
      <c r="F7" s="18">
        <f>E7/D7*100</f>
        <v>61.15063518717403</v>
      </c>
      <c r="G7" s="18">
        <f>SUM(G8:G42)</f>
        <v>46962.1</v>
      </c>
      <c r="H7" s="18">
        <f>SUM(H8:H42)</f>
        <v>31916.100000000002</v>
      </c>
      <c r="I7" s="18">
        <f>H7/G7*100</f>
        <v>67.96139865977034</v>
      </c>
      <c r="J7" s="18">
        <f>SUM(J8:J42)</f>
        <v>-4763.2</v>
      </c>
      <c r="K7" s="18">
        <f>SUM(K8:K42)</f>
        <v>32564.899999999994</v>
      </c>
      <c r="L7" s="18">
        <f>K7/J7*100</f>
        <v>-683.6769398723546</v>
      </c>
      <c r="M7" s="18">
        <f>SUM(M8:M42)</f>
        <v>92758.80000000002</v>
      </c>
      <c r="N7" s="18">
        <f>SUM(N8:N42)</f>
        <v>95398.70000000001</v>
      </c>
      <c r="O7" s="18">
        <f>N7/M7*100</f>
        <v>102.84598334605448</v>
      </c>
      <c r="P7" s="18">
        <f>SUM(P8:P42)</f>
        <v>6015.4</v>
      </c>
      <c r="Q7" s="18">
        <f>SUM(Q8:Q42)</f>
        <v>18054</v>
      </c>
      <c r="R7" s="18">
        <f>Q7/P7*100</f>
        <v>300.12966718755195</v>
      </c>
      <c r="S7" s="18">
        <f>SUM(S8:S42)</f>
        <v>98774.20000000001</v>
      </c>
      <c r="T7" s="18">
        <f>SUM(T8:T42)</f>
        <v>113452.70000000001</v>
      </c>
      <c r="U7" s="18">
        <f>T7/S7*100</f>
        <v>114.86066199473142</v>
      </c>
      <c r="V7" s="54">
        <f>SUM(V8:V42)</f>
        <v>-14678.500000000002</v>
      </c>
      <c r="W7" s="54">
        <f>SUM(W8:W42)</f>
        <v>170042.03</v>
      </c>
      <c r="X7" s="30">
        <f>S7-T7</f>
        <v>-14678.5</v>
      </c>
      <c r="Y7" s="30">
        <f>C7+S7-T7</f>
        <v>170042.02999999997</v>
      </c>
    </row>
    <row r="8" spans="1:25" ht="36.75" customHeight="1">
      <c r="A8" s="6">
        <v>1</v>
      </c>
      <c r="B8" s="1" t="s">
        <v>50</v>
      </c>
      <c r="C8" s="2">
        <v>20675.53</v>
      </c>
      <c r="D8" s="3">
        <v>4313.3</v>
      </c>
      <c r="E8" s="3">
        <v>3288.1</v>
      </c>
      <c r="F8" s="18">
        <f aca="true" t="shared" si="0" ref="F8:F27">E8/D8*100</f>
        <v>76.23165557693645</v>
      </c>
      <c r="G8" s="3">
        <v>3885.2</v>
      </c>
      <c r="H8" s="3">
        <v>3101</v>
      </c>
      <c r="I8" s="18">
        <f>H8/G8*100</f>
        <v>79.81571090291362</v>
      </c>
      <c r="J8" s="3">
        <v>-196</v>
      </c>
      <c r="K8" s="3">
        <v>2937.1</v>
      </c>
      <c r="L8" s="18">
        <f>K8/J8*100</f>
        <v>-1498.5204081632653</v>
      </c>
      <c r="M8" s="3">
        <f>D8+G8+J8</f>
        <v>8002.5</v>
      </c>
      <c r="N8" s="3">
        <f>E8+H8+K8</f>
        <v>9326.2</v>
      </c>
      <c r="O8" s="18">
        <f aca="true" t="shared" si="1" ref="O8:O46">N8/M8*100</f>
        <v>116.54108091221494</v>
      </c>
      <c r="P8" s="3">
        <v>-266.9</v>
      </c>
      <c r="Q8" s="3">
        <v>2061.9</v>
      </c>
      <c r="R8" s="18">
        <f>Q8/P8*100</f>
        <v>-772.5365305357813</v>
      </c>
      <c r="S8" s="3">
        <f>M8+P8</f>
        <v>7735.6</v>
      </c>
      <c r="T8" s="3">
        <f>N8+Q8</f>
        <v>11388.1</v>
      </c>
      <c r="U8" s="18">
        <f>T8/S8*100</f>
        <v>147.21676405191582</v>
      </c>
      <c r="V8" s="18">
        <f>S8-T8</f>
        <v>-3652.5</v>
      </c>
      <c r="W8" s="4">
        <f>C8+S8-T8</f>
        <v>17023.03</v>
      </c>
      <c r="X8" s="30">
        <f aca="true" t="shared" si="2" ref="X8:X42">S8-T8</f>
        <v>-3652.5</v>
      </c>
      <c r="Y8" s="30">
        <f aca="true" t="shared" si="3" ref="Y8:Y42">C8+S8-T8</f>
        <v>17023.03</v>
      </c>
    </row>
    <row r="9" spans="1:25" ht="41.25" customHeight="1">
      <c r="A9" s="6">
        <v>2</v>
      </c>
      <c r="B9" s="44" t="s">
        <v>81</v>
      </c>
      <c r="C9" s="2">
        <v>117.2</v>
      </c>
      <c r="D9" s="3">
        <v>40.1</v>
      </c>
      <c r="E9" s="3">
        <v>25.1</v>
      </c>
      <c r="F9" s="18">
        <f t="shared" si="0"/>
        <v>62.593516209476306</v>
      </c>
      <c r="G9" s="3">
        <v>25.6</v>
      </c>
      <c r="H9" s="3">
        <v>42</v>
      </c>
      <c r="I9" s="18">
        <f aca="true" t="shared" si="4" ref="I9:I21">H9/G9*100</f>
        <v>164.0625</v>
      </c>
      <c r="J9" s="3">
        <v>-34.5</v>
      </c>
      <c r="K9" s="3">
        <v>21.1</v>
      </c>
      <c r="L9" s="18">
        <f aca="true" t="shared" si="5" ref="L9:L21">K9/J9*100</f>
        <v>-61.159420289855085</v>
      </c>
      <c r="M9" s="3">
        <f aca="true" t="shared" si="6" ref="M9:M42">D9+G9+J9</f>
        <v>31.200000000000003</v>
      </c>
      <c r="N9" s="3">
        <f aca="true" t="shared" si="7" ref="N9:N42">E9+H9+K9</f>
        <v>88.19999999999999</v>
      </c>
      <c r="O9" s="18">
        <f t="shared" si="1"/>
        <v>282.6923076923076</v>
      </c>
      <c r="P9" s="3">
        <v>4</v>
      </c>
      <c r="Q9" s="3">
        <v>9.4</v>
      </c>
      <c r="R9" s="18">
        <f aca="true" t="shared" si="8" ref="R9:R19">Q9/P9*100</f>
        <v>235</v>
      </c>
      <c r="S9" s="3">
        <f aca="true" t="shared" si="9" ref="S9:S42">M9+P9</f>
        <v>35.2</v>
      </c>
      <c r="T9" s="3">
        <f aca="true" t="shared" si="10" ref="T9:T42">N9+Q9</f>
        <v>97.6</v>
      </c>
      <c r="U9" s="18">
        <f>T9/S9*100</f>
        <v>277.27272727272725</v>
      </c>
      <c r="V9" s="18">
        <f>S9-T9</f>
        <v>-62.39999999999999</v>
      </c>
      <c r="W9" s="4">
        <f>C9+S9-T9</f>
        <v>54.80000000000001</v>
      </c>
      <c r="X9" s="30">
        <f t="shared" si="2"/>
        <v>-62.39999999999999</v>
      </c>
      <c r="Y9" s="30">
        <f t="shared" si="3"/>
        <v>54.80000000000001</v>
      </c>
    </row>
    <row r="10" spans="1:25" ht="35.25" customHeight="1">
      <c r="A10" s="6">
        <v>3</v>
      </c>
      <c r="B10" s="20" t="s">
        <v>96</v>
      </c>
      <c r="C10" s="2"/>
      <c r="D10" s="32"/>
      <c r="E10" s="32"/>
      <c r="F10" s="48" t="e">
        <f t="shared" si="0"/>
        <v>#DIV/0!</v>
      </c>
      <c r="G10" s="32"/>
      <c r="H10" s="32"/>
      <c r="I10" s="48" t="e">
        <f t="shared" si="4"/>
        <v>#DIV/0!</v>
      </c>
      <c r="J10" s="32"/>
      <c r="K10" s="32"/>
      <c r="L10" s="48" t="e">
        <f t="shared" si="5"/>
        <v>#DIV/0!</v>
      </c>
      <c r="M10" s="3"/>
      <c r="N10" s="3"/>
      <c r="O10" s="18"/>
      <c r="P10" s="32"/>
      <c r="Q10" s="32"/>
      <c r="R10" s="48" t="e">
        <f t="shared" si="8"/>
        <v>#DIV/0!</v>
      </c>
      <c r="S10" s="3"/>
      <c r="T10" s="3"/>
      <c r="U10" s="48" t="e">
        <f>T10/S10*100</f>
        <v>#DIV/0!</v>
      </c>
      <c r="V10" s="18">
        <f>S10-T10</f>
        <v>0</v>
      </c>
      <c r="W10" s="4">
        <f aca="true" t="shared" si="11" ref="W10:W42">C10+S10-T10</f>
        <v>0</v>
      </c>
      <c r="X10" s="30">
        <f t="shared" si="2"/>
        <v>0</v>
      </c>
      <c r="Y10" s="30">
        <f t="shared" si="3"/>
        <v>0</v>
      </c>
    </row>
    <row r="11" spans="1:25" ht="24" customHeight="1">
      <c r="A11" s="6">
        <v>4</v>
      </c>
      <c r="B11" s="1" t="s">
        <v>107</v>
      </c>
      <c r="C11" s="2"/>
      <c r="D11" s="3"/>
      <c r="E11" s="3"/>
      <c r="F11" s="48"/>
      <c r="G11" s="3"/>
      <c r="H11" s="3"/>
      <c r="I11" s="48" t="e">
        <f t="shared" si="4"/>
        <v>#DIV/0!</v>
      </c>
      <c r="J11" s="3"/>
      <c r="K11" s="3"/>
      <c r="L11" s="48" t="e">
        <f t="shared" si="5"/>
        <v>#DIV/0!</v>
      </c>
      <c r="M11" s="3"/>
      <c r="N11" s="3"/>
      <c r="O11" s="18"/>
      <c r="P11" s="3"/>
      <c r="Q11" s="3"/>
      <c r="R11" s="48" t="e">
        <f t="shared" si="8"/>
        <v>#DIV/0!</v>
      </c>
      <c r="S11" s="3"/>
      <c r="T11" s="3"/>
      <c r="U11" s="48"/>
      <c r="V11" s="18">
        <f aca="true" t="shared" si="12" ref="V11:V42">S11-T11</f>
        <v>0</v>
      </c>
      <c r="W11" s="4">
        <f t="shared" si="11"/>
        <v>0</v>
      </c>
      <c r="X11" s="30">
        <f t="shared" si="2"/>
        <v>0</v>
      </c>
      <c r="Y11" s="30">
        <f t="shared" si="3"/>
        <v>0</v>
      </c>
    </row>
    <row r="12" spans="1:25" ht="24" customHeight="1">
      <c r="A12" s="6">
        <v>5</v>
      </c>
      <c r="B12" s="1" t="s">
        <v>79</v>
      </c>
      <c r="C12" s="2">
        <v>204.6</v>
      </c>
      <c r="D12" s="3">
        <v>444.7</v>
      </c>
      <c r="E12" s="3">
        <v>452.7</v>
      </c>
      <c r="F12" s="18">
        <f t="shared" si="0"/>
        <v>101.79896559478301</v>
      </c>
      <c r="G12" s="3">
        <v>318.5</v>
      </c>
      <c r="H12" s="3">
        <v>466.4</v>
      </c>
      <c r="I12" s="18">
        <f t="shared" si="4"/>
        <v>146.436420722135</v>
      </c>
      <c r="J12" s="3">
        <v>-99.5</v>
      </c>
      <c r="K12" s="3">
        <v>402.8</v>
      </c>
      <c r="L12" s="18">
        <f t="shared" si="5"/>
        <v>-404.8241206030151</v>
      </c>
      <c r="M12" s="3">
        <f t="shared" si="6"/>
        <v>663.7</v>
      </c>
      <c r="N12" s="3">
        <f t="shared" si="7"/>
        <v>1321.8999999999999</v>
      </c>
      <c r="O12" s="18">
        <f t="shared" si="1"/>
        <v>199.1713123399126</v>
      </c>
      <c r="P12" s="3">
        <v>-13.1</v>
      </c>
      <c r="Q12" s="3">
        <v>254.2</v>
      </c>
      <c r="R12" s="18">
        <f t="shared" si="8"/>
        <v>-1940.4580152671756</v>
      </c>
      <c r="S12" s="3">
        <f t="shared" si="9"/>
        <v>650.6</v>
      </c>
      <c r="T12" s="3">
        <f t="shared" si="10"/>
        <v>1576.1</v>
      </c>
      <c r="U12" s="18">
        <f aca="true" t="shared" si="13" ref="U12:U22">T12/S12*100</f>
        <v>242.25330464186902</v>
      </c>
      <c r="V12" s="18">
        <f t="shared" si="12"/>
        <v>-925.4999999999999</v>
      </c>
      <c r="W12" s="4">
        <f t="shared" si="11"/>
        <v>-720.8999999999999</v>
      </c>
      <c r="X12" s="30">
        <f t="shared" si="2"/>
        <v>-925.4999999999999</v>
      </c>
      <c r="Y12" s="30">
        <f t="shared" si="3"/>
        <v>-720.8999999999999</v>
      </c>
    </row>
    <row r="13" spans="1:25" ht="24" customHeight="1">
      <c r="A13" s="6">
        <v>6</v>
      </c>
      <c r="B13" s="1" t="s">
        <v>51</v>
      </c>
      <c r="C13" s="2">
        <v>84.8</v>
      </c>
      <c r="D13" s="3">
        <v>3.3</v>
      </c>
      <c r="E13" s="3">
        <v>1.3</v>
      </c>
      <c r="F13" s="18">
        <f t="shared" si="0"/>
        <v>39.3939393939394</v>
      </c>
      <c r="G13" s="3">
        <v>1.8</v>
      </c>
      <c r="H13" s="3">
        <v>3.4</v>
      </c>
      <c r="I13" s="18">
        <f t="shared" si="4"/>
        <v>188.88888888888889</v>
      </c>
      <c r="J13" s="3">
        <v>-3.7</v>
      </c>
      <c r="K13" s="3">
        <v>4</v>
      </c>
      <c r="L13" s="18">
        <f t="shared" si="5"/>
        <v>-108.1081081081081</v>
      </c>
      <c r="M13" s="3">
        <f t="shared" si="6"/>
        <v>1.3999999999999995</v>
      </c>
      <c r="N13" s="3">
        <f t="shared" si="7"/>
        <v>8.7</v>
      </c>
      <c r="O13" s="18">
        <f t="shared" si="1"/>
        <v>621.4285714285717</v>
      </c>
      <c r="P13" s="3">
        <v>-0.8</v>
      </c>
      <c r="Q13" s="3">
        <v>0.7</v>
      </c>
      <c r="R13" s="18">
        <f t="shared" si="8"/>
        <v>-87.49999999999999</v>
      </c>
      <c r="S13" s="3">
        <f t="shared" si="9"/>
        <v>0.5999999999999994</v>
      </c>
      <c r="T13" s="3">
        <f t="shared" si="10"/>
        <v>9.399999999999999</v>
      </c>
      <c r="U13" s="18">
        <f t="shared" si="13"/>
        <v>1566.6666666666679</v>
      </c>
      <c r="V13" s="18">
        <f t="shared" si="12"/>
        <v>-8.799999999999999</v>
      </c>
      <c r="W13" s="4">
        <f t="shared" si="11"/>
        <v>76</v>
      </c>
      <c r="X13" s="30">
        <f t="shared" si="2"/>
        <v>-8.799999999999999</v>
      </c>
      <c r="Y13" s="30">
        <f t="shared" si="3"/>
        <v>76</v>
      </c>
    </row>
    <row r="14" spans="1:25" ht="24" customHeight="1">
      <c r="A14" s="6">
        <v>7</v>
      </c>
      <c r="B14" s="1" t="s">
        <v>52</v>
      </c>
      <c r="C14" s="2">
        <v>1.2</v>
      </c>
      <c r="D14" s="32"/>
      <c r="E14" s="3">
        <v>0</v>
      </c>
      <c r="F14" s="48" t="e">
        <f t="shared" si="0"/>
        <v>#DIV/0!</v>
      </c>
      <c r="G14" s="32"/>
      <c r="H14" s="32"/>
      <c r="I14" s="48" t="e">
        <f t="shared" si="4"/>
        <v>#DIV/0!</v>
      </c>
      <c r="J14" s="32"/>
      <c r="K14" s="32"/>
      <c r="L14" s="48" t="e">
        <f t="shared" si="5"/>
        <v>#DIV/0!</v>
      </c>
      <c r="M14" s="3"/>
      <c r="N14" s="3"/>
      <c r="O14" s="18"/>
      <c r="P14" s="32"/>
      <c r="Q14" s="32"/>
      <c r="R14" s="48" t="e">
        <f t="shared" si="8"/>
        <v>#DIV/0!</v>
      </c>
      <c r="S14" s="3"/>
      <c r="T14" s="3"/>
      <c r="U14" s="48" t="e">
        <f t="shared" si="13"/>
        <v>#DIV/0!</v>
      </c>
      <c r="V14" s="18">
        <f t="shared" si="12"/>
        <v>0</v>
      </c>
      <c r="W14" s="4">
        <f t="shared" si="11"/>
        <v>1.2</v>
      </c>
      <c r="X14" s="30">
        <f t="shared" si="2"/>
        <v>0</v>
      </c>
      <c r="Y14" s="30">
        <f t="shared" si="3"/>
        <v>1.2</v>
      </c>
    </row>
    <row r="15" spans="1:25" ht="27" customHeight="1">
      <c r="A15" s="6">
        <v>8</v>
      </c>
      <c r="B15" s="1" t="s">
        <v>53</v>
      </c>
      <c r="C15" s="2">
        <v>2036.4</v>
      </c>
      <c r="D15" s="3">
        <v>1091.5</v>
      </c>
      <c r="E15" s="3">
        <v>910.2</v>
      </c>
      <c r="F15" s="18">
        <f t="shared" si="0"/>
        <v>83.38983050847459</v>
      </c>
      <c r="G15" s="3">
        <v>698.6</v>
      </c>
      <c r="H15" s="3">
        <v>980.5</v>
      </c>
      <c r="I15" s="18">
        <f t="shared" si="4"/>
        <v>140.35213283710277</v>
      </c>
      <c r="J15" s="3">
        <v>216.5</v>
      </c>
      <c r="K15" s="3">
        <v>883.2</v>
      </c>
      <c r="L15" s="18">
        <f t="shared" si="5"/>
        <v>407.94457274826794</v>
      </c>
      <c r="M15" s="3">
        <f t="shared" si="6"/>
        <v>2006.6</v>
      </c>
      <c r="N15" s="3">
        <f t="shared" si="7"/>
        <v>2773.9</v>
      </c>
      <c r="O15" s="18">
        <f t="shared" si="1"/>
        <v>138.23881192066182</v>
      </c>
      <c r="P15" s="3">
        <v>-31.9</v>
      </c>
      <c r="Q15" s="3">
        <v>595.2</v>
      </c>
      <c r="R15" s="18">
        <f t="shared" si="8"/>
        <v>-1865.8307210031348</v>
      </c>
      <c r="S15" s="3">
        <f t="shared" si="9"/>
        <v>1974.6999999999998</v>
      </c>
      <c r="T15" s="3">
        <f t="shared" si="10"/>
        <v>3369.1000000000004</v>
      </c>
      <c r="U15" s="18">
        <f t="shared" si="13"/>
        <v>170.61325771003192</v>
      </c>
      <c r="V15" s="18">
        <f t="shared" si="12"/>
        <v>-1394.4000000000005</v>
      </c>
      <c r="W15" s="4">
        <f t="shared" si="11"/>
        <v>641.9999999999995</v>
      </c>
      <c r="X15" s="30">
        <f t="shared" si="2"/>
        <v>-1394.4000000000005</v>
      </c>
      <c r="Y15" s="30">
        <f t="shared" si="3"/>
        <v>641.9999999999995</v>
      </c>
    </row>
    <row r="16" spans="1:25" ht="24" customHeight="1">
      <c r="A16" s="6">
        <v>9</v>
      </c>
      <c r="B16" s="1" t="s">
        <v>54</v>
      </c>
      <c r="C16" s="2"/>
      <c r="D16" s="32"/>
      <c r="E16" s="32"/>
      <c r="F16" s="48" t="e">
        <f t="shared" si="0"/>
        <v>#DIV/0!</v>
      </c>
      <c r="G16" s="32"/>
      <c r="H16" s="32"/>
      <c r="I16" s="48" t="e">
        <f t="shared" si="4"/>
        <v>#DIV/0!</v>
      </c>
      <c r="J16" s="32"/>
      <c r="K16" s="32"/>
      <c r="L16" s="48" t="e">
        <f t="shared" si="5"/>
        <v>#DIV/0!</v>
      </c>
      <c r="M16" s="3"/>
      <c r="N16" s="3"/>
      <c r="O16" s="18"/>
      <c r="P16" s="32"/>
      <c r="Q16" s="32"/>
      <c r="R16" s="48"/>
      <c r="S16" s="3"/>
      <c r="T16" s="3"/>
      <c r="U16" s="48" t="e">
        <f t="shared" si="13"/>
        <v>#DIV/0!</v>
      </c>
      <c r="V16" s="18">
        <f t="shared" si="12"/>
        <v>0</v>
      </c>
      <c r="W16" s="4">
        <f t="shared" si="11"/>
        <v>0</v>
      </c>
      <c r="X16" s="30">
        <f t="shared" si="2"/>
        <v>0</v>
      </c>
      <c r="Y16" s="30">
        <f t="shared" si="3"/>
        <v>0</v>
      </c>
    </row>
    <row r="17" spans="1:25" ht="24" customHeight="1">
      <c r="A17" s="6">
        <v>10</v>
      </c>
      <c r="B17" s="20" t="s">
        <v>55</v>
      </c>
      <c r="C17" s="2">
        <v>5702.5</v>
      </c>
      <c r="D17" s="3">
        <v>850.5</v>
      </c>
      <c r="E17" s="3">
        <v>463.7</v>
      </c>
      <c r="F17" s="18">
        <f t="shared" si="0"/>
        <v>54.52087007642563</v>
      </c>
      <c r="G17" s="3">
        <v>718.2</v>
      </c>
      <c r="H17" s="3">
        <v>514.7</v>
      </c>
      <c r="I17" s="18">
        <f t="shared" si="4"/>
        <v>71.66527429685324</v>
      </c>
      <c r="J17" s="3">
        <v>171.8</v>
      </c>
      <c r="K17" s="3">
        <v>456.3</v>
      </c>
      <c r="L17" s="18">
        <f t="shared" si="5"/>
        <v>265.59953434225844</v>
      </c>
      <c r="M17" s="3">
        <f t="shared" si="6"/>
        <v>1740.5</v>
      </c>
      <c r="N17" s="3">
        <f t="shared" si="7"/>
        <v>1434.7</v>
      </c>
      <c r="O17" s="18">
        <f t="shared" si="1"/>
        <v>82.43033611031314</v>
      </c>
      <c r="P17" s="3">
        <v>623.8</v>
      </c>
      <c r="Q17" s="3">
        <v>310.9</v>
      </c>
      <c r="R17" s="18">
        <f t="shared" si="8"/>
        <v>49.83969220904136</v>
      </c>
      <c r="S17" s="3">
        <f t="shared" si="9"/>
        <v>2364.3</v>
      </c>
      <c r="T17" s="3">
        <f t="shared" si="10"/>
        <v>1745.6</v>
      </c>
      <c r="U17" s="18">
        <f t="shared" si="13"/>
        <v>73.83157805693016</v>
      </c>
      <c r="V17" s="18">
        <f t="shared" si="12"/>
        <v>618.7000000000003</v>
      </c>
      <c r="W17" s="4">
        <f t="shared" si="11"/>
        <v>6321.200000000001</v>
      </c>
      <c r="X17" s="30">
        <f t="shared" si="2"/>
        <v>618.7000000000003</v>
      </c>
      <c r="Y17" s="30">
        <f t="shared" si="3"/>
        <v>6321.200000000001</v>
      </c>
    </row>
    <row r="18" spans="1:25" ht="24" customHeight="1">
      <c r="A18" s="6">
        <v>11</v>
      </c>
      <c r="B18" s="20" t="s">
        <v>56</v>
      </c>
      <c r="C18" s="2">
        <v>14.4</v>
      </c>
      <c r="D18" s="3">
        <v>5.4</v>
      </c>
      <c r="E18" s="3">
        <v>0.2</v>
      </c>
      <c r="F18" s="18">
        <f t="shared" si="0"/>
        <v>3.7037037037037033</v>
      </c>
      <c r="G18" s="3">
        <v>4.2</v>
      </c>
      <c r="H18" s="3">
        <v>5.6</v>
      </c>
      <c r="I18" s="18">
        <f t="shared" si="4"/>
        <v>133.33333333333331</v>
      </c>
      <c r="J18" s="3">
        <v>-2.6</v>
      </c>
      <c r="K18" s="3">
        <v>1.4</v>
      </c>
      <c r="L18" s="18">
        <f t="shared" si="5"/>
        <v>-53.84615384615385</v>
      </c>
      <c r="M18" s="3">
        <f t="shared" si="6"/>
        <v>7.000000000000002</v>
      </c>
      <c r="N18" s="3">
        <f t="shared" si="7"/>
        <v>7.199999999999999</v>
      </c>
      <c r="O18" s="18">
        <f t="shared" si="1"/>
        <v>102.85714285714282</v>
      </c>
      <c r="P18" s="3">
        <v>20.1</v>
      </c>
      <c r="Q18" s="3">
        <v>0.6</v>
      </c>
      <c r="R18" s="18">
        <f t="shared" si="8"/>
        <v>2.9850746268656714</v>
      </c>
      <c r="S18" s="3">
        <f t="shared" si="9"/>
        <v>27.1</v>
      </c>
      <c r="T18" s="3">
        <f t="shared" si="10"/>
        <v>7.799999999999999</v>
      </c>
      <c r="U18" s="18">
        <f t="shared" si="13"/>
        <v>28.78228782287822</v>
      </c>
      <c r="V18" s="18">
        <f t="shared" si="12"/>
        <v>19.300000000000004</v>
      </c>
      <c r="W18" s="4">
        <f t="shared" si="11"/>
        <v>33.7</v>
      </c>
      <c r="X18" s="30">
        <f t="shared" si="2"/>
        <v>19.300000000000004</v>
      </c>
      <c r="Y18" s="30">
        <f t="shared" si="3"/>
        <v>33.7</v>
      </c>
    </row>
    <row r="19" spans="1:25" ht="24" customHeight="1">
      <c r="A19" s="6">
        <v>12</v>
      </c>
      <c r="B19" s="1" t="s">
        <v>80</v>
      </c>
      <c r="C19" s="2">
        <v>2941</v>
      </c>
      <c r="D19" s="3">
        <v>457.7</v>
      </c>
      <c r="E19" s="3">
        <v>475.9</v>
      </c>
      <c r="F19" s="18">
        <f t="shared" si="0"/>
        <v>103.97640375792004</v>
      </c>
      <c r="G19" s="3">
        <v>409.1</v>
      </c>
      <c r="H19" s="3">
        <v>402.3</v>
      </c>
      <c r="I19" s="18">
        <f t="shared" si="4"/>
        <v>98.33781471522855</v>
      </c>
      <c r="J19" s="3">
        <v>6.9</v>
      </c>
      <c r="K19" s="3">
        <v>372.5</v>
      </c>
      <c r="L19" s="18">
        <f t="shared" si="5"/>
        <v>5398.55072463768</v>
      </c>
      <c r="M19" s="3">
        <f t="shared" si="6"/>
        <v>873.6999999999999</v>
      </c>
      <c r="N19" s="3">
        <f t="shared" si="7"/>
        <v>1250.7</v>
      </c>
      <c r="O19" s="18">
        <f t="shared" si="1"/>
        <v>143.14982259356762</v>
      </c>
      <c r="P19" s="3">
        <v>-105.6</v>
      </c>
      <c r="Q19" s="3">
        <v>247</v>
      </c>
      <c r="R19" s="18">
        <f t="shared" si="8"/>
        <v>-233.90151515151518</v>
      </c>
      <c r="S19" s="3">
        <f t="shared" si="9"/>
        <v>768.0999999999999</v>
      </c>
      <c r="T19" s="3">
        <f t="shared" si="10"/>
        <v>1497.7</v>
      </c>
      <c r="U19" s="18">
        <f t="shared" si="13"/>
        <v>194.98763181877362</v>
      </c>
      <c r="V19" s="18">
        <f t="shared" si="12"/>
        <v>-729.6000000000001</v>
      </c>
      <c r="W19" s="4">
        <f t="shared" si="11"/>
        <v>2211.3999999999996</v>
      </c>
      <c r="X19" s="30">
        <f t="shared" si="2"/>
        <v>-729.6000000000001</v>
      </c>
      <c r="Y19" s="30">
        <f t="shared" si="3"/>
        <v>2211.3999999999996</v>
      </c>
    </row>
    <row r="20" spans="1:25" ht="24" customHeight="1">
      <c r="A20" s="6">
        <v>13</v>
      </c>
      <c r="B20" s="20" t="s">
        <v>57</v>
      </c>
      <c r="C20" s="2">
        <v>0.1</v>
      </c>
      <c r="D20" s="32"/>
      <c r="E20" s="32"/>
      <c r="F20" s="48" t="e">
        <f t="shared" si="0"/>
        <v>#DIV/0!</v>
      </c>
      <c r="G20" s="32"/>
      <c r="H20" s="32"/>
      <c r="I20" s="48" t="e">
        <f t="shared" si="4"/>
        <v>#DIV/0!</v>
      </c>
      <c r="J20" s="32"/>
      <c r="K20" s="32"/>
      <c r="L20" s="48" t="e">
        <f t="shared" si="5"/>
        <v>#DIV/0!</v>
      </c>
      <c r="M20" s="3"/>
      <c r="N20" s="3"/>
      <c r="O20" s="18"/>
      <c r="P20" s="32"/>
      <c r="Q20" s="32"/>
      <c r="R20" s="48"/>
      <c r="S20" s="3"/>
      <c r="T20" s="3"/>
      <c r="U20" s="48" t="e">
        <f t="shared" si="13"/>
        <v>#DIV/0!</v>
      </c>
      <c r="V20" s="18">
        <f t="shared" si="12"/>
        <v>0</v>
      </c>
      <c r="W20" s="4">
        <f t="shared" si="11"/>
        <v>0.1</v>
      </c>
      <c r="X20" s="30">
        <f t="shared" si="2"/>
        <v>0</v>
      </c>
      <c r="Y20" s="30">
        <f t="shared" si="3"/>
        <v>0.1</v>
      </c>
    </row>
    <row r="21" spans="1:25" ht="24" customHeight="1">
      <c r="A21" s="6" t="s">
        <v>110</v>
      </c>
      <c r="B21" s="20" t="s">
        <v>58</v>
      </c>
      <c r="C21" s="2">
        <v>3.1</v>
      </c>
      <c r="D21" s="32"/>
      <c r="E21" s="32"/>
      <c r="F21" s="48" t="e">
        <f t="shared" si="0"/>
        <v>#DIV/0!</v>
      </c>
      <c r="G21" s="32"/>
      <c r="H21" s="32"/>
      <c r="I21" s="48" t="e">
        <f t="shared" si="4"/>
        <v>#DIV/0!</v>
      </c>
      <c r="J21" s="32"/>
      <c r="K21" s="32"/>
      <c r="L21" s="48" t="e">
        <f t="shared" si="5"/>
        <v>#DIV/0!</v>
      </c>
      <c r="M21" s="3"/>
      <c r="N21" s="3"/>
      <c r="O21" s="18"/>
      <c r="P21" s="32"/>
      <c r="Q21" s="32"/>
      <c r="R21" s="48"/>
      <c r="S21" s="3"/>
      <c r="T21" s="3"/>
      <c r="U21" s="48" t="e">
        <f t="shared" si="13"/>
        <v>#DIV/0!</v>
      </c>
      <c r="V21" s="18">
        <f t="shared" si="12"/>
        <v>0</v>
      </c>
      <c r="W21" s="4">
        <f t="shared" si="11"/>
        <v>3.1</v>
      </c>
      <c r="X21" s="30">
        <f t="shared" si="2"/>
        <v>0</v>
      </c>
      <c r="Y21" s="30">
        <f t="shared" si="3"/>
        <v>3.1</v>
      </c>
    </row>
    <row r="22" spans="1:25" ht="36.75" customHeight="1">
      <c r="A22" s="6">
        <v>15</v>
      </c>
      <c r="B22" s="20" t="s">
        <v>59</v>
      </c>
      <c r="C22" s="2"/>
      <c r="D22" s="32"/>
      <c r="E22" s="32"/>
      <c r="F22" s="48" t="e">
        <f t="shared" si="0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/>
      <c r="S22" s="3"/>
      <c r="T22" s="3"/>
      <c r="U22" s="48" t="e">
        <f t="shared" si="13"/>
        <v>#DIV/0!</v>
      </c>
      <c r="V22" s="18">
        <f t="shared" si="12"/>
        <v>0</v>
      </c>
      <c r="W22" s="4">
        <f t="shared" si="11"/>
        <v>0</v>
      </c>
      <c r="X22" s="30">
        <f t="shared" si="2"/>
        <v>0</v>
      </c>
      <c r="Y22" s="30">
        <f t="shared" si="3"/>
        <v>0</v>
      </c>
    </row>
    <row r="23" spans="1:25" ht="24" customHeight="1">
      <c r="A23" s="6">
        <v>16</v>
      </c>
      <c r="B23" s="20" t="s">
        <v>60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3"/>
      <c r="N23" s="3"/>
      <c r="O23" s="18"/>
      <c r="P23" s="102"/>
      <c r="Q23" s="102"/>
      <c r="R23" s="102"/>
      <c r="S23" s="3"/>
      <c r="T23" s="3"/>
      <c r="U23" s="102"/>
      <c r="V23" s="18">
        <f t="shared" si="12"/>
        <v>0</v>
      </c>
      <c r="W23" s="4">
        <f t="shared" si="11"/>
        <v>0</v>
      </c>
      <c r="X23" s="30">
        <f t="shared" si="2"/>
        <v>0</v>
      </c>
      <c r="Y23" s="30">
        <f t="shared" si="3"/>
        <v>0</v>
      </c>
    </row>
    <row r="24" spans="1:25" ht="36.75" customHeight="1">
      <c r="A24" s="6">
        <v>17</v>
      </c>
      <c r="B24" s="20" t="s">
        <v>61</v>
      </c>
      <c r="C24" s="2">
        <v>7612.2</v>
      </c>
      <c r="D24" s="3">
        <v>3610</v>
      </c>
      <c r="E24" s="3">
        <v>2361.1</v>
      </c>
      <c r="F24" s="18">
        <f t="shared" si="0"/>
        <v>65.40443213296399</v>
      </c>
      <c r="G24" s="3">
        <v>2558.8</v>
      </c>
      <c r="H24" s="3">
        <v>2403.7</v>
      </c>
      <c r="I24" s="18">
        <f>H24/G24*100</f>
        <v>93.93856495232139</v>
      </c>
      <c r="J24" s="3">
        <v>86.5</v>
      </c>
      <c r="K24" s="3">
        <v>2353.6</v>
      </c>
      <c r="L24" s="18">
        <f>K24/J24*100</f>
        <v>2720.9248554913293</v>
      </c>
      <c r="M24" s="3">
        <f t="shared" si="6"/>
        <v>6255.3</v>
      </c>
      <c r="N24" s="3">
        <f t="shared" si="7"/>
        <v>7118.4</v>
      </c>
      <c r="O24" s="18">
        <f t="shared" si="1"/>
        <v>113.79789938132463</v>
      </c>
      <c r="P24" s="3">
        <v>-66.1</v>
      </c>
      <c r="Q24" s="3">
        <v>1352</v>
      </c>
      <c r="R24" s="18">
        <f>Q24/P24*100</f>
        <v>-2045.3857791225416</v>
      </c>
      <c r="S24" s="3">
        <f t="shared" si="9"/>
        <v>6189.2</v>
      </c>
      <c r="T24" s="3">
        <f t="shared" si="10"/>
        <v>8470.4</v>
      </c>
      <c r="U24" s="18">
        <f>T24/S24*100</f>
        <v>136.85775221353325</v>
      </c>
      <c r="V24" s="18">
        <f t="shared" si="12"/>
        <v>-2281.2</v>
      </c>
      <c r="W24" s="4">
        <f t="shared" si="11"/>
        <v>5331</v>
      </c>
      <c r="X24" s="30">
        <f t="shared" si="2"/>
        <v>-2281.2</v>
      </c>
      <c r="Y24" s="30">
        <f t="shared" si="3"/>
        <v>5331</v>
      </c>
    </row>
    <row r="25" spans="1:25" ht="24" customHeight="1">
      <c r="A25" s="6">
        <v>18</v>
      </c>
      <c r="B25" s="1" t="s">
        <v>62</v>
      </c>
      <c r="C25" s="2"/>
      <c r="D25" s="32"/>
      <c r="E25" s="32"/>
      <c r="F25" s="48" t="e">
        <f t="shared" si="0"/>
        <v>#DIV/0!</v>
      </c>
      <c r="G25" s="32"/>
      <c r="H25" s="32"/>
      <c r="I25" s="48" t="e">
        <f>H25/G25*100</f>
        <v>#DIV/0!</v>
      </c>
      <c r="J25" s="32"/>
      <c r="K25" s="32"/>
      <c r="L25" s="48" t="e">
        <f>K25/J25*100</f>
        <v>#DIV/0!</v>
      </c>
      <c r="M25" s="3"/>
      <c r="N25" s="3"/>
      <c r="O25" s="18"/>
      <c r="P25" s="32"/>
      <c r="Q25" s="32"/>
      <c r="R25" s="48"/>
      <c r="S25" s="3"/>
      <c r="T25" s="3"/>
      <c r="U25" s="48" t="e">
        <f>T25/S25*100</f>
        <v>#DIV/0!</v>
      </c>
      <c r="V25" s="18">
        <f t="shared" si="12"/>
        <v>0</v>
      </c>
      <c r="W25" s="4">
        <f t="shared" si="11"/>
        <v>0</v>
      </c>
      <c r="X25" s="30">
        <f t="shared" si="2"/>
        <v>0</v>
      </c>
      <c r="Y25" s="30">
        <f t="shared" si="3"/>
        <v>0</v>
      </c>
    </row>
    <row r="26" spans="1:25" ht="24" customHeight="1">
      <c r="A26" s="6">
        <v>19</v>
      </c>
      <c r="B26" s="20" t="s">
        <v>63</v>
      </c>
      <c r="C26" s="2">
        <v>1803.2</v>
      </c>
      <c r="D26" s="3">
        <v>224.4</v>
      </c>
      <c r="E26" s="3">
        <v>136.5</v>
      </c>
      <c r="F26" s="18">
        <f t="shared" si="0"/>
        <v>60.82887700534759</v>
      </c>
      <c r="G26" s="3">
        <v>174.3</v>
      </c>
      <c r="H26" s="3">
        <v>133.5</v>
      </c>
      <c r="I26" s="18">
        <f>H26/G26*100</f>
        <v>76.59208261617898</v>
      </c>
      <c r="J26" s="3">
        <v>104.6</v>
      </c>
      <c r="K26" s="3">
        <v>115.9</v>
      </c>
      <c r="L26" s="18">
        <f>K26/J26*100</f>
        <v>110.80305927342258</v>
      </c>
      <c r="M26" s="3">
        <f t="shared" si="6"/>
        <v>503.30000000000007</v>
      </c>
      <c r="N26" s="3">
        <f t="shared" si="7"/>
        <v>385.9</v>
      </c>
      <c r="O26" s="18">
        <f t="shared" si="1"/>
        <v>76.6739519173455</v>
      </c>
      <c r="P26" s="3">
        <v>-12.8</v>
      </c>
      <c r="Q26" s="3">
        <v>81.8</v>
      </c>
      <c r="R26" s="18">
        <f>Q26/P26*100</f>
        <v>-639.0624999999999</v>
      </c>
      <c r="S26" s="3">
        <f t="shared" si="9"/>
        <v>490.50000000000006</v>
      </c>
      <c r="T26" s="3">
        <f t="shared" si="10"/>
        <v>467.7</v>
      </c>
      <c r="U26" s="18">
        <f>T26/S26*100</f>
        <v>95.35168195718653</v>
      </c>
      <c r="V26" s="18">
        <f t="shared" si="12"/>
        <v>22.800000000000068</v>
      </c>
      <c r="W26" s="4">
        <f t="shared" si="11"/>
        <v>1826.0000000000002</v>
      </c>
      <c r="X26" s="30">
        <f t="shared" si="2"/>
        <v>22.800000000000068</v>
      </c>
      <c r="Y26" s="30">
        <f t="shared" si="3"/>
        <v>1826.0000000000002</v>
      </c>
    </row>
    <row r="27" spans="1:25" ht="36.75" customHeight="1">
      <c r="A27" s="6">
        <v>20</v>
      </c>
      <c r="B27" s="20" t="s">
        <v>93</v>
      </c>
      <c r="C27" s="2">
        <v>1025.5</v>
      </c>
      <c r="D27" s="3">
        <v>-5.6</v>
      </c>
      <c r="E27" s="3">
        <v>334.1</v>
      </c>
      <c r="F27" s="18">
        <f t="shared" si="0"/>
        <v>-5966.071428571429</v>
      </c>
      <c r="G27" s="3">
        <v>760.2</v>
      </c>
      <c r="H27" s="3">
        <v>289.3</v>
      </c>
      <c r="I27" s="18">
        <f>H27/G27*100</f>
        <v>38.05577479610629</v>
      </c>
      <c r="J27" s="3">
        <v>-1337</v>
      </c>
      <c r="K27" s="3">
        <v>251.6</v>
      </c>
      <c r="L27" s="18">
        <f>K27/J27*100</f>
        <v>-18.81824981301421</v>
      </c>
      <c r="M27" s="3">
        <f t="shared" si="6"/>
        <v>-582.4</v>
      </c>
      <c r="N27" s="3">
        <f t="shared" si="7"/>
        <v>875.0000000000001</v>
      </c>
      <c r="O27" s="18">
        <f t="shared" si="1"/>
        <v>-150.24038461538464</v>
      </c>
      <c r="P27" s="3">
        <v>-163.1</v>
      </c>
      <c r="Q27" s="3">
        <v>327.9</v>
      </c>
      <c r="R27" s="18">
        <f>Q27/P27*100</f>
        <v>-201.04230533415085</v>
      </c>
      <c r="S27" s="3">
        <f t="shared" si="9"/>
        <v>-745.5</v>
      </c>
      <c r="T27" s="3">
        <f t="shared" si="10"/>
        <v>1202.9</v>
      </c>
      <c r="U27" s="18">
        <f>T27/S27*100</f>
        <v>-161.35479543930248</v>
      </c>
      <c r="V27" s="18">
        <f t="shared" si="12"/>
        <v>-1948.4</v>
      </c>
      <c r="W27" s="4">
        <f t="shared" si="11"/>
        <v>-922.9000000000001</v>
      </c>
      <c r="X27" s="30">
        <f t="shared" si="2"/>
        <v>-1948.4</v>
      </c>
      <c r="Y27" s="30">
        <f t="shared" si="3"/>
        <v>-922.9000000000001</v>
      </c>
    </row>
    <row r="28" spans="1:25" ht="36.75" customHeight="1">
      <c r="A28" s="6">
        <v>21</v>
      </c>
      <c r="B28" s="1" t="s">
        <v>64</v>
      </c>
      <c r="C28" s="49"/>
      <c r="D28" s="56"/>
      <c r="E28" s="56"/>
      <c r="F28" s="18"/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/>
      <c r="S28" s="3"/>
      <c r="T28" s="3"/>
      <c r="U28" s="18"/>
      <c r="V28" s="18">
        <f t="shared" si="12"/>
        <v>0</v>
      </c>
      <c r="W28" s="4">
        <f t="shared" si="11"/>
        <v>0</v>
      </c>
      <c r="X28" s="30">
        <f t="shared" si="2"/>
        <v>0</v>
      </c>
      <c r="Y28" s="30">
        <f t="shared" si="3"/>
        <v>0</v>
      </c>
    </row>
    <row r="29" spans="1:25" ht="24" customHeight="1">
      <c r="A29" s="6">
        <v>22</v>
      </c>
      <c r="B29" s="1" t="s">
        <v>65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3"/>
      <c r="N29" s="3"/>
      <c r="O29" s="18"/>
      <c r="P29" s="58"/>
      <c r="Q29" s="58"/>
      <c r="R29" s="58"/>
      <c r="S29" s="3"/>
      <c r="T29" s="3"/>
      <c r="U29" s="58"/>
      <c r="V29" s="18">
        <f t="shared" si="12"/>
        <v>0</v>
      </c>
      <c r="W29" s="4">
        <f t="shared" si="11"/>
        <v>0</v>
      </c>
      <c r="X29" s="30">
        <f t="shared" si="2"/>
        <v>0</v>
      </c>
      <c r="Y29" s="30">
        <f t="shared" si="3"/>
        <v>0</v>
      </c>
    </row>
    <row r="30" spans="1:25" ht="24" customHeight="1">
      <c r="A30" s="6">
        <v>23</v>
      </c>
      <c r="B30" s="20" t="s">
        <v>66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3"/>
      <c r="N30" s="3"/>
      <c r="O30" s="18"/>
      <c r="P30" s="58"/>
      <c r="Q30" s="58"/>
      <c r="R30" s="58"/>
      <c r="S30" s="3"/>
      <c r="T30" s="3"/>
      <c r="U30" s="58"/>
      <c r="V30" s="18">
        <f t="shared" si="12"/>
        <v>0</v>
      </c>
      <c r="W30" s="4">
        <f t="shared" si="11"/>
        <v>0</v>
      </c>
      <c r="X30" s="30">
        <f t="shared" si="2"/>
        <v>0</v>
      </c>
      <c r="Y30" s="30">
        <f t="shared" si="3"/>
        <v>0</v>
      </c>
    </row>
    <row r="31" spans="1:25" ht="24" customHeight="1">
      <c r="A31" s="6">
        <v>24</v>
      </c>
      <c r="B31" s="20" t="s">
        <v>67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3"/>
      <c r="N31" s="3"/>
      <c r="O31" s="18"/>
      <c r="P31" s="58"/>
      <c r="Q31" s="58"/>
      <c r="R31" s="58"/>
      <c r="S31" s="3"/>
      <c r="T31" s="3"/>
      <c r="U31" s="58"/>
      <c r="V31" s="18">
        <f t="shared" si="12"/>
        <v>0</v>
      </c>
      <c r="W31" s="4">
        <f t="shared" si="11"/>
        <v>0</v>
      </c>
      <c r="X31" s="30">
        <f t="shared" si="2"/>
        <v>0</v>
      </c>
      <c r="Y31" s="30">
        <f t="shared" si="3"/>
        <v>0</v>
      </c>
    </row>
    <row r="32" spans="1:25" ht="24" customHeight="1">
      <c r="A32" s="6">
        <v>25</v>
      </c>
      <c r="B32" s="20" t="s">
        <v>68</v>
      </c>
      <c r="C32" s="2"/>
      <c r="D32" s="32"/>
      <c r="E32" s="32"/>
      <c r="F32" s="48"/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"/>
      <c r="T32" s="3"/>
      <c r="U32" s="48"/>
      <c r="V32" s="18">
        <f t="shared" si="12"/>
        <v>0</v>
      </c>
      <c r="W32" s="4">
        <f t="shared" si="11"/>
        <v>0</v>
      </c>
      <c r="X32" s="30">
        <f t="shared" si="2"/>
        <v>0</v>
      </c>
      <c r="Y32" s="30">
        <f t="shared" si="3"/>
        <v>0</v>
      </c>
    </row>
    <row r="33" spans="1:25" ht="24" customHeight="1">
      <c r="A33" s="6"/>
      <c r="B33" s="20" t="s">
        <v>105</v>
      </c>
      <c r="C33" s="2">
        <v>23961.2</v>
      </c>
      <c r="D33" s="3">
        <v>5049.6</v>
      </c>
      <c r="E33" s="3">
        <v>2403.8</v>
      </c>
      <c r="F33" s="18">
        <f>E33/D33*100</f>
        <v>47.60377059569075</v>
      </c>
      <c r="G33" s="3">
        <v>2706.8</v>
      </c>
      <c r="H33" s="3">
        <v>2697.1</v>
      </c>
      <c r="I33" s="18">
        <f aca="true" t="shared" si="14" ref="I33:I45">H33/G33*100</f>
        <v>99.64164326880449</v>
      </c>
      <c r="J33" s="3">
        <v>-2056</v>
      </c>
      <c r="K33" s="3">
        <v>2227.4</v>
      </c>
      <c r="L33" s="18">
        <f aca="true" t="shared" si="15" ref="L33:L42">K33/J33*100</f>
        <v>-108.3365758754864</v>
      </c>
      <c r="M33" s="3">
        <f t="shared" si="6"/>
        <v>5700.400000000001</v>
      </c>
      <c r="N33" s="3">
        <f t="shared" si="7"/>
        <v>7328.299999999999</v>
      </c>
      <c r="O33" s="18">
        <f t="shared" si="1"/>
        <v>128.55764507753838</v>
      </c>
      <c r="P33" s="3">
        <v>-224.6</v>
      </c>
      <c r="Q33" s="3">
        <v>1056.7</v>
      </c>
      <c r="R33" s="18">
        <f aca="true" t="shared" si="16" ref="R33:R42">Q33/P33*100</f>
        <v>-470.4808548530721</v>
      </c>
      <c r="S33" s="3">
        <f t="shared" si="9"/>
        <v>5475.8</v>
      </c>
      <c r="T33" s="3">
        <f t="shared" si="10"/>
        <v>8385</v>
      </c>
      <c r="U33" s="18">
        <f>T33/S33*100</f>
        <v>153.12831001862742</v>
      </c>
      <c r="V33" s="18">
        <f t="shared" si="12"/>
        <v>-2909.2</v>
      </c>
      <c r="W33" s="4">
        <f t="shared" si="11"/>
        <v>21052</v>
      </c>
      <c r="X33" s="30">
        <f t="shared" si="2"/>
        <v>-2909.2</v>
      </c>
      <c r="Y33" s="30">
        <f t="shared" si="3"/>
        <v>21052</v>
      </c>
    </row>
    <row r="34" spans="1:25" ht="24.75" customHeight="1">
      <c r="A34" s="28"/>
      <c r="B34" s="20" t="s">
        <v>69</v>
      </c>
      <c r="C34" s="2">
        <v>84.4</v>
      </c>
      <c r="D34" s="3"/>
      <c r="E34" s="3"/>
      <c r="F34" s="18"/>
      <c r="G34" s="3"/>
      <c r="H34" s="3"/>
      <c r="I34" s="48" t="e">
        <f t="shared" si="14"/>
        <v>#DIV/0!</v>
      </c>
      <c r="J34" s="3"/>
      <c r="K34" s="3"/>
      <c r="L34" s="48" t="e">
        <f t="shared" si="15"/>
        <v>#DIV/0!</v>
      </c>
      <c r="M34" s="3"/>
      <c r="N34" s="3"/>
      <c r="O34" s="18"/>
      <c r="P34" s="3"/>
      <c r="Q34" s="3"/>
      <c r="R34" s="48"/>
      <c r="S34" s="3"/>
      <c r="T34" s="3"/>
      <c r="U34" s="18"/>
      <c r="V34" s="18">
        <f t="shared" si="12"/>
        <v>0</v>
      </c>
      <c r="W34" s="4">
        <f t="shared" si="11"/>
        <v>84.4</v>
      </c>
      <c r="X34" s="30">
        <f t="shared" si="2"/>
        <v>0</v>
      </c>
      <c r="Y34" s="30">
        <f t="shared" si="3"/>
        <v>84.4</v>
      </c>
    </row>
    <row r="35" spans="1:25" ht="35.25" customHeight="1">
      <c r="A35" s="6">
        <v>26</v>
      </c>
      <c r="B35" s="20" t="s">
        <v>94</v>
      </c>
      <c r="C35" s="2">
        <v>7672.7</v>
      </c>
      <c r="D35" s="3">
        <f>331.2+1598.2</f>
        <v>1929.4</v>
      </c>
      <c r="E35" s="3">
        <f>211.8+679.2</f>
        <v>891</v>
      </c>
      <c r="F35" s="18">
        <f aca="true" t="shared" si="17" ref="F35:F46">E35/D35*100</f>
        <v>46.18015963511972</v>
      </c>
      <c r="G35" s="3">
        <f>443.4+1030.5</f>
        <v>1473.9</v>
      </c>
      <c r="H35" s="3">
        <f>243.8+803.9</f>
        <v>1047.7</v>
      </c>
      <c r="I35" s="18">
        <f t="shared" si="14"/>
        <v>71.08351991315557</v>
      </c>
      <c r="J35" s="3">
        <v>548.6</v>
      </c>
      <c r="K35" s="3">
        <v>913.4</v>
      </c>
      <c r="L35" s="18">
        <f t="shared" si="15"/>
        <v>166.49653663871672</v>
      </c>
      <c r="M35" s="3">
        <f t="shared" si="6"/>
        <v>3951.9</v>
      </c>
      <c r="N35" s="3">
        <f t="shared" si="7"/>
        <v>2852.1</v>
      </c>
      <c r="O35" s="18">
        <f t="shared" si="1"/>
        <v>72.17034843999089</v>
      </c>
      <c r="P35" s="3">
        <v>-172.9</v>
      </c>
      <c r="Q35" s="3">
        <v>571.8</v>
      </c>
      <c r="R35" s="18">
        <f t="shared" si="16"/>
        <v>-330.7113938692886</v>
      </c>
      <c r="S35" s="3">
        <f t="shared" si="9"/>
        <v>3779</v>
      </c>
      <c r="T35" s="3">
        <f t="shared" si="10"/>
        <v>3423.8999999999996</v>
      </c>
      <c r="U35" s="18">
        <f aca="true" t="shared" si="18" ref="U35:U44">T35/S35*100</f>
        <v>90.60333421540089</v>
      </c>
      <c r="V35" s="18">
        <f t="shared" si="12"/>
        <v>355.10000000000036</v>
      </c>
      <c r="W35" s="4">
        <f t="shared" si="11"/>
        <v>8027.800000000001</v>
      </c>
      <c r="X35" s="30">
        <f t="shared" si="2"/>
        <v>355.10000000000036</v>
      </c>
      <c r="Y35" s="30">
        <f t="shared" si="3"/>
        <v>8027.800000000001</v>
      </c>
    </row>
    <row r="36" spans="1:25" ht="24" customHeight="1">
      <c r="A36" s="6">
        <v>27</v>
      </c>
      <c r="B36" s="1" t="s">
        <v>70</v>
      </c>
      <c r="C36" s="2">
        <v>54.7</v>
      </c>
      <c r="D36" s="3">
        <v>0.2</v>
      </c>
      <c r="E36" s="3">
        <v>0.2</v>
      </c>
      <c r="F36" s="18">
        <f t="shared" si="17"/>
        <v>100</v>
      </c>
      <c r="G36" s="3">
        <v>0.2</v>
      </c>
      <c r="H36" s="3">
        <v>0.2</v>
      </c>
      <c r="I36" s="18">
        <f t="shared" si="14"/>
        <v>100</v>
      </c>
      <c r="J36" s="3">
        <v>0.2</v>
      </c>
      <c r="K36" s="3">
        <v>0.2</v>
      </c>
      <c r="L36" s="18">
        <f t="shared" si="15"/>
        <v>100</v>
      </c>
      <c r="M36" s="3">
        <f t="shared" si="6"/>
        <v>0.6000000000000001</v>
      </c>
      <c r="N36" s="3">
        <f t="shared" si="7"/>
        <v>0.6000000000000001</v>
      </c>
      <c r="O36" s="18">
        <f t="shared" si="1"/>
        <v>100</v>
      </c>
      <c r="P36" s="3">
        <v>0</v>
      </c>
      <c r="Q36" s="3">
        <v>0.2</v>
      </c>
      <c r="R36" s="40" t="e">
        <f t="shared" si="16"/>
        <v>#DIV/0!</v>
      </c>
      <c r="S36" s="3">
        <f t="shared" si="9"/>
        <v>0.6000000000000001</v>
      </c>
      <c r="T36" s="3">
        <f t="shared" si="10"/>
        <v>0.8</v>
      </c>
      <c r="U36" s="18">
        <f t="shared" si="18"/>
        <v>133.33333333333331</v>
      </c>
      <c r="V36" s="18">
        <f t="shared" si="12"/>
        <v>-0.19999999999999996</v>
      </c>
      <c r="W36" s="4">
        <f t="shared" si="11"/>
        <v>54.50000000000001</v>
      </c>
      <c r="X36" s="30">
        <f t="shared" si="2"/>
        <v>-0.19999999999999996</v>
      </c>
      <c r="Y36" s="30">
        <f t="shared" si="3"/>
        <v>54.50000000000001</v>
      </c>
    </row>
    <row r="37" spans="1:25" ht="24" customHeight="1">
      <c r="A37" s="6">
        <v>28</v>
      </c>
      <c r="B37" s="20" t="s">
        <v>71</v>
      </c>
      <c r="C37" s="2">
        <f>13815-3.1</f>
        <v>13811.9</v>
      </c>
      <c r="D37" s="3">
        <v>4908.4</v>
      </c>
      <c r="E37" s="3">
        <v>2388.3</v>
      </c>
      <c r="F37" s="18">
        <f t="shared" si="17"/>
        <v>48.65740363458562</v>
      </c>
      <c r="G37" s="3">
        <v>4165.9</v>
      </c>
      <c r="H37" s="3">
        <v>2751</v>
      </c>
      <c r="I37" s="18">
        <f t="shared" si="14"/>
        <v>66.03615065171992</v>
      </c>
      <c r="J37" s="3">
        <v>-407.4</v>
      </c>
      <c r="K37" s="3">
        <v>2798.5</v>
      </c>
      <c r="L37" s="18">
        <f t="shared" si="15"/>
        <v>-686.9170348551793</v>
      </c>
      <c r="M37" s="3">
        <f t="shared" si="6"/>
        <v>8666.9</v>
      </c>
      <c r="N37" s="3">
        <f t="shared" si="7"/>
        <v>7937.8</v>
      </c>
      <c r="O37" s="18">
        <f t="shared" si="1"/>
        <v>91.58753418177203</v>
      </c>
      <c r="P37" s="3">
        <v>528.3</v>
      </c>
      <c r="Q37" s="3">
        <v>1711.9</v>
      </c>
      <c r="R37" s="18">
        <f t="shared" si="16"/>
        <v>324.03937156918425</v>
      </c>
      <c r="S37" s="3">
        <f t="shared" si="9"/>
        <v>9195.199999999999</v>
      </c>
      <c r="T37" s="3">
        <f t="shared" si="10"/>
        <v>9649.7</v>
      </c>
      <c r="U37" s="18">
        <f t="shared" si="18"/>
        <v>104.94279624151734</v>
      </c>
      <c r="V37" s="18">
        <f t="shared" si="12"/>
        <v>-454.5000000000018</v>
      </c>
      <c r="W37" s="4">
        <f t="shared" si="11"/>
        <v>13357.399999999998</v>
      </c>
      <c r="X37" s="30">
        <f t="shared" si="2"/>
        <v>-454.5000000000018</v>
      </c>
      <c r="Y37" s="30">
        <f t="shared" si="3"/>
        <v>13357.399999999998</v>
      </c>
    </row>
    <row r="38" spans="1:25" ht="24" customHeight="1">
      <c r="A38" s="6">
        <v>29</v>
      </c>
      <c r="B38" s="20" t="s">
        <v>72</v>
      </c>
      <c r="C38" s="2">
        <v>16385.8</v>
      </c>
      <c r="D38" s="3">
        <v>4805.1</v>
      </c>
      <c r="E38" s="3">
        <v>1434.3</v>
      </c>
      <c r="F38" s="18">
        <f t="shared" si="17"/>
        <v>29.84953486920147</v>
      </c>
      <c r="G38" s="3">
        <v>4117.3</v>
      </c>
      <c r="H38" s="3">
        <v>1797.7</v>
      </c>
      <c r="I38" s="18">
        <f t="shared" si="14"/>
        <v>43.662108663444485</v>
      </c>
      <c r="J38" s="3">
        <v>-1553.7</v>
      </c>
      <c r="K38" s="3">
        <v>1882.8</v>
      </c>
      <c r="L38" s="18">
        <f t="shared" si="15"/>
        <v>-121.18169530797451</v>
      </c>
      <c r="M38" s="3">
        <f t="shared" si="6"/>
        <v>7368.700000000002</v>
      </c>
      <c r="N38" s="3">
        <f t="shared" si="7"/>
        <v>5114.8</v>
      </c>
      <c r="O38" s="18">
        <f t="shared" si="1"/>
        <v>69.41251509764272</v>
      </c>
      <c r="P38" s="3">
        <v>984.2</v>
      </c>
      <c r="Q38" s="3">
        <v>1074.6</v>
      </c>
      <c r="R38" s="18">
        <f t="shared" si="16"/>
        <v>109.18512497459865</v>
      </c>
      <c r="S38" s="3">
        <f t="shared" si="9"/>
        <v>8352.900000000001</v>
      </c>
      <c r="T38" s="3">
        <f t="shared" si="10"/>
        <v>6189.4</v>
      </c>
      <c r="U38" s="18">
        <f t="shared" si="18"/>
        <v>74.09881598007875</v>
      </c>
      <c r="V38" s="18">
        <f t="shared" si="12"/>
        <v>2163.500000000002</v>
      </c>
      <c r="W38" s="4">
        <f t="shared" si="11"/>
        <v>18549.300000000003</v>
      </c>
      <c r="X38" s="30">
        <f t="shared" si="2"/>
        <v>2163.500000000002</v>
      </c>
      <c r="Y38" s="30">
        <f t="shared" si="3"/>
        <v>18549.300000000003</v>
      </c>
    </row>
    <row r="39" spans="1:25" ht="36.75" customHeight="1">
      <c r="A39" s="6">
        <v>30</v>
      </c>
      <c r="B39" s="20" t="s">
        <v>95</v>
      </c>
      <c r="C39" s="2">
        <v>50000.1</v>
      </c>
      <c r="D39" s="3">
        <v>10957.8</v>
      </c>
      <c r="E39" s="3">
        <v>6674.9</v>
      </c>
      <c r="F39" s="18">
        <f t="shared" si="17"/>
        <v>60.91459964591432</v>
      </c>
      <c r="G39" s="3">
        <v>14338.4</v>
      </c>
      <c r="H39" s="3">
        <v>6867.9</v>
      </c>
      <c r="I39" s="18">
        <f t="shared" si="14"/>
        <v>47.89864977961278</v>
      </c>
      <c r="J39" s="3">
        <v>-365.5</v>
      </c>
      <c r="K39" s="3">
        <v>8279.3</v>
      </c>
      <c r="L39" s="18">
        <f t="shared" si="15"/>
        <v>-2265.1983584131326</v>
      </c>
      <c r="M39" s="3">
        <f t="shared" si="6"/>
        <v>24930.699999999997</v>
      </c>
      <c r="N39" s="3">
        <f t="shared" si="7"/>
        <v>21822.1</v>
      </c>
      <c r="O39" s="18">
        <f t="shared" si="1"/>
        <v>87.53103603188038</v>
      </c>
      <c r="P39" s="3">
        <v>4656.4</v>
      </c>
      <c r="Q39" s="3">
        <v>4018.9</v>
      </c>
      <c r="R39" s="18">
        <f t="shared" si="16"/>
        <v>86.30916587922</v>
      </c>
      <c r="S39" s="3">
        <f t="shared" si="9"/>
        <v>29587.1</v>
      </c>
      <c r="T39" s="3">
        <f t="shared" si="10"/>
        <v>25841</v>
      </c>
      <c r="U39" s="18">
        <f t="shared" si="18"/>
        <v>87.33873884226571</v>
      </c>
      <c r="V39" s="18">
        <f t="shared" si="12"/>
        <v>3746.0999999999985</v>
      </c>
      <c r="W39" s="4">
        <f t="shared" si="11"/>
        <v>53746.2</v>
      </c>
      <c r="X39" s="30">
        <f t="shared" si="2"/>
        <v>3746.0999999999985</v>
      </c>
      <c r="Y39" s="30">
        <f t="shared" si="3"/>
        <v>53746.2</v>
      </c>
    </row>
    <row r="40" spans="1:25" ht="24" customHeight="1">
      <c r="A40" s="6">
        <v>31</v>
      </c>
      <c r="B40" s="20" t="s">
        <v>73</v>
      </c>
      <c r="C40" s="2">
        <v>312.4</v>
      </c>
      <c r="D40" s="3">
        <v>19.3</v>
      </c>
      <c r="E40" s="3">
        <v>14.6</v>
      </c>
      <c r="F40" s="18">
        <f t="shared" si="17"/>
        <v>75.64766839378237</v>
      </c>
      <c r="G40" s="3">
        <v>21</v>
      </c>
      <c r="H40" s="3">
        <v>13.4</v>
      </c>
      <c r="I40" s="18">
        <f t="shared" si="14"/>
        <v>63.80952380952382</v>
      </c>
      <c r="J40" s="3">
        <v>4.8</v>
      </c>
      <c r="K40" s="3">
        <v>11.6</v>
      </c>
      <c r="L40" s="18">
        <f t="shared" si="15"/>
        <v>241.66666666666666</v>
      </c>
      <c r="M40" s="3">
        <f t="shared" si="6"/>
        <v>45.099999999999994</v>
      </c>
      <c r="N40" s="3">
        <f t="shared" si="7"/>
        <v>39.6</v>
      </c>
      <c r="O40" s="18">
        <f t="shared" si="1"/>
        <v>87.8048780487805</v>
      </c>
      <c r="P40" s="3">
        <v>5.4</v>
      </c>
      <c r="Q40" s="3">
        <v>5.4</v>
      </c>
      <c r="R40" s="18">
        <f t="shared" si="16"/>
        <v>100</v>
      </c>
      <c r="S40" s="3">
        <f t="shared" si="9"/>
        <v>50.49999999999999</v>
      </c>
      <c r="T40" s="3">
        <f t="shared" si="10"/>
        <v>45</v>
      </c>
      <c r="U40" s="18">
        <f t="shared" si="18"/>
        <v>89.10891089108912</v>
      </c>
      <c r="V40" s="18">
        <f t="shared" si="12"/>
        <v>5.499999999999993</v>
      </c>
      <c r="W40" s="4">
        <f t="shared" si="11"/>
        <v>317.9</v>
      </c>
      <c r="X40" s="30">
        <f t="shared" si="2"/>
        <v>5.499999999999993</v>
      </c>
      <c r="Y40" s="30">
        <f t="shared" si="3"/>
        <v>317.9</v>
      </c>
    </row>
    <row r="41" spans="1:25" ht="37.5">
      <c r="A41" s="6">
        <v>32</v>
      </c>
      <c r="B41" s="1" t="s">
        <v>74</v>
      </c>
      <c r="C41" s="2">
        <v>22121</v>
      </c>
      <c r="D41" s="3">
        <v>6276.6</v>
      </c>
      <c r="E41" s="3">
        <v>4496.5</v>
      </c>
      <c r="F41" s="18">
        <f t="shared" si="17"/>
        <v>71.63910397348883</v>
      </c>
      <c r="G41" s="3">
        <v>5848.9</v>
      </c>
      <c r="H41" s="3">
        <v>4260</v>
      </c>
      <c r="I41" s="18">
        <f t="shared" si="14"/>
        <v>72.83420814170186</v>
      </c>
      <c r="J41" s="3">
        <v>-60.4</v>
      </c>
      <c r="K41" s="3">
        <v>4265.1</v>
      </c>
      <c r="L41" s="18">
        <f t="shared" si="15"/>
        <v>-7061.423841059603</v>
      </c>
      <c r="M41" s="3">
        <f t="shared" si="6"/>
        <v>12065.1</v>
      </c>
      <c r="N41" s="3">
        <f t="shared" si="7"/>
        <v>13021.6</v>
      </c>
      <c r="O41" s="18">
        <f t="shared" si="1"/>
        <v>107.9278248833412</v>
      </c>
      <c r="P41" s="3">
        <v>0</v>
      </c>
      <c r="Q41" s="3">
        <v>2144.2</v>
      </c>
      <c r="R41" s="40" t="e">
        <f t="shared" si="16"/>
        <v>#DIV/0!</v>
      </c>
      <c r="S41" s="3">
        <f t="shared" si="9"/>
        <v>12065.1</v>
      </c>
      <c r="T41" s="3">
        <f t="shared" si="10"/>
        <v>15165.8</v>
      </c>
      <c r="U41" s="18">
        <f t="shared" si="18"/>
        <v>125.69974554707377</v>
      </c>
      <c r="V41" s="18">
        <f t="shared" si="12"/>
        <v>-3100.699999999999</v>
      </c>
      <c r="W41" s="4">
        <f t="shared" si="11"/>
        <v>19020.3</v>
      </c>
      <c r="X41" s="30">
        <f t="shared" si="2"/>
        <v>-3100.699999999999</v>
      </c>
      <c r="Y41" s="30">
        <f t="shared" si="3"/>
        <v>19020.3</v>
      </c>
    </row>
    <row r="42" spans="1:25" ht="24" customHeight="1">
      <c r="A42" s="6">
        <v>33</v>
      </c>
      <c r="B42" s="20" t="s">
        <v>75</v>
      </c>
      <c r="C42" s="2">
        <v>8094.6</v>
      </c>
      <c r="D42" s="3">
        <v>5578.2</v>
      </c>
      <c r="E42" s="3">
        <v>4165.2</v>
      </c>
      <c r="F42" s="18">
        <f t="shared" si="17"/>
        <v>74.66924814456276</v>
      </c>
      <c r="G42" s="3">
        <v>4735.2</v>
      </c>
      <c r="H42" s="3">
        <v>4138.7</v>
      </c>
      <c r="I42" s="18">
        <f t="shared" si="14"/>
        <v>87.40285521202907</v>
      </c>
      <c r="J42" s="3">
        <v>213.2</v>
      </c>
      <c r="K42" s="3">
        <v>4387.1</v>
      </c>
      <c r="L42" s="18">
        <f t="shared" si="15"/>
        <v>2057.739212007505</v>
      </c>
      <c r="M42" s="3">
        <f t="shared" si="6"/>
        <v>10526.6</v>
      </c>
      <c r="N42" s="3">
        <f t="shared" si="7"/>
        <v>12691</v>
      </c>
      <c r="O42" s="18">
        <f t="shared" si="1"/>
        <v>120.56124484638914</v>
      </c>
      <c r="P42" s="3">
        <v>251</v>
      </c>
      <c r="Q42" s="3">
        <v>2228.7</v>
      </c>
      <c r="R42" s="18">
        <f t="shared" si="16"/>
        <v>887.9282868525896</v>
      </c>
      <c r="S42" s="3">
        <f t="shared" si="9"/>
        <v>10777.6</v>
      </c>
      <c r="T42" s="3">
        <f t="shared" si="10"/>
        <v>14919.7</v>
      </c>
      <c r="U42" s="18">
        <f t="shared" si="18"/>
        <v>138.43248960807603</v>
      </c>
      <c r="V42" s="18">
        <f t="shared" si="12"/>
        <v>-4142.1</v>
      </c>
      <c r="W42" s="4">
        <f t="shared" si="11"/>
        <v>3952.5</v>
      </c>
      <c r="X42" s="30">
        <f t="shared" si="2"/>
        <v>-4142.1</v>
      </c>
      <c r="Y42" s="30">
        <f t="shared" si="3"/>
        <v>3952.5</v>
      </c>
    </row>
    <row r="43" spans="1:23" s="9" customFormat="1" ht="24.75" customHeight="1">
      <c r="A43" s="50">
        <v>34</v>
      </c>
      <c r="B43" s="22" t="s">
        <v>76</v>
      </c>
      <c r="C43" s="60">
        <f>C44</f>
        <v>1254460</v>
      </c>
      <c r="D43" s="60">
        <f>D44</f>
        <v>524454</v>
      </c>
      <c r="E43" s="60">
        <f>E44</f>
        <v>291820</v>
      </c>
      <c r="F43" s="18">
        <f t="shared" si="17"/>
        <v>55.64263024021172</v>
      </c>
      <c r="G43" s="60">
        <f>G44</f>
        <v>477330</v>
      </c>
      <c r="H43" s="60">
        <f>H44</f>
        <v>330387</v>
      </c>
      <c r="I43" s="18">
        <f>H43/G43*100</f>
        <v>69.21563698070517</v>
      </c>
      <c r="J43" s="60">
        <f>J44</f>
        <v>242446</v>
      </c>
      <c r="K43" s="60">
        <f>K44</f>
        <v>379669</v>
      </c>
      <c r="L43" s="60">
        <f>L44</f>
        <v>156.59940770315865</v>
      </c>
      <c r="M43" s="60">
        <f>M44</f>
        <v>1244230</v>
      </c>
      <c r="N43" s="60">
        <f>N44</f>
        <v>1001876</v>
      </c>
      <c r="O43" s="18">
        <f t="shared" si="1"/>
        <v>80.521768483319</v>
      </c>
      <c r="P43" s="60">
        <f>P44</f>
        <v>169188</v>
      </c>
      <c r="Q43" s="60">
        <f>Q44</f>
        <v>251943</v>
      </c>
      <c r="R43" s="18">
        <f>Q43/P43*100</f>
        <v>148.91304347826087</v>
      </c>
      <c r="S43" s="60">
        <f>S44</f>
        <v>1413418</v>
      </c>
      <c r="T43" s="60">
        <f>T44</f>
        <v>1253819</v>
      </c>
      <c r="U43" s="18">
        <f t="shared" si="18"/>
        <v>88.70829436161137</v>
      </c>
      <c r="V43" s="61">
        <f>V44</f>
        <v>159599</v>
      </c>
      <c r="W43" s="61">
        <f>W44</f>
        <v>1414059</v>
      </c>
    </row>
    <row r="44" spans="1:23" s="9" customFormat="1" ht="24.75" customHeight="1">
      <c r="A44" s="50"/>
      <c r="B44" s="1" t="s">
        <v>77</v>
      </c>
      <c r="C44" s="2">
        <v>1254460</v>
      </c>
      <c r="D44" s="3">
        <v>524454</v>
      </c>
      <c r="E44" s="3">
        <v>291820</v>
      </c>
      <c r="F44" s="18">
        <f t="shared" si="17"/>
        <v>55.64263024021172</v>
      </c>
      <c r="G44" s="3">
        <v>477330</v>
      </c>
      <c r="H44" s="3">
        <v>330387</v>
      </c>
      <c r="I44" s="18">
        <f t="shared" si="14"/>
        <v>69.21563698070517</v>
      </c>
      <c r="J44" s="3">
        <v>242446</v>
      </c>
      <c r="K44" s="3">
        <v>379669</v>
      </c>
      <c r="L44" s="18">
        <f>K44/J44*100</f>
        <v>156.59940770315865</v>
      </c>
      <c r="M44" s="3">
        <f>D44+G44+J44</f>
        <v>1244230</v>
      </c>
      <c r="N44" s="3">
        <f>E44+H44+K44</f>
        <v>1001876</v>
      </c>
      <c r="O44" s="18">
        <f t="shared" si="1"/>
        <v>80.521768483319</v>
      </c>
      <c r="P44" s="3">
        <v>169188</v>
      </c>
      <c r="Q44" s="3">
        <v>251943</v>
      </c>
      <c r="R44" s="18">
        <f>Q44/P44*100</f>
        <v>148.91304347826087</v>
      </c>
      <c r="S44" s="3">
        <f>M44+P44</f>
        <v>1413418</v>
      </c>
      <c r="T44" s="3">
        <f>N44+Q44</f>
        <v>1253819</v>
      </c>
      <c r="U44" s="18">
        <f t="shared" si="18"/>
        <v>88.70829436161137</v>
      </c>
      <c r="V44" s="18">
        <f>S44-T44</f>
        <v>159599</v>
      </c>
      <c r="W44" s="4">
        <f>C44+S44-T44</f>
        <v>1414059</v>
      </c>
    </row>
    <row r="45" spans="1:23" s="9" customFormat="1" ht="24.75" customHeight="1">
      <c r="A45" s="50"/>
      <c r="B45" s="1" t="s">
        <v>69</v>
      </c>
      <c r="C45" s="2"/>
      <c r="D45" s="32"/>
      <c r="E45" s="32"/>
      <c r="F45" s="48" t="e">
        <f t="shared" si="17"/>
        <v>#DIV/0!</v>
      </c>
      <c r="G45" s="32"/>
      <c r="H45" s="32"/>
      <c r="I45" s="48" t="e">
        <f t="shared" si="14"/>
        <v>#DIV/0!</v>
      </c>
      <c r="J45" s="32"/>
      <c r="K45" s="32"/>
      <c r="L45" s="48" t="e">
        <f>K45/J45*100</f>
        <v>#DIV/0!</v>
      </c>
      <c r="M45" s="48"/>
      <c r="N45" s="48"/>
      <c r="O45" s="18"/>
      <c r="P45" s="32"/>
      <c r="Q45" s="32"/>
      <c r="R45" s="48" t="e">
        <f>Q45/P45*100</f>
        <v>#DIV/0!</v>
      </c>
      <c r="S45" s="32"/>
      <c r="T45" s="32"/>
      <c r="U45" s="48" t="e">
        <f>T45/S45*100</f>
        <v>#DIV/0!</v>
      </c>
      <c r="V45" s="48"/>
      <c r="W45" s="81">
        <f>C45+D45-E45</f>
        <v>0</v>
      </c>
    </row>
    <row r="46" spans="1:26" s="9" customFormat="1" ht="24.75" customHeight="1">
      <c r="A46" s="50"/>
      <c r="B46" s="22" t="s">
        <v>78</v>
      </c>
      <c r="C46" s="60">
        <f>C7+C43</f>
        <v>1439180.53</v>
      </c>
      <c r="D46" s="4">
        <f>D7+D43</f>
        <v>575013.9</v>
      </c>
      <c r="E46" s="4">
        <f>E7+E43</f>
        <v>322737.7</v>
      </c>
      <c r="F46" s="18">
        <f t="shared" si="17"/>
        <v>56.12693884443489</v>
      </c>
      <c r="G46" s="4">
        <f>G7+G43</f>
        <v>524292.1</v>
      </c>
      <c r="H46" s="4">
        <f>H7+H43</f>
        <v>362303.1</v>
      </c>
      <c r="I46" s="18">
        <f>H46/G46*100</f>
        <v>69.1032918481892</v>
      </c>
      <c r="J46" s="4">
        <f>J7+J43</f>
        <v>237682.8</v>
      </c>
      <c r="K46" s="4">
        <f>K7+K43</f>
        <v>412233.9</v>
      </c>
      <c r="L46" s="4">
        <f>K46/J46*100</f>
        <v>173.43867541109412</v>
      </c>
      <c r="M46" s="4">
        <f>M7+M43</f>
        <v>1336988.8</v>
      </c>
      <c r="N46" s="4">
        <f>N7+N43</f>
        <v>1097274.7</v>
      </c>
      <c r="O46" s="18">
        <f t="shared" si="1"/>
        <v>82.07059774921076</v>
      </c>
      <c r="P46" s="4">
        <f>P7+P43</f>
        <v>175203.4</v>
      </c>
      <c r="Q46" s="4">
        <f>Q7+Q43</f>
        <v>269997</v>
      </c>
      <c r="R46" s="18">
        <f>Q46/P46*100</f>
        <v>154.1048860923932</v>
      </c>
      <c r="S46" s="4">
        <f>S7+S43</f>
        <v>1512192.2</v>
      </c>
      <c r="T46" s="4">
        <f>T7+T43</f>
        <v>1367271.7</v>
      </c>
      <c r="U46" s="18">
        <f>T46/S46*100</f>
        <v>90.41652906290616</v>
      </c>
      <c r="V46" s="61">
        <f>V7+V43</f>
        <v>144920.5</v>
      </c>
      <c r="W46" s="61">
        <f>W7+W43</f>
        <v>1584101.03</v>
      </c>
      <c r="X46" s="30">
        <f>S46-T46</f>
        <v>144920.5</v>
      </c>
      <c r="Z46" s="30">
        <f>C46+S46-T46</f>
        <v>1584101.03</v>
      </c>
    </row>
    <row r="47" spans="1:23" s="9" customFormat="1" ht="24.75" customHeight="1">
      <c r="A47" s="91"/>
      <c r="B47" s="92"/>
      <c r="C47" s="93"/>
      <c r="D47" s="87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87"/>
      <c r="T47" s="23"/>
      <c r="U47" s="23"/>
      <c r="V47" s="23"/>
      <c r="W47" s="43"/>
    </row>
    <row r="48" spans="1:23" s="9" customFormat="1" ht="15.75" customHeight="1" hidden="1">
      <c r="A48" s="50"/>
      <c r="B48" s="9" t="s">
        <v>82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4"/>
    </row>
    <row r="49" spans="1:23" s="9" customFormat="1" ht="6" customHeight="1" hidden="1">
      <c r="A49" s="91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4"/>
    </row>
    <row r="50" spans="1:23" s="9" customFormat="1" ht="18" customHeight="1" hidden="1">
      <c r="A50" s="50"/>
      <c r="B50" s="9" t="s">
        <v>83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4"/>
    </row>
    <row r="51" spans="1:25" ht="73.5" customHeight="1" hidden="1">
      <c r="A51" s="136" t="s">
        <v>99</v>
      </c>
      <c r="B51" s="136"/>
      <c r="C51" s="136"/>
      <c r="D51" s="68"/>
      <c r="E51" s="68"/>
      <c r="F51" s="6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68"/>
      <c r="T51" s="68"/>
      <c r="U51" s="67"/>
      <c r="V51" s="43"/>
      <c r="W51" s="69" t="s">
        <v>97</v>
      </c>
      <c r="X51" s="67"/>
      <c r="Y51" s="69" t="s">
        <v>97</v>
      </c>
    </row>
    <row r="52" spans="3:23" ht="24.75" customHeight="1" hidden="1">
      <c r="C52" s="78"/>
      <c r="D52" s="43"/>
      <c r="E52" s="43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43"/>
      <c r="W52" s="43"/>
    </row>
    <row r="53" spans="1:23" s="76" customFormat="1" ht="80.25" customHeight="1">
      <c r="A53" s="71"/>
      <c r="B53" s="135" t="s">
        <v>101</v>
      </c>
      <c r="C53" s="135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2"/>
      <c r="T53" s="72"/>
      <c r="U53" s="73"/>
      <c r="V53" s="74"/>
      <c r="W53" s="75" t="s">
        <v>100</v>
      </c>
    </row>
    <row r="54" spans="3:23" ht="18.75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39"/>
      <c r="W54" s="39"/>
    </row>
    <row r="55" spans="2:23" ht="18.75">
      <c r="B55" s="5" t="s">
        <v>39</v>
      </c>
      <c r="C55" s="89">
        <v>1256.9</v>
      </c>
      <c r="D55" s="3">
        <v>1154.2</v>
      </c>
      <c r="E55" s="3">
        <v>1213.3</v>
      </c>
      <c r="F55" s="18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1154.2</v>
      </c>
      <c r="T55" s="3">
        <v>1213.3</v>
      </c>
      <c r="U55" s="18"/>
      <c r="V55" s="3"/>
      <c r="W55" s="4">
        <f>C55+D55-E55</f>
        <v>1197.8000000000004</v>
      </c>
    </row>
    <row r="56" spans="2:23" ht="18.75">
      <c r="B56" s="5" t="s">
        <v>40</v>
      </c>
      <c r="C56" s="103">
        <v>1174.8</v>
      </c>
      <c r="D56" s="39">
        <v>1415.7</v>
      </c>
      <c r="E56" s="39">
        <v>1436.1</v>
      </c>
      <c r="F56" s="7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>
        <v>1415.7</v>
      </c>
      <c r="T56" s="39">
        <v>1436.1</v>
      </c>
      <c r="U56" s="77"/>
      <c r="V56" s="39"/>
      <c r="W56" s="4">
        <f>C56+D56-E56</f>
        <v>1154.4</v>
      </c>
    </row>
    <row r="57" spans="3:23" ht="18.75">
      <c r="C57" s="103"/>
      <c r="D57" s="39"/>
      <c r="E57" s="39"/>
      <c r="F57" s="7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39"/>
      <c r="W57" s="39"/>
    </row>
    <row r="58" spans="3:23" ht="18.75">
      <c r="C58" s="103"/>
      <c r="D58" s="39"/>
      <c r="E58" s="39"/>
      <c r="F58" s="7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39"/>
      <c r="W58" s="39"/>
    </row>
    <row r="59" spans="2:23" ht="18.75">
      <c r="B59" s="5" t="s">
        <v>41</v>
      </c>
      <c r="C59" s="103">
        <f>C9+C17+C20+C26+C36+C38+C40</f>
        <v>24375.9</v>
      </c>
      <c r="D59" s="39"/>
      <c r="E59" s="39"/>
      <c r="F59" s="7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39"/>
      <c r="W59" s="39">
        <f>W9+W17+W20+W26+W36+W38+W40</f>
        <v>27123.800000000007</v>
      </c>
    </row>
    <row r="60" spans="2:23" ht="18.75">
      <c r="B60" s="5" t="s">
        <v>42</v>
      </c>
      <c r="C60" s="103">
        <f>C11+C13+C14+C16+C18+C19+C25</f>
        <v>3041.4</v>
      </c>
      <c r="D60" s="39"/>
      <c r="E60" s="39"/>
      <c r="F60" s="7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39"/>
      <c r="W60" s="39">
        <f>W11+W13+W14+W16+W18+W19+W25</f>
        <v>2322.2999999999997</v>
      </c>
    </row>
    <row r="61" spans="3:23" ht="18.75">
      <c r="C61" s="103"/>
      <c r="D61" s="39"/>
      <c r="E61" s="39"/>
      <c r="F61" s="7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39"/>
      <c r="W61" s="39"/>
    </row>
    <row r="62" spans="3:23" ht="18.75">
      <c r="C62" s="103"/>
      <c r="D62" s="39"/>
      <c r="E62" s="39"/>
      <c r="F62" s="77"/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39"/>
      <c r="W62" s="39"/>
    </row>
    <row r="63" spans="3:23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39"/>
      <c r="W63" s="39"/>
    </row>
    <row r="64" spans="3:23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39"/>
      <c r="W64" s="39"/>
    </row>
    <row r="65" spans="3:23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39"/>
      <c r="W65" s="39"/>
    </row>
    <row r="66" spans="3:23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39"/>
      <c r="W66" s="39"/>
    </row>
    <row r="67" spans="3:23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39"/>
      <c r="W67" s="39"/>
    </row>
    <row r="68" spans="3:23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39"/>
      <c r="W68" s="39"/>
    </row>
    <row r="69" spans="3:23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39"/>
      <c r="W69" s="39"/>
    </row>
    <row r="70" spans="3:23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39"/>
      <c r="W70" s="39"/>
    </row>
    <row r="71" spans="3:23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39"/>
      <c r="W71" s="39"/>
    </row>
    <row r="72" spans="3:23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39"/>
      <c r="W72" s="39"/>
    </row>
    <row r="73" spans="3:23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39"/>
      <c r="W73" s="39"/>
    </row>
    <row r="74" spans="3:23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39"/>
      <c r="W74" s="39"/>
    </row>
    <row r="75" spans="3:23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39"/>
      <c r="W75" s="39"/>
    </row>
    <row r="76" spans="3:23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39"/>
      <c r="W76" s="39"/>
    </row>
    <row r="77" spans="3:23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39"/>
      <c r="W77" s="39"/>
    </row>
    <row r="78" spans="3:23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39"/>
      <c r="W78" s="39"/>
    </row>
    <row r="79" spans="3:23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39"/>
      <c r="W79" s="39"/>
    </row>
    <row r="80" spans="3:23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39"/>
      <c r="W80" s="39"/>
    </row>
    <row r="81" spans="3:23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39"/>
      <c r="W81" s="39"/>
    </row>
    <row r="82" spans="3:23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39"/>
      <c r="W82" s="39"/>
    </row>
    <row r="83" spans="3:23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39"/>
      <c r="W83" s="39"/>
    </row>
    <row r="84" spans="3:23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39"/>
      <c r="W84" s="39"/>
    </row>
    <row r="85" spans="3:23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39"/>
      <c r="W85" s="39"/>
    </row>
    <row r="86" spans="3:23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39"/>
      <c r="W86" s="39"/>
    </row>
    <row r="87" spans="3:23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39"/>
      <c r="W87" s="39"/>
    </row>
    <row r="88" spans="3:23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39"/>
      <c r="W88" s="39"/>
    </row>
    <row r="89" spans="3:23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39"/>
      <c r="W89" s="39"/>
    </row>
    <row r="90" spans="3:23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39"/>
      <c r="W90" s="39"/>
    </row>
    <row r="91" spans="3:23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39"/>
      <c r="W91" s="39"/>
    </row>
    <row r="92" spans="3:23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39"/>
      <c r="W92" s="39"/>
    </row>
    <row r="93" spans="3:23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39"/>
      <c r="W93" s="39"/>
    </row>
    <row r="94" spans="3:23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39"/>
      <c r="W94" s="39"/>
    </row>
    <row r="95" spans="3:23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39"/>
      <c r="W95" s="39"/>
    </row>
    <row r="96" spans="3:23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39"/>
      <c r="W96" s="39"/>
    </row>
    <row r="97" spans="3:23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39"/>
      <c r="W97" s="39"/>
    </row>
    <row r="98" spans="3:23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39"/>
      <c r="W98" s="39"/>
    </row>
    <row r="99" spans="3:23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39"/>
      <c r="W99" s="39"/>
    </row>
    <row r="100" spans="3:23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39"/>
      <c r="W100" s="39"/>
    </row>
    <row r="101" spans="3:23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39"/>
      <c r="W101" s="39"/>
    </row>
    <row r="102" spans="3:23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39"/>
      <c r="W102" s="39"/>
    </row>
  </sheetData>
  <sheetProtection/>
  <mergeCells count="13">
    <mergeCell ref="D1:W1"/>
    <mergeCell ref="B4:C4"/>
    <mergeCell ref="B2:W2"/>
    <mergeCell ref="B3:W3"/>
    <mergeCell ref="V5:V6"/>
    <mergeCell ref="D5:F5"/>
    <mergeCell ref="P5:R5"/>
    <mergeCell ref="J5:L5"/>
    <mergeCell ref="W5:W6"/>
    <mergeCell ref="G5:I5"/>
    <mergeCell ref="S5:U5"/>
    <mergeCell ref="B53:C53"/>
    <mergeCell ref="A51:C51"/>
  </mergeCells>
  <printOptions/>
  <pageMargins left="0" right="0" top="0" bottom="0" header="0" footer="0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view="pageBreakPreview" zoomScale="70" zoomScaleNormal="75" zoomScaleSheetLayoutView="70" zoomScalePageLayoutView="0" workbookViewId="0" topLeftCell="A1">
      <pane xSplit="6" ySplit="8" topLeftCell="M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X47" sqref="X47"/>
    </sheetView>
  </sheetViews>
  <sheetFormatPr defaultColWidth="7.875" defaultRowHeight="12.75"/>
  <cols>
    <col min="1" max="1" width="6.125" style="5" customWidth="1"/>
    <col min="2" max="2" width="57.25390625" style="5" customWidth="1"/>
    <col min="3" max="3" width="16.87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5" width="11.875" style="9" customWidth="1"/>
    <col min="16" max="17" width="14.75390625" style="5" customWidth="1"/>
    <col min="18" max="18" width="11.875" style="9" customWidth="1"/>
    <col min="19" max="19" width="14.375" style="5" customWidth="1"/>
    <col min="20" max="20" width="15.00390625" style="5" customWidth="1"/>
    <col min="21" max="21" width="13.75390625" style="9" customWidth="1"/>
    <col min="22" max="22" width="19.75390625" style="5" customWidth="1"/>
    <col min="23" max="23" width="22.625" style="5" customWidth="1"/>
    <col min="24" max="24" width="14.00390625" style="104" customWidth="1"/>
    <col min="25" max="25" width="15.00390625" style="12" customWidth="1"/>
    <col min="26" max="26" width="13.75390625" style="12" customWidth="1"/>
    <col min="27" max="33" width="7.875" style="12" customWidth="1"/>
    <col min="34" max="16384" width="7.875" style="5" customWidth="1"/>
  </cols>
  <sheetData>
    <row r="1" spans="4:23" ht="21" customHeight="1"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2:33" s="42" customFormat="1" ht="42" customHeight="1">
      <c r="B2" s="127" t="s">
        <v>91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05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s="42" customFormat="1" ht="42" customHeight="1">
      <c r="B3" s="127" t="s">
        <v>118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05"/>
      <c r="Y3" s="106"/>
      <c r="Z3" s="106"/>
      <c r="AA3" s="106"/>
      <c r="AB3" s="106"/>
      <c r="AC3" s="106"/>
      <c r="AD3" s="106"/>
      <c r="AE3" s="106"/>
      <c r="AF3" s="106"/>
      <c r="AG3" s="106"/>
    </row>
    <row r="4" spans="2:23" ht="18.75">
      <c r="B4" s="128"/>
      <c r="C4" s="128"/>
      <c r="W4" s="13" t="s">
        <v>48</v>
      </c>
    </row>
    <row r="5" spans="1:33" ht="36.75" customHeight="1">
      <c r="A5" s="33" t="s">
        <v>36</v>
      </c>
      <c r="B5" s="34"/>
      <c r="C5" s="35" t="s">
        <v>1</v>
      </c>
      <c r="D5" s="129" t="s">
        <v>111</v>
      </c>
      <c r="E5" s="130"/>
      <c r="F5" s="131"/>
      <c r="G5" s="132" t="s">
        <v>113</v>
      </c>
      <c r="H5" s="133"/>
      <c r="I5" s="134"/>
      <c r="J5" s="132" t="s">
        <v>117</v>
      </c>
      <c r="K5" s="133"/>
      <c r="L5" s="134"/>
      <c r="M5" s="121"/>
      <c r="N5" s="121" t="s">
        <v>122</v>
      </c>
      <c r="O5" s="121"/>
      <c r="P5" s="132" t="s">
        <v>119</v>
      </c>
      <c r="Q5" s="133"/>
      <c r="R5" s="134"/>
      <c r="S5" s="129" t="s">
        <v>114</v>
      </c>
      <c r="T5" s="130"/>
      <c r="U5" s="131"/>
      <c r="V5" s="125" t="s">
        <v>120</v>
      </c>
      <c r="W5" s="125" t="s">
        <v>121</v>
      </c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63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126"/>
      <c r="W6" s="126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s="9" customFormat="1" ht="36" customHeight="1">
      <c r="A7" s="107"/>
      <c r="B7" s="108" t="s">
        <v>6</v>
      </c>
      <c r="C7" s="53">
        <f>SUM(C8:C42)</f>
        <v>9842.900000000001</v>
      </c>
      <c r="D7" s="18">
        <f>SUM(D8:D42)</f>
        <v>4168</v>
      </c>
      <c r="E7" s="18">
        <f>SUM(E8:E42)</f>
        <v>6370.5</v>
      </c>
      <c r="F7" s="18">
        <f aca="true" t="shared" si="0" ref="F7:F44">E7/D7*100</f>
        <v>152.84309021113245</v>
      </c>
      <c r="G7" s="18">
        <f>SUM(G8:G42)</f>
        <v>4139</v>
      </c>
      <c r="H7" s="18">
        <f>SUM(H8:H42)</f>
        <v>1614</v>
      </c>
      <c r="I7" s="18">
        <f>H7/G7*100</f>
        <v>38.99492631070307</v>
      </c>
      <c r="J7" s="18">
        <f>SUM(J8:J42)</f>
        <v>2412.9</v>
      </c>
      <c r="K7" s="18">
        <f>SUM(K8:K42)</f>
        <v>1963</v>
      </c>
      <c r="L7" s="18">
        <f aca="true" t="shared" si="1" ref="L7:L12">K7/J7*100</f>
        <v>81.35438683741556</v>
      </c>
      <c r="M7" s="18">
        <f>SUM(M8:M42)</f>
        <v>10719.9</v>
      </c>
      <c r="N7" s="18">
        <f>SUM(N8:N42)</f>
        <v>9947.5</v>
      </c>
      <c r="O7" s="18">
        <f>N7/M7*100</f>
        <v>92.79470890586666</v>
      </c>
      <c r="P7" s="18">
        <f>SUM(P8:P42)</f>
        <v>137.29999999999998</v>
      </c>
      <c r="Q7" s="18">
        <f>SUM(Q8:Q42)</f>
        <v>2577</v>
      </c>
      <c r="R7" s="18">
        <f aca="true" t="shared" si="2" ref="R7:R12">Q7/P7*100</f>
        <v>1876.9118718135474</v>
      </c>
      <c r="S7" s="18">
        <f>SUM(S8:S42)</f>
        <v>10857.2</v>
      </c>
      <c r="T7" s="18">
        <f>SUM(T8:T42)</f>
        <v>12524.5</v>
      </c>
      <c r="U7" s="18">
        <f>T7/S7*100</f>
        <v>115.35662970194893</v>
      </c>
      <c r="V7" s="54">
        <f>SUM(V8:V42)</f>
        <v>-1667.3</v>
      </c>
      <c r="W7" s="54">
        <f>SUM(W8:W42)</f>
        <v>8175.5999999999985</v>
      </c>
      <c r="X7" s="30">
        <f>S7-T7</f>
        <v>-1667.2999999999993</v>
      </c>
      <c r="Y7" s="30">
        <f>C7+S7-T7</f>
        <v>8175.600000000002</v>
      </c>
      <c r="Z7" s="24"/>
      <c r="AA7" s="92"/>
      <c r="AB7" s="92"/>
      <c r="AC7" s="92"/>
      <c r="AD7" s="92"/>
      <c r="AE7" s="92"/>
      <c r="AF7" s="92"/>
      <c r="AG7" s="92"/>
    </row>
    <row r="8" spans="1:26" ht="36.75" customHeight="1">
      <c r="A8" s="110">
        <v>1</v>
      </c>
      <c r="B8" s="1" t="s">
        <v>12</v>
      </c>
      <c r="C8" s="2">
        <v>909.4</v>
      </c>
      <c r="D8" s="3">
        <v>310.3</v>
      </c>
      <c r="E8" s="3">
        <v>427.7</v>
      </c>
      <c r="F8" s="18">
        <f t="shared" si="0"/>
        <v>137.8343538511118</v>
      </c>
      <c r="G8" s="3">
        <v>395.3</v>
      </c>
      <c r="H8" s="3">
        <v>0</v>
      </c>
      <c r="I8" s="18">
        <f>H8/G8*100</f>
        <v>0</v>
      </c>
      <c r="J8" s="3">
        <v>221.7</v>
      </c>
      <c r="K8" s="3">
        <v>481.6</v>
      </c>
      <c r="L8" s="18">
        <f t="shared" si="1"/>
        <v>217.23049165539015</v>
      </c>
      <c r="M8" s="3">
        <f>D8+G8+J8</f>
        <v>927.3</v>
      </c>
      <c r="N8" s="3">
        <f>E8+H8+K8</f>
        <v>909.3</v>
      </c>
      <c r="O8" s="18">
        <f aca="true" t="shared" si="3" ref="O8:O46">N8/M8*100</f>
        <v>98.05888062115821</v>
      </c>
      <c r="P8" s="3">
        <v>16.6</v>
      </c>
      <c r="Q8" s="3">
        <v>0</v>
      </c>
      <c r="R8" s="18">
        <f t="shared" si="2"/>
        <v>0</v>
      </c>
      <c r="S8" s="3">
        <f>M8+P8</f>
        <v>943.9</v>
      </c>
      <c r="T8" s="3">
        <f>N8+Q8</f>
        <v>909.3</v>
      </c>
      <c r="U8" s="18">
        <f>T8/S8*100</f>
        <v>96.33435745312003</v>
      </c>
      <c r="V8" s="18">
        <f>S8-T8</f>
        <v>34.60000000000002</v>
      </c>
      <c r="W8" s="4">
        <f>C8+S8-T8</f>
        <v>944</v>
      </c>
      <c r="X8" s="111"/>
      <c r="Z8" s="24"/>
    </row>
    <row r="9" spans="1:26" ht="41.25" customHeight="1">
      <c r="A9" s="110">
        <v>2</v>
      </c>
      <c r="B9" s="44" t="s">
        <v>35</v>
      </c>
      <c r="C9" s="2">
        <v>19.7</v>
      </c>
      <c r="D9" s="3">
        <v>7.7</v>
      </c>
      <c r="E9" s="3">
        <v>5.4</v>
      </c>
      <c r="F9" s="18">
        <f t="shared" si="0"/>
        <v>70.12987012987013</v>
      </c>
      <c r="G9" s="3">
        <v>8.5</v>
      </c>
      <c r="H9" s="3">
        <v>0</v>
      </c>
      <c r="I9" s="18">
        <f aca="true" t="shared" si="4" ref="I9:I21">H9/G9*100</f>
        <v>0</v>
      </c>
      <c r="J9" s="3">
        <v>4.2</v>
      </c>
      <c r="K9" s="3">
        <v>0</v>
      </c>
      <c r="L9" s="18">
        <f t="shared" si="1"/>
        <v>0</v>
      </c>
      <c r="M9" s="3">
        <f aca="true" t="shared" si="5" ref="M9:M42">D9+G9+J9</f>
        <v>20.4</v>
      </c>
      <c r="N9" s="3">
        <f aca="true" t="shared" si="6" ref="N9:N42">E9+H9+K9</f>
        <v>5.4</v>
      </c>
      <c r="O9" s="18">
        <f t="shared" si="3"/>
        <v>26.470588235294123</v>
      </c>
      <c r="P9" s="3">
        <v>0.5</v>
      </c>
      <c r="Q9" s="3">
        <v>2.1</v>
      </c>
      <c r="R9" s="18">
        <f t="shared" si="2"/>
        <v>420</v>
      </c>
      <c r="S9" s="3">
        <f aca="true" t="shared" si="7" ref="S9:S42">M9+P9</f>
        <v>20.9</v>
      </c>
      <c r="T9" s="3">
        <f aca="true" t="shared" si="8" ref="T9:T42">N9+Q9</f>
        <v>7.5</v>
      </c>
      <c r="U9" s="18">
        <f>T9/S9*100</f>
        <v>35.885167464114836</v>
      </c>
      <c r="V9" s="18">
        <f aca="true" t="shared" si="9" ref="V9:V42">S9-T9</f>
        <v>13.399999999999999</v>
      </c>
      <c r="W9" s="4">
        <f aca="true" t="shared" si="10" ref="W9:W42">C9+S9-T9</f>
        <v>33.099999999999994</v>
      </c>
      <c r="X9" s="111"/>
      <c r="Z9" s="24"/>
    </row>
    <row r="10" spans="1:26" ht="35.25" customHeight="1">
      <c r="A10" s="110">
        <v>3</v>
      </c>
      <c r="B10" s="20" t="s">
        <v>96</v>
      </c>
      <c r="C10" s="2"/>
      <c r="D10" s="32"/>
      <c r="E10" s="32"/>
      <c r="F10" s="48" t="e">
        <f t="shared" si="0"/>
        <v>#DIV/0!</v>
      </c>
      <c r="G10" s="32"/>
      <c r="H10" s="32"/>
      <c r="I10" s="48" t="e">
        <f t="shared" si="4"/>
        <v>#DIV/0!</v>
      </c>
      <c r="J10" s="32"/>
      <c r="K10" s="32"/>
      <c r="L10" s="48" t="e">
        <f t="shared" si="1"/>
        <v>#DIV/0!</v>
      </c>
      <c r="M10" s="3"/>
      <c r="N10" s="3"/>
      <c r="O10" s="18"/>
      <c r="P10" s="32"/>
      <c r="Q10" s="32"/>
      <c r="R10" s="48" t="e">
        <f t="shared" si="2"/>
        <v>#DIV/0!</v>
      </c>
      <c r="S10" s="3"/>
      <c r="T10" s="3"/>
      <c r="U10" s="48" t="e">
        <f>T10/S10*100</f>
        <v>#DIV/0!</v>
      </c>
      <c r="V10" s="18"/>
      <c r="W10" s="4"/>
      <c r="X10" s="111"/>
      <c r="Z10" s="24"/>
    </row>
    <row r="11" spans="1:26" ht="24" customHeight="1">
      <c r="A11" s="110">
        <v>4</v>
      </c>
      <c r="B11" s="1" t="s">
        <v>108</v>
      </c>
      <c r="C11" s="2"/>
      <c r="D11" s="3"/>
      <c r="E11" s="3"/>
      <c r="F11" s="48"/>
      <c r="G11" s="3"/>
      <c r="H11" s="3"/>
      <c r="I11" s="48" t="e">
        <f t="shared" si="4"/>
        <v>#DIV/0!</v>
      </c>
      <c r="J11" s="3"/>
      <c r="K11" s="3"/>
      <c r="L11" s="48" t="e">
        <f t="shared" si="1"/>
        <v>#DIV/0!</v>
      </c>
      <c r="M11" s="3"/>
      <c r="N11" s="3"/>
      <c r="O11" s="18"/>
      <c r="P11" s="3"/>
      <c r="Q11" s="3"/>
      <c r="R11" s="48" t="e">
        <f t="shared" si="2"/>
        <v>#DIV/0!</v>
      </c>
      <c r="S11" s="3"/>
      <c r="T11" s="3"/>
      <c r="U11" s="48"/>
      <c r="V11" s="18"/>
      <c r="W11" s="4"/>
      <c r="X11" s="111"/>
      <c r="Z11" s="24"/>
    </row>
    <row r="12" spans="1:26" ht="24" customHeight="1">
      <c r="A12" s="110">
        <v>5</v>
      </c>
      <c r="B12" s="1" t="s">
        <v>13</v>
      </c>
      <c r="C12" s="2">
        <v>119.6</v>
      </c>
      <c r="D12" s="3">
        <v>58.5</v>
      </c>
      <c r="E12" s="3">
        <v>119.6</v>
      </c>
      <c r="F12" s="18">
        <f t="shared" si="0"/>
        <v>204.44444444444443</v>
      </c>
      <c r="G12" s="3">
        <v>52</v>
      </c>
      <c r="H12" s="3">
        <v>0</v>
      </c>
      <c r="I12" s="18">
        <f t="shared" si="4"/>
        <v>0</v>
      </c>
      <c r="J12" s="3">
        <v>35.7</v>
      </c>
      <c r="K12" s="3">
        <v>0</v>
      </c>
      <c r="L12" s="18">
        <f t="shared" si="1"/>
        <v>0</v>
      </c>
      <c r="M12" s="3">
        <f t="shared" si="5"/>
        <v>146.2</v>
      </c>
      <c r="N12" s="3">
        <f t="shared" si="6"/>
        <v>119.6</v>
      </c>
      <c r="O12" s="18">
        <f t="shared" si="3"/>
        <v>81.80574555403557</v>
      </c>
      <c r="P12" s="3">
        <v>3</v>
      </c>
      <c r="Q12" s="3">
        <v>58.5</v>
      </c>
      <c r="R12" s="18">
        <f t="shared" si="2"/>
        <v>1950</v>
      </c>
      <c r="S12" s="3">
        <f t="shared" si="7"/>
        <v>149.2</v>
      </c>
      <c r="T12" s="3">
        <f t="shared" si="8"/>
        <v>178.1</v>
      </c>
      <c r="U12" s="18">
        <f aca="true" t="shared" si="11" ref="U12:U22">T12/S12*100</f>
        <v>119.36997319034852</v>
      </c>
      <c r="V12" s="18">
        <f t="shared" si="9"/>
        <v>-28.900000000000006</v>
      </c>
      <c r="W12" s="4">
        <f t="shared" si="10"/>
        <v>90.69999999999996</v>
      </c>
      <c r="X12" s="111"/>
      <c r="Z12" s="24"/>
    </row>
    <row r="13" spans="1:26" ht="24" customHeight="1">
      <c r="A13" s="110">
        <v>6</v>
      </c>
      <c r="B13" s="1" t="s">
        <v>14</v>
      </c>
      <c r="C13" s="2"/>
      <c r="D13" s="3"/>
      <c r="E13" s="3"/>
      <c r="F13" s="18"/>
      <c r="G13" s="3"/>
      <c r="H13" s="3"/>
      <c r="I13" s="18"/>
      <c r="J13" s="3"/>
      <c r="K13" s="3"/>
      <c r="L13" s="18"/>
      <c r="M13" s="3"/>
      <c r="N13" s="3"/>
      <c r="O13" s="18"/>
      <c r="P13" s="3"/>
      <c r="Q13" s="3"/>
      <c r="R13" s="18"/>
      <c r="S13" s="3"/>
      <c r="T13" s="3"/>
      <c r="U13" s="18"/>
      <c r="V13" s="18"/>
      <c r="W13" s="4"/>
      <c r="X13" s="111"/>
      <c r="Z13" s="24"/>
    </row>
    <row r="14" spans="1:26" ht="24" customHeight="1">
      <c r="A14" s="110">
        <v>7</v>
      </c>
      <c r="B14" s="1" t="s">
        <v>15</v>
      </c>
      <c r="C14" s="2"/>
      <c r="D14" s="32"/>
      <c r="E14" s="32"/>
      <c r="F14" s="40"/>
      <c r="G14" s="32"/>
      <c r="H14" s="32"/>
      <c r="I14" s="48"/>
      <c r="J14" s="32"/>
      <c r="K14" s="32"/>
      <c r="L14" s="48"/>
      <c r="M14" s="3"/>
      <c r="N14" s="3"/>
      <c r="O14" s="18"/>
      <c r="P14" s="32"/>
      <c r="Q14" s="32"/>
      <c r="R14" s="48"/>
      <c r="S14" s="3"/>
      <c r="T14" s="3"/>
      <c r="U14" s="48"/>
      <c r="V14" s="18"/>
      <c r="W14" s="4"/>
      <c r="X14" s="111"/>
      <c r="Z14" s="24"/>
    </row>
    <row r="15" spans="1:26" ht="24" customHeight="1">
      <c r="A15" s="110">
        <v>8</v>
      </c>
      <c r="B15" s="1" t="s">
        <v>16</v>
      </c>
      <c r="C15" s="2">
        <v>185.2</v>
      </c>
      <c r="D15" s="3">
        <v>98.2</v>
      </c>
      <c r="E15" s="3">
        <v>82</v>
      </c>
      <c r="F15" s="18">
        <f t="shared" si="0"/>
        <v>83.50305498981669</v>
      </c>
      <c r="G15" s="3">
        <v>81.8</v>
      </c>
      <c r="H15" s="3">
        <v>0</v>
      </c>
      <c r="I15" s="18">
        <f t="shared" si="4"/>
        <v>0</v>
      </c>
      <c r="J15" s="3">
        <v>62.1</v>
      </c>
      <c r="K15" s="3">
        <v>106</v>
      </c>
      <c r="L15" s="18">
        <f aca="true" t="shared" si="12" ref="L15:L21">K15/J15*100</f>
        <v>170.69243156199678</v>
      </c>
      <c r="M15" s="3">
        <f t="shared" si="5"/>
        <v>242.1</v>
      </c>
      <c r="N15" s="3">
        <f t="shared" si="6"/>
        <v>188</v>
      </c>
      <c r="O15" s="18">
        <f t="shared" si="3"/>
        <v>77.65386204047914</v>
      </c>
      <c r="P15" s="3">
        <v>2.4</v>
      </c>
      <c r="Q15" s="3">
        <v>95.4</v>
      </c>
      <c r="R15" s="18">
        <f aca="true" t="shared" si="13" ref="R15:R21">Q15/P15*100</f>
        <v>3975.000000000001</v>
      </c>
      <c r="S15" s="3">
        <f t="shared" si="7"/>
        <v>244.5</v>
      </c>
      <c r="T15" s="3">
        <f t="shared" si="8"/>
        <v>283.4</v>
      </c>
      <c r="U15" s="18">
        <f t="shared" si="11"/>
        <v>115.91002044989773</v>
      </c>
      <c r="V15" s="18">
        <f t="shared" si="9"/>
        <v>-38.89999999999998</v>
      </c>
      <c r="W15" s="4">
        <f t="shared" si="10"/>
        <v>146.3</v>
      </c>
      <c r="X15" s="111"/>
      <c r="Z15" s="24"/>
    </row>
    <row r="16" spans="1:26" ht="24" customHeight="1">
      <c r="A16" s="110">
        <v>9</v>
      </c>
      <c r="B16" s="1" t="s">
        <v>17</v>
      </c>
      <c r="C16" s="2"/>
      <c r="D16" s="32"/>
      <c r="E16" s="32"/>
      <c r="F16" s="48" t="e">
        <f t="shared" si="0"/>
        <v>#DIV/0!</v>
      </c>
      <c r="G16" s="32"/>
      <c r="H16" s="32"/>
      <c r="I16" s="48" t="e">
        <f t="shared" si="4"/>
        <v>#DIV/0!</v>
      </c>
      <c r="J16" s="32"/>
      <c r="K16" s="32"/>
      <c r="L16" s="48" t="e">
        <f t="shared" si="12"/>
        <v>#DIV/0!</v>
      </c>
      <c r="M16" s="3"/>
      <c r="N16" s="3"/>
      <c r="O16" s="18"/>
      <c r="P16" s="32"/>
      <c r="Q16" s="32"/>
      <c r="R16" s="48" t="e">
        <f t="shared" si="13"/>
        <v>#DIV/0!</v>
      </c>
      <c r="S16" s="3"/>
      <c r="T16" s="3"/>
      <c r="U16" s="48" t="e">
        <f t="shared" si="11"/>
        <v>#DIV/0!</v>
      </c>
      <c r="V16" s="18"/>
      <c r="W16" s="4"/>
      <c r="X16" s="111"/>
      <c r="Z16" s="24"/>
    </row>
    <row r="17" spans="1:26" ht="24" customHeight="1">
      <c r="A17" s="110">
        <v>10</v>
      </c>
      <c r="B17" s="20" t="s">
        <v>18</v>
      </c>
      <c r="C17" s="2">
        <v>202.9</v>
      </c>
      <c r="D17" s="3">
        <v>70.8</v>
      </c>
      <c r="E17" s="3">
        <v>56</v>
      </c>
      <c r="F17" s="18">
        <f t="shared" si="0"/>
        <v>79.09604519774011</v>
      </c>
      <c r="G17" s="3">
        <v>63.6</v>
      </c>
      <c r="H17" s="3">
        <v>0</v>
      </c>
      <c r="I17" s="18">
        <f t="shared" si="4"/>
        <v>0</v>
      </c>
      <c r="J17" s="3">
        <v>36.8</v>
      </c>
      <c r="K17" s="3">
        <v>0</v>
      </c>
      <c r="L17" s="18">
        <f t="shared" si="12"/>
        <v>0</v>
      </c>
      <c r="M17" s="3">
        <f t="shared" si="5"/>
        <v>171.2</v>
      </c>
      <c r="N17" s="3">
        <f t="shared" si="6"/>
        <v>56</v>
      </c>
      <c r="O17" s="18">
        <f t="shared" si="3"/>
        <v>32.71028037383178</v>
      </c>
      <c r="P17" s="3">
        <v>3.7</v>
      </c>
      <c r="Q17" s="3">
        <v>19.6</v>
      </c>
      <c r="R17" s="18">
        <f t="shared" si="13"/>
        <v>529.7297297297297</v>
      </c>
      <c r="S17" s="3">
        <f t="shared" si="7"/>
        <v>174.89999999999998</v>
      </c>
      <c r="T17" s="3">
        <f t="shared" si="8"/>
        <v>75.6</v>
      </c>
      <c r="U17" s="18">
        <f t="shared" si="11"/>
        <v>43.22469982847342</v>
      </c>
      <c r="V17" s="18">
        <f t="shared" si="9"/>
        <v>99.29999999999998</v>
      </c>
      <c r="W17" s="4">
        <f t="shared" si="10"/>
        <v>302.19999999999993</v>
      </c>
      <c r="X17" s="111"/>
      <c r="Z17" s="24"/>
    </row>
    <row r="18" spans="1:26" ht="24" customHeight="1">
      <c r="A18" s="110">
        <v>11</v>
      </c>
      <c r="B18" s="20" t="s">
        <v>19</v>
      </c>
      <c r="C18" s="2">
        <v>8.8</v>
      </c>
      <c r="D18" s="3">
        <v>3.8</v>
      </c>
      <c r="E18" s="3">
        <v>4.9</v>
      </c>
      <c r="F18" s="18">
        <f t="shared" si="0"/>
        <v>128.94736842105266</v>
      </c>
      <c r="G18" s="3">
        <v>3.6</v>
      </c>
      <c r="H18" s="3"/>
      <c r="I18" s="18">
        <f t="shared" si="4"/>
        <v>0</v>
      </c>
      <c r="J18" s="3">
        <v>2.5</v>
      </c>
      <c r="K18" s="3">
        <v>3.9</v>
      </c>
      <c r="L18" s="18">
        <f t="shared" si="12"/>
        <v>156</v>
      </c>
      <c r="M18" s="3">
        <f t="shared" si="5"/>
        <v>9.9</v>
      </c>
      <c r="N18" s="3">
        <f t="shared" si="6"/>
        <v>8.8</v>
      </c>
      <c r="O18" s="18">
        <f t="shared" si="3"/>
        <v>88.8888888888889</v>
      </c>
      <c r="P18" s="3">
        <v>0</v>
      </c>
      <c r="Q18" s="3">
        <v>9.9</v>
      </c>
      <c r="R18" s="40" t="e">
        <f t="shared" si="13"/>
        <v>#DIV/0!</v>
      </c>
      <c r="S18" s="3">
        <f t="shared" si="7"/>
        <v>9.9</v>
      </c>
      <c r="T18" s="3">
        <f t="shared" si="8"/>
        <v>18.700000000000003</v>
      </c>
      <c r="U18" s="18">
        <f t="shared" si="11"/>
        <v>188.8888888888889</v>
      </c>
      <c r="V18" s="18">
        <f t="shared" si="9"/>
        <v>-8.800000000000002</v>
      </c>
      <c r="W18" s="4">
        <f t="shared" si="10"/>
        <v>0</v>
      </c>
      <c r="X18" s="111"/>
      <c r="Z18" s="24"/>
    </row>
    <row r="19" spans="1:26" ht="24" customHeight="1">
      <c r="A19" s="110">
        <v>12</v>
      </c>
      <c r="B19" s="1" t="s">
        <v>20</v>
      </c>
      <c r="C19" s="2">
        <v>84</v>
      </c>
      <c r="D19" s="3">
        <v>58.3</v>
      </c>
      <c r="E19" s="3">
        <v>42.8</v>
      </c>
      <c r="F19" s="18">
        <f t="shared" si="0"/>
        <v>73.41337907375643</v>
      </c>
      <c r="G19" s="3">
        <v>51.6</v>
      </c>
      <c r="H19" s="3">
        <v>0</v>
      </c>
      <c r="I19" s="18">
        <f t="shared" si="4"/>
        <v>0</v>
      </c>
      <c r="J19" s="3">
        <v>37.7</v>
      </c>
      <c r="K19" s="3">
        <v>41.2</v>
      </c>
      <c r="L19" s="18">
        <f t="shared" si="12"/>
        <v>109.28381962864722</v>
      </c>
      <c r="M19" s="3">
        <f t="shared" si="5"/>
        <v>147.60000000000002</v>
      </c>
      <c r="N19" s="3">
        <f t="shared" si="6"/>
        <v>84</v>
      </c>
      <c r="O19" s="18">
        <f t="shared" si="3"/>
        <v>56.910569105691046</v>
      </c>
      <c r="P19" s="3">
        <v>0</v>
      </c>
      <c r="Q19" s="3">
        <v>0</v>
      </c>
      <c r="R19" s="40" t="e">
        <f t="shared" si="13"/>
        <v>#DIV/0!</v>
      </c>
      <c r="S19" s="3">
        <f t="shared" si="7"/>
        <v>147.60000000000002</v>
      </c>
      <c r="T19" s="3">
        <f t="shared" si="8"/>
        <v>84</v>
      </c>
      <c r="U19" s="18">
        <f t="shared" si="11"/>
        <v>56.910569105691046</v>
      </c>
      <c r="V19" s="18">
        <f t="shared" si="9"/>
        <v>63.60000000000002</v>
      </c>
      <c r="W19" s="4">
        <f t="shared" si="10"/>
        <v>147.60000000000002</v>
      </c>
      <c r="X19" s="111"/>
      <c r="Z19" s="24"/>
    </row>
    <row r="20" spans="1:26" ht="24" customHeight="1">
      <c r="A20" s="110">
        <v>13</v>
      </c>
      <c r="B20" s="20" t="s">
        <v>21</v>
      </c>
      <c r="C20" s="2"/>
      <c r="D20" s="32"/>
      <c r="E20" s="32"/>
      <c r="F20" s="48" t="e">
        <f t="shared" si="0"/>
        <v>#DIV/0!</v>
      </c>
      <c r="G20" s="32"/>
      <c r="H20" s="32"/>
      <c r="I20" s="48" t="e">
        <f t="shared" si="4"/>
        <v>#DIV/0!</v>
      </c>
      <c r="J20" s="32"/>
      <c r="K20" s="32"/>
      <c r="L20" s="48" t="e">
        <f t="shared" si="12"/>
        <v>#DIV/0!</v>
      </c>
      <c r="M20" s="3"/>
      <c r="N20" s="3"/>
      <c r="O20" s="18"/>
      <c r="P20" s="32"/>
      <c r="Q20" s="32"/>
      <c r="R20" s="48" t="e">
        <f t="shared" si="13"/>
        <v>#DIV/0!</v>
      </c>
      <c r="S20" s="3"/>
      <c r="T20" s="3"/>
      <c r="U20" s="48" t="e">
        <f t="shared" si="11"/>
        <v>#DIV/0!</v>
      </c>
      <c r="V20" s="18"/>
      <c r="W20" s="4"/>
      <c r="X20" s="111"/>
      <c r="Z20" s="24"/>
    </row>
    <row r="21" spans="1:26" ht="24" customHeight="1">
      <c r="A21" s="110">
        <v>14</v>
      </c>
      <c r="B21" s="20" t="s">
        <v>22</v>
      </c>
      <c r="C21" s="2"/>
      <c r="D21" s="32"/>
      <c r="E21" s="32"/>
      <c r="F21" s="48" t="e">
        <f t="shared" si="0"/>
        <v>#DIV/0!</v>
      </c>
      <c r="G21" s="32"/>
      <c r="H21" s="32"/>
      <c r="I21" s="48" t="e">
        <f t="shared" si="4"/>
        <v>#DIV/0!</v>
      </c>
      <c r="J21" s="32"/>
      <c r="K21" s="32"/>
      <c r="L21" s="48" t="e">
        <f t="shared" si="12"/>
        <v>#DIV/0!</v>
      </c>
      <c r="M21" s="3"/>
      <c r="N21" s="3"/>
      <c r="O21" s="18"/>
      <c r="P21" s="32"/>
      <c r="Q21" s="32"/>
      <c r="R21" s="48" t="e">
        <f t="shared" si="13"/>
        <v>#DIV/0!</v>
      </c>
      <c r="S21" s="3"/>
      <c r="T21" s="3"/>
      <c r="U21" s="48" t="e">
        <f t="shared" si="11"/>
        <v>#DIV/0!</v>
      </c>
      <c r="V21" s="18"/>
      <c r="W21" s="4"/>
      <c r="X21" s="111"/>
      <c r="Z21" s="24"/>
    </row>
    <row r="22" spans="1:26" ht="36.75" customHeight="1">
      <c r="A22" s="110">
        <v>15</v>
      </c>
      <c r="B22" s="20" t="s">
        <v>23</v>
      </c>
      <c r="C22" s="2"/>
      <c r="D22" s="32"/>
      <c r="E22" s="32"/>
      <c r="F22" s="48" t="e">
        <f t="shared" si="0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 t="e">
        <f>Q22/P22*100</f>
        <v>#DIV/0!</v>
      </c>
      <c r="S22" s="3"/>
      <c r="T22" s="3"/>
      <c r="U22" s="48" t="e">
        <f t="shared" si="11"/>
        <v>#DIV/0!</v>
      </c>
      <c r="V22" s="18"/>
      <c r="W22" s="4"/>
      <c r="X22" s="111"/>
      <c r="Z22" s="24"/>
    </row>
    <row r="23" spans="1:26" ht="24" customHeight="1">
      <c r="A23" s="110">
        <v>16</v>
      </c>
      <c r="B23" s="20" t="s">
        <v>8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3"/>
      <c r="N23" s="3"/>
      <c r="O23" s="18"/>
      <c r="P23" s="102"/>
      <c r="Q23" s="102"/>
      <c r="R23" s="102"/>
      <c r="S23" s="3"/>
      <c r="T23" s="3"/>
      <c r="U23" s="102"/>
      <c r="V23" s="18"/>
      <c r="W23" s="4"/>
      <c r="X23" s="111"/>
      <c r="Z23" s="24"/>
    </row>
    <row r="24" spans="1:26" ht="36.75" customHeight="1">
      <c r="A24" s="110">
        <v>17</v>
      </c>
      <c r="B24" s="20" t="s">
        <v>24</v>
      </c>
      <c r="C24" s="2">
        <v>477.7</v>
      </c>
      <c r="D24" s="3">
        <v>169.7</v>
      </c>
      <c r="E24" s="3">
        <v>299.1</v>
      </c>
      <c r="F24" s="18">
        <f t="shared" si="0"/>
        <v>176.25220978196822</v>
      </c>
      <c r="G24" s="3">
        <v>156.9</v>
      </c>
      <c r="H24" s="3">
        <v>0</v>
      </c>
      <c r="I24" s="18">
        <f>H24/G24*100</f>
        <v>0</v>
      </c>
      <c r="J24" s="3">
        <v>89</v>
      </c>
      <c r="K24" s="3">
        <v>174.1</v>
      </c>
      <c r="L24" s="18">
        <f>K24/J24*100</f>
        <v>195.61797752808988</v>
      </c>
      <c r="M24" s="3">
        <f t="shared" si="5"/>
        <v>415.6</v>
      </c>
      <c r="N24" s="3">
        <f t="shared" si="6"/>
        <v>473.20000000000005</v>
      </c>
      <c r="O24" s="18">
        <f t="shared" si="3"/>
        <v>113.8594802694899</v>
      </c>
      <c r="P24" s="3">
        <v>1.7</v>
      </c>
      <c r="Q24" s="3">
        <v>0</v>
      </c>
      <c r="R24" s="18">
        <f>Q24/P24*100</f>
        <v>0</v>
      </c>
      <c r="S24" s="3">
        <f t="shared" si="7"/>
        <v>417.3</v>
      </c>
      <c r="T24" s="3">
        <f t="shared" si="8"/>
        <v>473.20000000000005</v>
      </c>
      <c r="U24" s="18">
        <f>T24/S24*100</f>
        <v>113.3956386292835</v>
      </c>
      <c r="V24" s="18">
        <f t="shared" si="9"/>
        <v>-55.900000000000034</v>
      </c>
      <c r="W24" s="4">
        <f t="shared" si="10"/>
        <v>421.79999999999995</v>
      </c>
      <c r="X24" s="111"/>
      <c r="Z24" s="24"/>
    </row>
    <row r="25" spans="1:26" ht="24" customHeight="1">
      <c r="A25" s="110">
        <v>18</v>
      </c>
      <c r="B25" s="1" t="s">
        <v>25</v>
      </c>
      <c r="C25" s="2"/>
      <c r="D25" s="32"/>
      <c r="E25" s="32"/>
      <c r="F25" s="48" t="e">
        <f t="shared" si="0"/>
        <v>#DIV/0!</v>
      </c>
      <c r="G25" s="32"/>
      <c r="H25" s="32"/>
      <c r="I25" s="48" t="e">
        <f>H25/G25*100</f>
        <v>#DIV/0!</v>
      </c>
      <c r="J25" s="32"/>
      <c r="K25" s="32"/>
      <c r="L25" s="48" t="e">
        <f>K25/J25*100</f>
        <v>#DIV/0!</v>
      </c>
      <c r="M25" s="3"/>
      <c r="N25" s="3"/>
      <c r="O25" s="18"/>
      <c r="P25" s="32"/>
      <c r="Q25" s="32"/>
      <c r="R25" s="48" t="e">
        <f>Q25/P25*100</f>
        <v>#DIV/0!</v>
      </c>
      <c r="S25" s="3"/>
      <c r="T25" s="3"/>
      <c r="U25" s="48"/>
      <c r="V25" s="18"/>
      <c r="W25" s="4"/>
      <c r="X25" s="111"/>
      <c r="Z25" s="24"/>
    </row>
    <row r="26" spans="1:26" ht="24" customHeight="1">
      <c r="A26" s="110">
        <v>19</v>
      </c>
      <c r="B26" s="20" t="s">
        <v>26</v>
      </c>
      <c r="C26" s="2">
        <v>139</v>
      </c>
      <c r="D26" s="3">
        <v>51.6</v>
      </c>
      <c r="E26" s="3">
        <v>40.4</v>
      </c>
      <c r="F26" s="18">
        <f t="shared" si="0"/>
        <v>78.29457364341084</v>
      </c>
      <c r="G26" s="3">
        <v>49.1</v>
      </c>
      <c r="H26" s="3">
        <v>0</v>
      </c>
      <c r="I26" s="18">
        <f>H26/G26*100</f>
        <v>0</v>
      </c>
      <c r="J26" s="3">
        <v>22.8</v>
      </c>
      <c r="K26" s="3">
        <v>0</v>
      </c>
      <c r="L26" s="18">
        <f>K26/J26*100</f>
        <v>0</v>
      </c>
      <c r="M26" s="3">
        <f t="shared" si="5"/>
        <v>123.5</v>
      </c>
      <c r="N26" s="3">
        <f t="shared" si="6"/>
        <v>40.4</v>
      </c>
      <c r="O26" s="18">
        <f t="shared" si="3"/>
        <v>32.71255060728745</v>
      </c>
      <c r="P26" s="3">
        <v>-2</v>
      </c>
      <c r="Q26" s="3">
        <v>115</v>
      </c>
      <c r="R26" s="18">
        <f>Q26/P26*100</f>
        <v>-5750</v>
      </c>
      <c r="S26" s="3">
        <f t="shared" si="7"/>
        <v>121.5</v>
      </c>
      <c r="T26" s="3">
        <f t="shared" si="8"/>
        <v>155.4</v>
      </c>
      <c r="U26" s="18">
        <f>T26/S26*100</f>
        <v>127.90123456790124</v>
      </c>
      <c r="V26" s="18">
        <f t="shared" si="9"/>
        <v>-33.900000000000006</v>
      </c>
      <c r="W26" s="4">
        <f t="shared" si="10"/>
        <v>105.1</v>
      </c>
      <c r="X26" s="111"/>
      <c r="Z26" s="24"/>
    </row>
    <row r="27" spans="1:26" ht="36.75" customHeight="1">
      <c r="A27" s="110">
        <v>20</v>
      </c>
      <c r="B27" s="20" t="s">
        <v>93</v>
      </c>
      <c r="C27" s="2">
        <v>173.3</v>
      </c>
      <c r="D27" s="3">
        <v>76.8</v>
      </c>
      <c r="E27" s="3">
        <v>173.3</v>
      </c>
      <c r="F27" s="18">
        <f t="shared" si="0"/>
        <v>225.65104166666669</v>
      </c>
      <c r="G27" s="3">
        <v>89.4</v>
      </c>
      <c r="H27" s="3">
        <v>0</v>
      </c>
      <c r="I27" s="18">
        <f>H27/G27*100</f>
        <v>0</v>
      </c>
      <c r="J27" s="3">
        <v>47.8</v>
      </c>
      <c r="K27" s="3">
        <v>166.2</v>
      </c>
      <c r="L27" s="18">
        <f>K27/J27*100</f>
        <v>347.69874476987445</v>
      </c>
      <c r="M27" s="3">
        <f t="shared" si="5"/>
        <v>214</v>
      </c>
      <c r="N27" s="3">
        <f t="shared" si="6"/>
        <v>339.5</v>
      </c>
      <c r="O27" s="18">
        <f t="shared" si="3"/>
        <v>158.6448598130841</v>
      </c>
      <c r="P27" s="3">
        <v>-1.1</v>
      </c>
      <c r="Q27" s="3">
        <v>44.7</v>
      </c>
      <c r="R27" s="18">
        <f>Q27/P27*100</f>
        <v>-4063.6363636363635</v>
      </c>
      <c r="S27" s="3">
        <f t="shared" si="7"/>
        <v>212.9</v>
      </c>
      <c r="T27" s="3">
        <f t="shared" si="8"/>
        <v>384.2</v>
      </c>
      <c r="U27" s="18">
        <f>T27/S27*100</f>
        <v>180.46031000469702</v>
      </c>
      <c r="V27" s="18">
        <f t="shared" si="9"/>
        <v>-171.29999999999998</v>
      </c>
      <c r="W27" s="4">
        <f t="shared" si="10"/>
        <v>2.000000000000057</v>
      </c>
      <c r="X27" s="111"/>
      <c r="Z27" s="24"/>
    </row>
    <row r="28" spans="1:26" ht="36.75" customHeight="1">
      <c r="A28" s="110">
        <v>21</v>
      </c>
      <c r="B28" s="1" t="s">
        <v>27</v>
      </c>
      <c r="C28" s="2"/>
      <c r="D28" s="56"/>
      <c r="E28" s="56"/>
      <c r="F28" s="18"/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 t="e">
        <f>Q28/P28*100</f>
        <v>#DIV/0!</v>
      </c>
      <c r="S28" s="3"/>
      <c r="T28" s="3"/>
      <c r="U28" s="18"/>
      <c r="V28" s="18"/>
      <c r="W28" s="4"/>
      <c r="X28" s="111"/>
      <c r="Z28" s="24"/>
    </row>
    <row r="29" spans="1:26" ht="24" customHeight="1">
      <c r="A29" s="110">
        <v>22</v>
      </c>
      <c r="B29" s="1" t="s">
        <v>2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3"/>
      <c r="N29" s="3"/>
      <c r="O29" s="18"/>
      <c r="P29" s="48"/>
      <c r="Q29" s="48"/>
      <c r="R29" s="48"/>
      <c r="S29" s="3"/>
      <c r="T29" s="3"/>
      <c r="U29" s="48"/>
      <c r="V29" s="18"/>
      <c r="W29" s="4"/>
      <c r="X29" s="111"/>
      <c r="Z29" s="24"/>
    </row>
    <row r="30" spans="1:26" ht="24" customHeight="1">
      <c r="A30" s="110">
        <v>23</v>
      </c>
      <c r="B30" s="20" t="s">
        <v>3</v>
      </c>
      <c r="C30" s="2"/>
      <c r="D30" s="32"/>
      <c r="E30" s="32"/>
      <c r="F30" s="48" t="e">
        <f t="shared" si="0"/>
        <v>#DIV/0!</v>
      </c>
      <c r="G30" s="32"/>
      <c r="H30" s="32"/>
      <c r="I30" s="48" t="e">
        <f>H30/G30*100</f>
        <v>#DIV/0!</v>
      </c>
      <c r="J30" s="32"/>
      <c r="K30" s="32"/>
      <c r="L30" s="48" t="e">
        <f>K30/J30*100</f>
        <v>#DIV/0!</v>
      </c>
      <c r="M30" s="3"/>
      <c r="N30" s="3"/>
      <c r="O30" s="18"/>
      <c r="P30" s="32"/>
      <c r="Q30" s="32"/>
      <c r="R30" s="48" t="e">
        <f>Q30/P30*100</f>
        <v>#DIV/0!</v>
      </c>
      <c r="S30" s="3"/>
      <c r="T30" s="3"/>
      <c r="U30" s="58"/>
      <c r="V30" s="18"/>
      <c r="W30" s="4"/>
      <c r="X30" s="111"/>
      <c r="Z30" s="24"/>
    </row>
    <row r="31" spans="1:26" ht="24" customHeight="1">
      <c r="A31" s="110">
        <v>24</v>
      </c>
      <c r="B31" s="20" t="s">
        <v>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3"/>
      <c r="N31" s="3"/>
      <c r="O31" s="18"/>
      <c r="P31" s="48"/>
      <c r="Q31" s="48"/>
      <c r="R31" s="48"/>
      <c r="S31" s="3"/>
      <c r="T31" s="3"/>
      <c r="U31" s="48"/>
      <c r="V31" s="18"/>
      <c r="W31" s="4"/>
      <c r="X31" s="111"/>
      <c r="Z31" s="24"/>
    </row>
    <row r="32" spans="1:26" ht="24" customHeight="1">
      <c r="A32" s="110">
        <v>25</v>
      </c>
      <c r="B32" s="20" t="s">
        <v>11</v>
      </c>
      <c r="C32" s="2"/>
      <c r="D32" s="32"/>
      <c r="E32" s="32"/>
      <c r="F32" s="48" t="e">
        <f t="shared" si="0"/>
        <v>#DIV/0!</v>
      </c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"/>
      <c r="T32" s="3"/>
      <c r="U32" s="48"/>
      <c r="V32" s="18"/>
      <c r="W32" s="4"/>
      <c r="X32" s="111"/>
      <c r="Z32" s="24"/>
    </row>
    <row r="33" spans="1:26" ht="24" customHeight="1">
      <c r="A33" s="110"/>
      <c r="B33" s="20" t="s">
        <v>105</v>
      </c>
      <c r="C33" s="2">
        <v>601.3</v>
      </c>
      <c r="D33" s="3">
        <v>340.4</v>
      </c>
      <c r="E33" s="3">
        <v>303.2</v>
      </c>
      <c r="F33" s="18">
        <f t="shared" si="0"/>
        <v>89.07168037602821</v>
      </c>
      <c r="G33" s="3">
        <v>272.5</v>
      </c>
      <c r="H33" s="3">
        <v>1.2</v>
      </c>
      <c r="I33" s="18">
        <f aca="true" t="shared" si="14" ref="I33:I45">H33/G33*100</f>
        <v>0.4403669724770642</v>
      </c>
      <c r="J33" s="3">
        <v>43.1</v>
      </c>
      <c r="K33" s="3">
        <v>290.6</v>
      </c>
      <c r="L33" s="18">
        <f aca="true" t="shared" si="15" ref="L33:L39">K33/J33*100</f>
        <v>674.245939675174</v>
      </c>
      <c r="M33" s="3">
        <f t="shared" si="5"/>
        <v>656</v>
      </c>
      <c r="N33" s="3">
        <f t="shared" si="6"/>
        <v>595</v>
      </c>
      <c r="O33" s="18">
        <f t="shared" si="3"/>
        <v>90.70121951219512</v>
      </c>
      <c r="P33" s="3">
        <v>0.9</v>
      </c>
      <c r="Q33" s="3">
        <v>281.4</v>
      </c>
      <c r="R33" s="18">
        <f aca="true" t="shared" si="16" ref="R33:R39">Q33/P33*100</f>
        <v>31266.666666666664</v>
      </c>
      <c r="S33" s="3">
        <f t="shared" si="7"/>
        <v>656.9</v>
      </c>
      <c r="T33" s="3">
        <f t="shared" si="8"/>
        <v>876.4</v>
      </c>
      <c r="U33" s="18">
        <f>T33/S33*100</f>
        <v>133.41452275841073</v>
      </c>
      <c r="V33" s="18">
        <f t="shared" si="9"/>
        <v>-219.5</v>
      </c>
      <c r="W33" s="4">
        <f t="shared" si="10"/>
        <v>381.79999999999984</v>
      </c>
      <c r="X33" s="111"/>
      <c r="Z33" s="24"/>
    </row>
    <row r="34" spans="1:26" ht="24.75" customHeight="1">
      <c r="A34" s="112"/>
      <c r="B34" s="20" t="s">
        <v>43</v>
      </c>
      <c r="C34" s="2"/>
      <c r="D34" s="32"/>
      <c r="E34" s="32"/>
      <c r="F34" s="48" t="e">
        <f t="shared" si="0"/>
        <v>#DIV/0!</v>
      </c>
      <c r="G34" s="3"/>
      <c r="H34" s="3"/>
      <c r="I34" s="48" t="e">
        <f t="shared" si="14"/>
        <v>#DIV/0!</v>
      </c>
      <c r="J34" s="3"/>
      <c r="K34" s="3"/>
      <c r="L34" s="48" t="e">
        <f t="shared" si="15"/>
        <v>#DIV/0!</v>
      </c>
      <c r="M34" s="3"/>
      <c r="N34" s="3"/>
      <c r="O34" s="18"/>
      <c r="P34" s="3"/>
      <c r="Q34" s="3"/>
      <c r="R34" s="48" t="e">
        <f t="shared" si="16"/>
        <v>#DIV/0!</v>
      </c>
      <c r="S34" s="3"/>
      <c r="T34" s="3"/>
      <c r="U34" s="18"/>
      <c r="V34" s="18"/>
      <c r="W34" s="4"/>
      <c r="X34" s="111"/>
      <c r="Z34" s="24"/>
    </row>
    <row r="35" spans="1:26" ht="35.25" customHeight="1">
      <c r="A35" s="110">
        <v>26</v>
      </c>
      <c r="B35" s="20" t="s">
        <v>94</v>
      </c>
      <c r="C35" s="2">
        <v>592.6</v>
      </c>
      <c r="D35" s="3">
        <f>91+142.7</f>
        <v>233.7</v>
      </c>
      <c r="E35" s="3">
        <f>78.1+101.1</f>
        <v>179.2</v>
      </c>
      <c r="F35" s="18">
        <f t="shared" si="0"/>
        <v>76.67950363714164</v>
      </c>
      <c r="G35" s="3">
        <f>113.9+106</f>
        <v>219.9</v>
      </c>
      <c r="H35" s="3">
        <f>0</f>
        <v>0</v>
      </c>
      <c r="I35" s="18">
        <f t="shared" si="14"/>
        <v>0</v>
      </c>
      <c r="J35" s="3">
        <v>163.8</v>
      </c>
      <c r="K35" s="3">
        <v>175.2</v>
      </c>
      <c r="L35" s="18">
        <f t="shared" si="15"/>
        <v>106.95970695970693</v>
      </c>
      <c r="M35" s="3">
        <f t="shared" si="5"/>
        <v>617.4000000000001</v>
      </c>
      <c r="N35" s="3">
        <f t="shared" si="6"/>
        <v>354.4</v>
      </c>
      <c r="O35" s="18">
        <f t="shared" si="3"/>
        <v>57.40200842241657</v>
      </c>
      <c r="P35" s="3">
        <v>-3.1</v>
      </c>
      <c r="Q35" s="3">
        <v>34.8</v>
      </c>
      <c r="R35" s="18">
        <f t="shared" si="16"/>
        <v>-1122.5806451612902</v>
      </c>
      <c r="S35" s="3">
        <f t="shared" si="7"/>
        <v>614.3000000000001</v>
      </c>
      <c r="T35" s="3">
        <f t="shared" si="8"/>
        <v>389.2</v>
      </c>
      <c r="U35" s="18">
        <f aca="true" t="shared" si="17" ref="U35:U44">T35/S35*100</f>
        <v>63.35666612404361</v>
      </c>
      <c r="V35" s="18">
        <f t="shared" si="9"/>
        <v>225.10000000000008</v>
      </c>
      <c r="W35" s="4">
        <f t="shared" si="10"/>
        <v>817.7</v>
      </c>
      <c r="X35" s="111"/>
      <c r="Z35" s="24"/>
    </row>
    <row r="36" spans="1:26" ht="24" customHeight="1">
      <c r="A36" s="110">
        <v>27</v>
      </c>
      <c r="B36" s="1" t="s">
        <v>28</v>
      </c>
      <c r="C36" s="2">
        <v>2.8</v>
      </c>
      <c r="D36" s="3">
        <v>1.3</v>
      </c>
      <c r="E36" s="3">
        <v>0</v>
      </c>
      <c r="F36" s="18">
        <f t="shared" si="0"/>
        <v>0</v>
      </c>
      <c r="G36" s="3">
        <v>1.3</v>
      </c>
      <c r="H36" s="3">
        <v>0</v>
      </c>
      <c r="I36" s="18">
        <f t="shared" si="14"/>
        <v>0</v>
      </c>
      <c r="J36" s="3">
        <v>0.9</v>
      </c>
      <c r="K36" s="3">
        <v>0</v>
      </c>
      <c r="L36" s="18">
        <f t="shared" si="15"/>
        <v>0</v>
      </c>
      <c r="M36" s="3">
        <f t="shared" si="5"/>
        <v>3.5</v>
      </c>
      <c r="N36" s="3">
        <f t="shared" si="6"/>
        <v>0</v>
      </c>
      <c r="O36" s="18">
        <f t="shared" si="3"/>
        <v>0</v>
      </c>
      <c r="P36" s="3">
        <v>0</v>
      </c>
      <c r="Q36" s="3">
        <v>0.4</v>
      </c>
      <c r="R36" s="40" t="e">
        <f t="shared" si="16"/>
        <v>#DIV/0!</v>
      </c>
      <c r="S36" s="3">
        <f t="shared" si="7"/>
        <v>3.5</v>
      </c>
      <c r="T36" s="3">
        <f t="shared" si="8"/>
        <v>0.4</v>
      </c>
      <c r="U36" s="18">
        <f t="shared" si="17"/>
        <v>11.428571428571429</v>
      </c>
      <c r="V36" s="18">
        <f t="shared" si="9"/>
        <v>3.1</v>
      </c>
      <c r="W36" s="4">
        <f t="shared" si="10"/>
        <v>5.8999999999999995</v>
      </c>
      <c r="X36" s="111"/>
      <c r="Z36" s="24"/>
    </row>
    <row r="37" spans="1:26" ht="24" customHeight="1">
      <c r="A37" s="110">
        <v>28</v>
      </c>
      <c r="B37" s="20" t="s">
        <v>29</v>
      </c>
      <c r="C37" s="2">
        <v>826.2</v>
      </c>
      <c r="D37" s="3">
        <v>289.4</v>
      </c>
      <c r="E37" s="3">
        <v>538.9</v>
      </c>
      <c r="F37" s="18">
        <f t="shared" si="0"/>
        <v>186.21285418106427</v>
      </c>
      <c r="G37" s="3">
        <v>274.7</v>
      </c>
      <c r="H37" s="3">
        <v>287.2</v>
      </c>
      <c r="I37" s="18">
        <f t="shared" si="14"/>
        <v>104.55041863851476</v>
      </c>
      <c r="J37" s="3">
        <v>179.9</v>
      </c>
      <c r="K37" s="3">
        <v>0</v>
      </c>
      <c r="L37" s="18">
        <f t="shared" si="15"/>
        <v>0</v>
      </c>
      <c r="M37" s="3">
        <f t="shared" si="5"/>
        <v>743.9999999999999</v>
      </c>
      <c r="N37" s="3">
        <f t="shared" si="6"/>
        <v>826.0999999999999</v>
      </c>
      <c r="O37" s="18">
        <f t="shared" si="3"/>
        <v>111.03494623655914</v>
      </c>
      <c r="P37" s="3">
        <v>22.8</v>
      </c>
      <c r="Q37" s="3">
        <v>289.4</v>
      </c>
      <c r="R37" s="18">
        <f t="shared" si="16"/>
        <v>1269.2982456140348</v>
      </c>
      <c r="S37" s="3">
        <f t="shared" si="7"/>
        <v>766.7999999999998</v>
      </c>
      <c r="T37" s="3">
        <f t="shared" si="8"/>
        <v>1115.5</v>
      </c>
      <c r="U37" s="18">
        <f t="shared" si="17"/>
        <v>145.47470005216488</v>
      </c>
      <c r="V37" s="18">
        <f t="shared" si="9"/>
        <v>-348.70000000000016</v>
      </c>
      <c r="W37" s="4">
        <f t="shared" si="10"/>
        <v>477.5</v>
      </c>
      <c r="X37" s="111"/>
      <c r="Z37" s="24"/>
    </row>
    <row r="38" spans="1:26" ht="24" customHeight="1">
      <c r="A38" s="110">
        <v>29</v>
      </c>
      <c r="B38" s="20" t="s">
        <v>30</v>
      </c>
      <c r="C38" s="2">
        <v>596.9</v>
      </c>
      <c r="D38" s="3">
        <v>342.4</v>
      </c>
      <c r="E38" s="3">
        <v>193.2</v>
      </c>
      <c r="F38" s="18">
        <f t="shared" si="0"/>
        <v>56.425233644859816</v>
      </c>
      <c r="G38" s="3">
        <v>308.8</v>
      </c>
      <c r="H38" s="3">
        <v>0</v>
      </c>
      <c r="I38" s="18">
        <f t="shared" si="14"/>
        <v>0</v>
      </c>
      <c r="J38" s="3">
        <v>191.3</v>
      </c>
      <c r="K38" s="3">
        <v>0</v>
      </c>
      <c r="L38" s="18">
        <f t="shared" si="15"/>
        <v>0</v>
      </c>
      <c r="M38" s="3">
        <f t="shared" si="5"/>
        <v>842.5</v>
      </c>
      <c r="N38" s="3">
        <f t="shared" si="6"/>
        <v>193.2</v>
      </c>
      <c r="O38" s="18">
        <f t="shared" si="3"/>
        <v>22.931750741839764</v>
      </c>
      <c r="P38" s="3">
        <v>9.4</v>
      </c>
      <c r="Q38" s="3">
        <v>58.4</v>
      </c>
      <c r="R38" s="18">
        <f t="shared" si="16"/>
        <v>621.2765957446808</v>
      </c>
      <c r="S38" s="3">
        <f t="shared" si="7"/>
        <v>851.9</v>
      </c>
      <c r="T38" s="3">
        <f t="shared" si="8"/>
        <v>251.6</v>
      </c>
      <c r="U38" s="18">
        <f t="shared" si="17"/>
        <v>29.533982861838243</v>
      </c>
      <c r="V38" s="18">
        <f t="shared" si="9"/>
        <v>600.3</v>
      </c>
      <c r="W38" s="4">
        <f t="shared" si="10"/>
        <v>1197.2</v>
      </c>
      <c r="X38" s="111"/>
      <c r="Z38" s="24"/>
    </row>
    <row r="39" spans="1:26" ht="36.75" customHeight="1">
      <c r="A39" s="110">
        <v>30</v>
      </c>
      <c r="B39" s="20" t="s">
        <v>95</v>
      </c>
      <c r="C39" s="2">
        <v>1571</v>
      </c>
      <c r="D39" s="3">
        <v>712.4</v>
      </c>
      <c r="E39" s="3">
        <v>1571</v>
      </c>
      <c r="F39" s="18">
        <f t="shared" si="0"/>
        <v>220.52217855137565</v>
      </c>
      <c r="G39" s="3">
        <v>810.8</v>
      </c>
      <c r="H39" s="3">
        <v>0</v>
      </c>
      <c r="I39" s="18">
        <f t="shared" si="14"/>
        <v>0</v>
      </c>
      <c r="J39" s="3">
        <v>461</v>
      </c>
      <c r="K39" s="3">
        <v>524.2</v>
      </c>
      <c r="L39" s="18">
        <f t="shared" si="15"/>
        <v>113.70932754880695</v>
      </c>
      <c r="M39" s="3">
        <f t="shared" si="5"/>
        <v>1984.1999999999998</v>
      </c>
      <c r="N39" s="3">
        <f t="shared" si="6"/>
        <v>2095.2</v>
      </c>
      <c r="O39" s="18">
        <f t="shared" si="3"/>
        <v>105.59419413365588</v>
      </c>
      <c r="P39" s="3">
        <v>49</v>
      </c>
      <c r="Q39" s="3">
        <v>999.1</v>
      </c>
      <c r="R39" s="18">
        <f t="shared" si="16"/>
        <v>2038.9795918367347</v>
      </c>
      <c r="S39" s="3">
        <f t="shared" si="7"/>
        <v>2033.1999999999998</v>
      </c>
      <c r="T39" s="3">
        <f t="shared" si="8"/>
        <v>3094.2999999999997</v>
      </c>
      <c r="U39" s="18">
        <f t="shared" si="17"/>
        <v>152.18866810938422</v>
      </c>
      <c r="V39" s="18">
        <f t="shared" si="9"/>
        <v>-1061.1</v>
      </c>
      <c r="W39" s="4">
        <f t="shared" si="10"/>
        <v>509.9000000000001</v>
      </c>
      <c r="X39" s="111"/>
      <c r="Z39" s="24"/>
    </row>
    <row r="40" spans="1:26" ht="24" customHeight="1">
      <c r="A40" s="110">
        <v>31</v>
      </c>
      <c r="B40" s="20" t="s">
        <v>31</v>
      </c>
      <c r="C40" s="2"/>
      <c r="D40" s="3"/>
      <c r="E40" s="3"/>
      <c r="F40" s="40"/>
      <c r="G40" s="3"/>
      <c r="H40" s="3"/>
      <c r="I40" s="40"/>
      <c r="J40" s="3"/>
      <c r="K40" s="3"/>
      <c r="L40" s="40"/>
      <c r="M40" s="3"/>
      <c r="N40" s="3"/>
      <c r="O40" s="18"/>
      <c r="P40" s="3"/>
      <c r="Q40" s="3"/>
      <c r="R40" s="40"/>
      <c r="S40" s="3"/>
      <c r="T40" s="3"/>
      <c r="U40" s="40"/>
      <c r="V40" s="18">
        <f t="shared" si="9"/>
        <v>0</v>
      </c>
      <c r="W40" s="4">
        <f t="shared" si="10"/>
        <v>0</v>
      </c>
      <c r="X40" s="111"/>
      <c r="Z40" s="24"/>
    </row>
    <row r="41" spans="1:26" ht="37.5">
      <c r="A41" s="110">
        <v>32</v>
      </c>
      <c r="B41" s="1" t="s">
        <v>32</v>
      </c>
      <c r="C41" s="2">
        <v>897.7</v>
      </c>
      <c r="D41" s="3">
        <v>375.1</v>
      </c>
      <c r="E41" s="3">
        <v>901.5</v>
      </c>
      <c r="F41" s="18">
        <f t="shared" si="0"/>
        <v>240.33591042388696</v>
      </c>
      <c r="G41" s="3">
        <v>341.6</v>
      </c>
      <c r="H41" s="3">
        <v>356.3</v>
      </c>
      <c r="I41" s="18">
        <f t="shared" si="14"/>
        <v>104.30327868852459</v>
      </c>
      <c r="J41" s="3">
        <v>212.9</v>
      </c>
      <c r="K41" s="3">
        <v>0</v>
      </c>
      <c r="L41" s="18">
        <f>K41/J41*100</f>
        <v>0</v>
      </c>
      <c r="M41" s="3">
        <f t="shared" si="5"/>
        <v>929.6</v>
      </c>
      <c r="N41" s="3">
        <f t="shared" si="6"/>
        <v>1257.8</v>
      </c>
      <c r="O41" s="18">
        <f t="shared" si="3"/>
        <v>135.30550774526677</v>
      </c>
      <c r="P41" s="3">
        <v>-1.2</v>
      </c>
      <c r="Q41" s="3">
        <v>568.3</v>
      </c>
      <c r="R41" s="18">
        <f aca="true" t="shared" si="18" ref="R41:R46">Q41/P41*100</f>
        <v>-47358.33333333333</v>
      </c>
      <c r="S41" s="3">
        <f t="shared" si="7"/>
        <v>928.4</v>
      </c>
      <c r="T41" s="3">
        <f t="shared" si="8"/>
        <v>1826.1</v>
      </c>
      <c r="U41" s="18">
        <f t="shared" si="17"/>
        <v>196.69323567427833</v>
      </c>
      <c r="V41" s="18">
        <f t="shared" si="9"/>
        <v>-897.6999999999999</v>
      </c>
      <c r="W41" s="4">
        <f t="shared" si="10"/>
        <v>0</v>
      </c>
      <c r="X41" s="111"/>
      <c r="Z41" s="24"/>
    </row>
    <row r="42" spans="1:26" ht="24" customHeight="1">
      <c r="A42" s="110">
        <v>33</v>
      </c>
      <c r="B42" s="20" t="s">
        <v>33</v>
      </c>
      <c r="C42" s="2">
        <v>2434.8</v>
      </c>
      <c r="D42" s="3">
        <v>967.6</v>
      </c>
      <c r="E42" s="3">
        <v>1432.3</v>
      </c>
      <c r="F42" s="18">
        <f t="shared" si="0"/>
        <v>148.02604381976025</v>
      </c>
      <c r="G42" s="3">
        <v>957.6</v>
      </c>
      <c r="H42" s="3">
        <v>969.3</v>
      </c>
      <c r="I42" s="18">
        <f t="shared" si="14"/>
        <v>101.22180451127818</v>
      </c>
      <c r="J42" s="3">
        <v>599.7</v>
      </c>
      <c r="K42" s="3">
        <v>0</v>
      </c>
      <c r="L42" s="18">
        <f>K42/J42*100</f>
        <v>0</v>
      </c>
      <c r="M42" s="3">
        <f t="shared" si="5"/>
        <v>2524.9</v>
      </c>
      <c r="N42" s="3">
        <f t="shared" si="6"/>
        <v>2401.6</v>
      </c>
      <c r="O42" s="18">
        <f t="shared" si="3"/>
        <v>95.11663828270426</v>
      </c>
      <c r="P42" s="3">
        <v>34.7</v>
      </c>
      <c r="Q42" s="3">
        <v>0</v>
      </c>
      <c r="R42" s="18">
        <f t="shared" si="18"/>
        <v>0</v>
      </c>
      <c r="S42" s="3">
        <f t="shared" si="7"/>
        <v>2559.6</v>
      </c>
      <c r="T42" s="3">
        <f t="shared" si="8"/>
        <v>2401.6</v>
      </c>
      <c r="U42" s="18">
        <f t="shared" si="17"/>
        <v>93.82716049382715</v>
      </c>
      <c r="V42" s="18">
        <f t="shared" si="9"/>
        <v>158</v>
      </c>
      <c r="W42" s="4">
        <f t="shared" si="10"/>
        <v>2592.7999999999997</v>
      </c>
      <c r="X42" s="111"/>
      <c r="Z42" s="24"/>
    </row>
    <row r="43" spans="1:33" s="9" customFormat="1" ht="24.75" customHeight="1">
      <c r="A43" s="22">
        <v>34</v>
      </c>
      <c r="B43" s="22" t="s">
        <v>5</v>
      </c>
      <c r="C43" s="60">
        <f>C44</f>
        <v>81181</v>
      </c>
      <c r="D43" s="4">
        <f>D44+D45</f>
        <v>17376</v>
      </c>
      <c r="E43" s="4">
        <f>E44+E45</f>
        <v>62502</v>
      </c>
      <c r="F43" s="18">
        <f>E43/D43*100</f>
        <v>359.70303867403317</v>
      </c>
      <c r="G43" s="4">
        <f>G44</f>
        <v>28467</v>
      </c>
      <c r="H43" s="4">
        <f>H44</f>
        <v>1137</v>
      </c>
      <c r="I43" s="18">
        <f>H43/G43*100</f>
        <v>3.9940984297607756</v>
      </c>
      <c r="J43" s="4">
        <f>J44</f>
        <v>19050</v>
      </c>
      <c r="K43" s="4">
        <f>K44</f>
        <v>3321</v>
      </c>
      <c r="L43" s="4">
        <f>L44</f>
        <v>17.43307086614173</v>
      </c>
      <c r="M43" s="4">
        <f>M44</f>
        <v>64893</v>
      </c>
      <c r="N43" s="4">
        <f>N44</f>
        <v>66960</v>
      </c>
      <c r="O43" s="18">
        <f t="shared" si="3"/>
        <v>103.18524340067496</v>
      </c>
      <c r="P43" s="4">
        <f>P44</f>
        <v>6496</v>
      </c>
      <c r="Q43" s="4">
        <f>Q44</f>
        <v>3285</v>
      </c>
      <c r="R43" s="18">
        <f t="shared" si="18"/>
        <v>50.56958128078818</v>
      </c>
      <c r="S43" s="4">
        <f>S44</f>
        <v>71389</v>
      </c>
      <c r="T43" s="4">
        <f>T44</f>
        <v>70245</v>
      </c>
      <c r="U43" s="18">
        <f t="shared" si="17"/>
        <v>98.39751222177087</v>
      </c>
      <c r="V43" s="61">
        <f>V44</f>
        <v>1144</v>
      </c>
      <c r="W43" s="61">
        <f>W44</f>
        <v>82325</v>
      </c>
      <c r="X43" s="109"/>
      <c r="Y43" s="92"/>
      <c r="Z43" s="24"/>
      <c r="AA43" s="92"/>
      <c r="AB43" s="92"/>
      <c r="AC43" s="92"/>
      <c r="AD43" s="92"/>
      <c r="AE43" s="92"/>
      <c r="AF43" s="92"/>
      <c r="AG43" s="92"/>
    </row>
    <row r="44" spans="1:33" s="9" customFormat="1" ht="24.75" customHeight="1">
      <c r="A44" s="22"/>
      <c r="B44" s="1" t="s">
        <v>34</v>
      </c>
      <c r="C44" s="2">
        <v>81181</v>
      </c>
      <c r="D44" s="3">
        <v>17376</v>
      </c>
      <c r="E44" s="3">
        <v>62502</v>
      </c>
      <c r="F44" s="18">
        <f t="shared" si="0"/>
        <v>359.70303867403317</v>
      </c>
      <c r="G44" s="3">
        <v>28467</v>
      </c>
      <c r="H44" s="3">
        <v>1137</v>
      </c>
      <c r="I44" s="18">
        <f t="shared" si="14"/>
        <v>3.9940984297607756</v>
      </c>
      <c r="J44" s="3">
        <v>19050</v>
      </c>
      <c r="K44" s="3">
        <v>3321</v>
      </c>
      <c r="L44" s="18">
        <f>K44/J44*100</f>
        <v>17.43307086614173</v>
      </c>
      <c r="M44" s="3">
        <f>D44+G44+J44</f>
        <v>64893</v>
      </c>
      <c r="N44" s="3">
        <f>E44+H44+K44</f>
        <v>66960</v>
      </c>
      <c r="O44" s="18">
        <f t="shared" si="3"/>
        <v>103.18524340067496</v>
      </c>
      <c r="P44" s="3">
        <v>6496</v>
      </c>
      <c r="Q44" s="3">
        <v>3285</v>
      </c>
      <c r="R44" s="18">
        <f t="shared" si="18"/>
        <v>50.56958128078818</v>
      </c>
      <c r="S44" s="3">
        <f>M44+P44</f>
        <v>71389</v>
      </c>
      <c r="T44" s="3">
        <f>N44+Q44</f>
        <v>70245</v>
      </c>
      <c r="U44" s="18">
        <f t="shared" si="17"/>
        <v>98.39751222177087</v>
      </c>
      <c r="V44" s="18">
        <f>S44-T44</f>
        <v>1144</v>
      </c>
      <c r="W44" s="4">
        <f>C44+S44-T44</f>
        <v>82325</v>
      </c>
      <c r="X44" s="111"/>
      <c r="Y44" s="92"/>
      <c r="Z44" s="24"/>
      <c r="AA44" s="92"/>
      <c r="AB44" s="92"/>
      <c r="AC44" s="92"/>
      <c r="AD44" s="92"/>
      <c r="AE44" s="92"/>
      <c r="AF44" s="92"/>
      <c r="AG44" s="92"/>
    </row>
    <row r="45" spans="1:33" s="9" customFormat="1" ht="24.75" customHeight="1">
      <c r="A45" s="22"/>
      <c r="B45" s="1" t="s">
        <v>43</v>
      </c>
      <c r="C45" s="2"/>
      <c r="D45" s="32"/>
      <c r="E45" s="32"/>
      <c r="F45" s="48" t="e">
        <f>E45/D45*100</f>
        <v>#DIV/0!</v>
      </c>
      <c r="G45" s="32"/>
      <c r="H45" s="32"/>
      <c r="I45" s="48" t="e">
        <f t="shared" si="14"/>
        <v>#DIV/0!</v>
      </c>
      <c r="J45" s="32"/>
      <c r="K45" s="32"/>
      <c r="L45" s="48" t="e">
        <f>K45/J45*100</f>
        <v>#DIV/0!</v>
      </c>
      <c r="M45" s="48"/>
      <c r="N45" s="48"/>
      <c r="O45" s="18"/>
      <c r="P45" s="32"/>
      <c r="Q45" s="32"/>
      <c r="R45" s="48" t="e">
        <f t="shared" si="18"/>
        <v>#DIV/0!</v>
      </c>
      <c r="S45" s="32"/>
      <c r="T45" s="32"/>
      <c r="U45" s="48" t="e">
        <f>T45/S45*100</f>
        <v>#DIV/0!</v>
      </c>
      <c r="V45" s="48"/>
      <c r="W45" s="81">
        <f>C45+D45-E45</f>
        <v>0</v>
      </c>
      <c r="X45" s="111"/>
      <c r="Y45" s="92"/>
      <c r="Z45" s="24"/>
      <c r="AA45" s="92"/>
      <c r="AB45" s="92"/>
      <c r="AC45" s="92"/>
      <c r="AD45" s="92"/>
      <c r="AE45" s="92"/>
      <c r="AF45" s="92"/>
      <c r="AG45" s="92"/>
    </row>
    <row r="46" spans="1:33" s="9" customFormat="1" ht="24.75" customHeight="1">
      <c r="A46" s="22"/>
      <c r="B46" s="22" t="s">
        <v>7</v>
      </c>
      <c r="C46" s="60">
        <f>C7+C43</f>
        <v>91023.9</v>
      </c>
      <c r="D46" s="4">
        <f>D7+D43</f>
        <v>21544</v>
      </c>
      <c r="E46" s="4">
        <f>E7+E43</f>
        <v>68872.5</v>
      </c>
      <c r="F46" s="18">
        <f>E46/D46*100</f>
        <v>319.6829743780171</v>
      </c>
      <c r="G46" s="4">
        <f>G7+G43</f>
        <v>32606</v>
      </c>
      <c r="H46" s="4">
        <f>H7+H43</f>
        <v>2751</v>
      </c>
      <c r="I46" s="18">
        <f>H46/G46*100</f>
        <v>8.437097466723916</v>
      </c>
      <c r="J46" s="4">
        <f>J7+J43</f>
        <v>21462.9</v>
      </c>
      <c r="K46" s="4">
        <f>K7+K43</f>
        <v>5284</v>
      </c>
      <c r="L46" s="4">
        <f>K46/J46*100</f>
        <v>24.619226665548457</v>
      </c>
      <c r="M46" s="4">
        <f>M7+M43</f>
        <v>75612.9</v>
      </c>
      <c r="N46" s="4">
        <f>N7+N43</f>
        <v>76907.5</v>
      </c>
      <c r="O46" s="18">
        <f t="shared" si="3"/>
        <v>101.71214171126886</v>
      </c>
      <c r="P46" s="4">
        <f>P7+P43</f>
        <v>6633.3</v>
      </c>
      <c r="Q46" s="4">
        <f>Q7+Q43</f>
        <v>5862</v>
      </c>
      <c r="R46" s="18">
        <f t="shared" si="18"/>
        <v>88.37230337840893</v>
      </c>
      <c r="S46" s="4">
        <f>S7+S43</f>
        <v>82246.2</v>
      </c>
      <c r="T46" s="4">
        <f>T7+T43</f>
        <v>82769.5</v>
      </c>
      <c r="U46" s="18">
        <f>T46/S46*100</f>
        <v>100.63626039865672</v>
      </c>
      <c r="V46" s="61">
        <f>V7+V43</f>
        <v>-523.3</v>
      </c>
      <c r="W46" s="61">
        <f>W7+W43</f>
        <v>90500.6</v>
      </c>
      <c r="X46" s="109">
        <f>S46-T46</f>
        <v>-523.3000000000029</v>
      </c>
      <c r="Y46" s="24">
        <f>C46+S46-T46</f>
        <v>90500.59999999998</v>
      </c>
      <c r="Z46" s="24"/>
      <c r="AA46" s="92"/>
      <c r="AB46" s="92"/>
      <c r="AC46" s="92"/>
      <c r="AD46" s="92"/>
      <c r="AE46" s="92"/>
      <c r="AF46" s="92"/>
      <c r="AG46" s="92"/>
    </row>
    <row r="47" spans="1:33" s="9" customFormat="1" ht="24.75" customHeight="1">
      <c r="A47" s="92"/>
      <c r="B47" s="92"/>
      <c r="C47" s="9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87"/>
      <c r="T47" s="23"/>
      <c r="U47" s="23"/>
      <c r="V47" s="23"/>
      <c r="W47" s="43"/>
      <c r="X47" s="91"/>
      <c r="Y47" s="92"/>
      <c r="Z47" s="92"/>
      <c r="AA47" s="92"/>
      <c r="AB47" s="92"/>
      <c r="AC47" s="92"/>
      <c r="AD47" s="92"/>
      <c r="AE47" s="92"/>
      <c r="AF47" s="92"/>
      <c r="AG47" s="92"/>
    </row>
    <row r="48" spans="1:33" s="9" customFormat="1" ht="18.75" customHeight="1" hidden="1">
      <c r="A48" s="22"/>
      <c r="B48" s="9" t="s">
        <v>44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4"/>
      <c r="X48" s="91"/>
      <c r="Y48" s="92"/>
      <c r="Z48" s="92"/>
      <c r="AA48" s="92"/>
      <c r="AB48" s="92"/>
      <c r="AC48" s="92"/>
      <c r="AD48" s="92"/>
      <c r="AE48" s="92"/>
      <c r="AF48" s="92"/>
      <c r="AG48" s="92"/>
    </row>
    <row r="49" spans="1:33" s="9" customFormat="1" ht="6.75" customHeight="1" hidden="1">
      <c r="A49" s="92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4"/>
      <c r="X49" s="91"/>
      <c r="Y49" s="92"/>
      <c r="Z49" s="92"/>
      <c r="AA49" s="92"/>
      <c r="AB49" s="92"/>
      <c r="AC49" s="92"/>
      <c r="AD49" s="92"/>
      <c r="AE49" s="92"/>
      <c r="AF49" s="92"/>
      <c r="AG49" s="92"/>
    </row>
    <row r="50" spans="1:33" s="9" customFormat="1" ht="18.75" customHeight="1" hidden="1">
      <c r="A50" s="22"/>
      <c r="B50" s="9" t="s">
        <v>45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4"/>
      <c r="X50" s="91"/>
      <c r="Y50" s="92"/>
      <c r="Z50" s="92"/>
      <c r="AA50" s="92"/>
      <c r="AB50" s="92"/>
      <c r="AC50" s="92"/>
      <c r="AD50" s="92"/>
      <c r="AE50" s="92"/>
      <c r="AF50" s="92"/>
      <c r="AG50" s="92"/>
    </row>
    <row r="51" spans="3:23" ht="24.75" customHeight="1">
      <c r="C51" s="78"/>
      <c r="D51" s="43"/>
      <c r="E51" s="43"/>
      <c r="F51" s="6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68"/>
      <c r="T51" s="68"/>
      <c r="U51" s="67"/>
      <c r="V51" s="43"/>
      <c r="W51" s="69"/>
    </row>
    <row r="52" spans="1:33" ht="73.5" customHeight="1" hidden="1">
      <c r="A52" s="68" t="s">
        <v>99</v>
      </c>
      <c r="B52" s="68"/>
      <c r="C52" s="68"/>
      <c r="D52" s="68"/>
      <c r="E52" s="68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43"/>
      <c r="W52" s="43"/>
      <c r="X52" s="43"/>
      <c r="Y52" s="43"/>
      <c r="Z52" s="67"/>
      <c r="AA52" s="69" t="s">
        <v>97</v>
      </c>
      <c r="AB52" s="5"/>
      <c r="AC52" s="5"/>
      <c r="AD52" s="5"/>
      <c r="AE52" s="5"/>
      <c r="AF52" s="5"/>
      <c r="AG52" s="5"/>
    </row>
    <row r="53" spans="1:23" s="76" customFormat="1" ht="42" customHeight="1">
      <c r="A53" s="71"/>
      <c r="B53" s="135" t="s">
        <v>101</v>
      </c>
      <c r="C53" s="135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2"/>
      <c r="T53" s="72"/>
      <c r="U53" s="73"/>
      <c r="V53" s="74"/>
      <c r="W53" s="75" t="s">
        <v>100</v>
      </c>
    </row>
    <row r="54" spans="3:23" ht="40.5" customHeight="1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39"/>
      <c r="W54" s="39"/>
    </row>
    <row r="55" spans="3:23" ht="18.75">
      <c r="C55" s="103"/>
      <c r="D55" s="39"/>
      <c r="E55" s="39"/>
      <c r="F55" s="7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1154.2</v>
      </c>
      <c r="T55" s="3">
        <v>1213.3</v>
      </c>
      <c r="U55" s="18"/>
      <c r="V55" s="3"/>
      <c r="W55" s="4">
        <f>C55+D55-E55</f>
        <v>0</v>
      </c>
    </row>
    <row r="56" spans="2:23" ht="18.75">
      <c r="B56" s="5" t="s">
        <v>39</v>
      </c>
      <c r="C56" s="89">
        <v>27</v>
      </c>
      <c r="D56" s="113">
        <v>97.6</v>
      </c>
      <c r="E56" s="113">
        <v>107.2</v>
      </c>
      <c r="F56" s="114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>
        <v>1415.7</v>
      </c>
      <c r="T56" s="39">
        <v>1436.1</v>
      </c>
      <c r="U56" s="77"/>
      <c r="V56" s="39"/>
      <c r="W56" s="4">
        <f>C56+D56-E56</f>
        <v>17.39999999999999</v>
      </c>
    </row>
    <row r="57" spans="2:23" ht="18.75">
      <c r="B57" s="5" t="s">
        <v>40</v>
      </c>
      <c r="C57" s="78">
        <v>52.2</v>
      </c>
      <c r="D57" s="43">
        <v>256.6</v>
      </c>
      <c r="E57" s="43">
        <v>288.5</v>
      </c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39"/>
      <c r="W57" s="39"/>
    </row>
    <row r="58" spans="3:23" ht="18.75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39"/>
      <c r="W58" s="39"/>
    </row>
    <row r="59" spans="3:23" ht="18.75">
      <c r="C59" s="78"/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39"/>
      <c r="W59" s="39">
        <f>W9+W17+W20+W26+W36+W38+W40</f>
        <v>1643.5</v>
      </c>
    </row>
    <row r="60" spans="2:23" ht="18.75">
      <c r="B60" s="5" t="s">
        <v>41</v>
      </c>
      <c r="C60" s="78">
        <f>C9+C17+C20+C26+C36+C38+C40</f>
        <v>961.3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39"/>
      <c r="W60" s="39">
        <f>W11+W13+W14+W16+W18+W19+W25</f>
        <v>147.60000000000002</v>
      </c>
    </row>
    <row r="61" spans="2:23" ht="18.75">
      <c r="B61" s="5" t="s">
        <v>42</v>
      </c>
      <c r="C61" s="78">
        <f>C11+C13+C14+C16+C18+C19+C25</f>
        <v>92.8</v>
      </c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39"/>
      <c r="W61" s="39"/>
    </row>
    <row r="62" spans="3:23" ht="18.75">
      <c r="C62" s="103"/>
      <c r="D62" s="39"/>
      <c r="E62" s="39"/>
      <c r="F62" s="77"/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39"/>
      <c r="W62" s="39"/>
    </row>
    <row r="63" spans="3:23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39"/>
      <c r="W63" s="39"/>
    </row>
    <row r="64" spans="3:23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39"/>
      <c r="W64" s="39"/>
    </row>
    <row r="65" spans="3:23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39"/>
      <c r="W65" s="39"/>
    </row>
    <row r="66" spans="3:23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39"/>
      <c r="W66" s="39"/>
    </row>
    <row r="67" spans="3:23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39"/>
      <c r="W67" s="39"/>
    </row>
    <row r="68" spans="3:23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39"/>
      <c r="W68" s="39"/>
    </row>
    <row r="69" spans="3:23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39"/>
      <c r="W69" s="39"/>
    </row>
    <row r="70" spans="3:23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39"/>
      <c r="W70" s="39"/>
    </row>
    <row r="71" spans="3:23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39"/>
      <c r="W71" s="39"/>
    </row>
    <row r="72" spans="3:23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39"/>
      <c r="W72" s="39"/>
    </row>
    <row r="73" spans="3:23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39"/>
      <c r="W73" s="39"/>
    </row>
    <row r="74" spans="3:23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39"/>
      <c r="W74" s="39"/>
    </row>
    <row r="75" spans="3:23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39"/>
      <c r="W75" s="39"/>
    </row>
    <row r="76" spans="3:23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39"/>
      <c r="W76" s="39"/>
    </row>
    <row r="77" spans="3:23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39"/>
      <c r="W77" s="39"/>
    </row>
    <row r="78" spans="3:23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39"/>
      <c r="W78" s="39"/>
    </row>
    <row r="79" spans="3:23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39"/>
      <c r="W79" s="39"/>
    </row>
    <row r="80" spans="3:23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39"/>
      <c r="W80" s="39"/>
    </row>
    <row r="81" spans="3:23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39"/>
      <c r="W81" s="39"/>
    </row>
    <row r="82" spans="3:23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39"/>
      <c r="W82" s="39"/>
    </row>
    <row r="83" spans="3:23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39"/>
      <c r="W83" s="39"/>
    </row>
    <row r="84" spans="3:23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39"/>
      <c r="W84" s="39"/>
    </row>
    <row r="85" spans="3:23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39"/>
      <c r="W85" s="39"/>
    </row>
    <row r="86" spans="3:23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39"/>
      <c r="W86" s="39"/>
    </row>
    <row r="87" spans="3:23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39"/>
      <c r="W87" s="39"/>
    </row>
    <row r="88" spans="3:23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39"/>
      <c r="W88" s="39"/>
    </row>
    <row r="89" spans="3:23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39"/>
      <c r="W89" s="39"/>
    </row>
    <row r="90" spans="3:23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39"/>
      <c r="W90" s="39"/>
    </row>
    <row r="91" spans="3:23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39"/>
      <c r="W91" s="39"/>
    </row>
    <row r="92" spans="3:23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39"/>
      <c r="W92" s="39"/>
    </row>
    <row r="93" spans="3:23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39"/>
      <c r="W93" s="39"/>
    </row>
    <row r="94" spans="3:23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39"/>
      <c r="W94" s="39"/>
    </row>
    <row r="95" spans="3:23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39"/>
      <c r="W95" s="39"/>
    </row>
    <row r="96" spans="3:23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39"/>
      <c r="W96" s="39"/>
    </row>
    <row r="97" spans="3:23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39"/>
      <c r="W97" s="39"/>
    </row>
    <row r="98" spans="3:23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39"/>
      <c r="W98" s="39"/>
    </row>
    <row r="99" spans="3:23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39"/>
      <c r="W99" s="39"/>
    </row>
    <row r="100" spans="3:23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39"/>
      <c r="W100" s="39"/>
    </row>
    <row r="101" spans="3:23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39"/>
      <c r="W101" s="39"/>
    </row>
    <row r="102" spans="3:23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39"/>
      <c r="W102" s="39"/>
    </row>
  </sheetData>
  <sheetProtection/>
  <mergeCells count="12">
    <mergeCell ref="S5:U5"/>
    <mergeCell ref="W5:W6"/>
    <mergeCell ref="V5:V6"/>
    <mergeCell ref="J5:L5"/>
    <mergeCell ref="B53:C53"/>
    <mergeCell ref="P5:R5"/>
    <mergeCell ref="D1:W1"/>
    <mergeCell ref="B2:W2"/>
    <mergeCell ref="B3:W3"/>
    <mergeCell ref="B4:C4"/>
    <mergeCell ref="D5:F5"/>
    <mergeCell ref="G5: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3"/>
  <sheetViews>
    <sheetView view="pageBreakPreview" zoomScale="73" zoomScaleNormal="75" zoomScaleSheetLayoutView="73" zoomScalePageLayoutView="0" workbookViewId="0" topLeftCell="A2">
      <pane xSplit="2" ySplit="6" topLeftCell="C44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X51" sqref="X51"/>
    </sheetView>
  </sheetViews>
  <sheetFormatPr defaultColWidth="7.875" defaultRowHeight="12.75"/>
  <cols>
    <col min="1" max="1" width="6.125" style="5" customWidth="1"/>
    <col min="2" max="2" width="55.00390625" style="5" customWidth="1"/>
    <col min="3" max="3" width="16.87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2.00390625" style="9" hidden="1" customWidth="1"/>
    <col min="10" max="11" width="14.75390625" style="5" hidden="1" customWidth="1"/>
    <col min="12" max="12" width="12.00390625" style="9" hidden="1" customWidth="1"/>
    <col min="13" max="13" width="13.00390625" style="9" customWidth="1"/>
    <col min="14" max="14" width="12.625" style="9" customWidth="1"/>
    <col min="15" max="15" width="12.00390625" style="9" customWidth="1"/>
    <col min="16" max="17" width="14.75390625" style="5" customWidth="1"/>
    <col min="18" max="18" width="12.00390625" style="9" customWidth="1"/>
    <col min="19" max="20" width="14.75390625" style="5" customWidth="1"/>
    <col min="21" max="21" width="12.00390625" style="9" customWidth="1"/>
    <col min="22" max="22" width="20.75390625" style="5" customWidth="1"/>
    <col min="23" max="23" width="22.875" style="13" customWidth="1"/>
    <col min="24" max="24" width="13.125" style="5" customWidth="1"/>
    <col min="25" max="25" width="14.25390625" style="5" customWidth="1"/>
    <col min="26" max="16384" width="7.875" style="5" customWidth="1"/>
  </cols>
  <sheetData>
    <row r="1" spans="4:23" ht="18.75"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2:23" s="42" customFormat="1" ht="42" customHeight="1">
      <c r="B2" s="127" t="s">
        <v>92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2:23" s="42" customFormat="1" ht="42" customHeight="1">
      <c r="B3" s="127" t="s">
        <v>118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2:23" ht="18.75">
      <c r="B4" s="128"/>
      <c r="C4" s="128"/>
      <c r="W4" s="13" t="s">
        <v>48</v>
      </c>
    </row>
    <row r="5" spans="1:23" ht="36.75" customHeight="1">
      <c r="A5" s="33" t="s">
        <v>36</v>
      </c>
      <c r="B5" s="34"/>
      <c r="C5" s="35" t="s">
        <v>1</v>
      </c>
      <c r="D5" s="129" t="s">
        <v>111</v>
      </c>
      <c r="E5" s="130"/>
      <c r="F5" s="131"/>
      <c r="G5" s="132" t="s">
        <v>113</v>
      </c>
      <c r="H5" s="133"/>
      <c r="I5" s="134"/>
      <c r="J5" s="132" t="s">
        <v>117</v>
      </c>
      <c r="K5" s="133"/>
      <c r="L5" s="134"/>
      <c r="M5" s="121"/>
      <c r="N5" s="121" t="s">
        <v>122</v>
      </c>
      <c r="O5" s="121"/>
      <c r="P5" s="132" t="s">
        <v>119</v>
      </c>
      <c r="Q5" s="133"/>
      <c r="R5" s="134"/>
      <c r="S5" s="129" t="s">
        <v>114</v>
      </c>
      <c r="T5" s="130"/>
      <c r="U5" s="131"/>
      <c r="V5" s="125" t="s">
        <v>120</v>
      </c>
      <c r="W5" s="125" t="s">
        <v>121</v>
      </c>
    </row>
    <row r="6" spans="1:23" ht="55.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126"/>
      <c r="W6" s="126"/>
    </row>
    <row r="7" spans="1:25" s="9" customFormat="1" ht="36" customHeight="1">
      <c r="A7" s="107"/>
      <c r="B7" s="108" t="s">
        <v>6</v>
      </c>
      <c r="C7" s="53">
        <f>SUM(C8:C42)</f>
        <v>126797.3</v>
      </c>
      <c r="D7" s="18">
        <f>SUM(D8:D42)</f>
        <v>76957.49999999999</v>
      </c>
      <c r="E7" s="18">
        <f>SUM(E8:E42)</f>
        <v>104261.10000000002</v>
      </c>
      <c r="F7" s="18">
        <f aca="true" t="shared" si="0" ref="F7:F46">E7/D7*100</f>
        <v>135.47880323555214</v>
      </c>
      <c r="G7" s="18">
        <f>SUM(G8:G42)</f>
        <v>79072.09999999999</v>
      </c>
      <c r="H7" s="18">
        <f>SUM(H8:H42)</f>
        <v>54823.600000000006</v>
      </c>
      <c r="I7" s="18">
        <f aca="true" t="shared" si="1" ref="I7:I44">H7/G7*100</f>
        <v>69.33368406808471</v>
      </c>
      <c r="J7" s="18">
        <f>SUM(J8:J42)</f>
        <v>77551.8</v>
      </c>
      <c r="K7" s="18">
        <f>SUM(K8:K42)</f>
        <v>21618.7</v>
      </c>
      <c r="L7" s="18">
        <f aca="true" t="shared" si="2" ref="L7:L35">K7/J7*100</f>
        <v>27.876464505014713</v>
      </c>
      <c r="M7" s="18">
        <f>SUM(M8:M42)</f>
        <v>233581.4</v>
      </c>
      <c r="N7" s="18">
        <f>SUM(N8:N42)</f>
        <v>180703.40000000002</v>
      </c>
      <c r="O7" s="18">
        <f>N7/M7*100</f>
        <v>77.36206735639055</v>
      </c>
      <c r="P7" s="18">
        <f>SUM(P8:P42)</f>
        <v>-101.80000000000003</v>
      </c>
      <c r="Q7" s="18">
        <f>SUM(Q8:Q42)</f>
        <v>20930.8</v>
      </c>
      <c r="R7" s="18">
        <f aca="true" t="shared" si="3" ref="R7:R35">Q7/P7*100</f>
        <v>-20560.7072691552</v>
      </c>
      <c r="S7" s="18">
        <f>SUM(S8:S42)</f>
        <v>233479.59999999998</v>
      </c>
      <c r="T7" s="18">
        <f>SUM(T8:T42)</f>
        <v>201634.2</v>
      </c>
      <c r="U7" s="18">
        <f aca="true" t="shared" si="4" ref="U7:U44">T7/S7*100</f>
        <v>86.36052143313593</v>
      </c>
      <c r="V7" s="54">
        <f>SUM(V8:V42)</f>
        <v>31845.399999999994</v>
      </c>
      <c r="W7" s="54">
        <f>SUM(W8:W42)</f>
        <v>158642.69999999998</v>
      </c>
      <c r="X7" s="30">
        <f>S7-T7</f>
        <v>31845.399999999965</v>
      </c>
      <c r="Y7" s="30">
        <f>C7+S7-T7</f>
        <v>158642.69999999995</v>
      </c>
    </row>
    <row r="8" spans="1:23" ht="36.75" customHeight="1">
      <c r="A8" s="110">
        <v>1</v>
      </c>
      <c r="B8" s="1" t="s">
        <v>12</v>
      </c>
      <c r="C8" s="2">
        <v>7132</v>
      </c>
      <c r="D8" s="3">
        <v>7233.4</v>
      </c>
      <c r="E8" s="3">
        <v>6396.5</v>
      </c>
      <c r="F8" s="18">
        <f t="shared" si="0"/>
        <v>88.43006055243731</v>
      </c>
      <c r="G8" s="3">
        <v>6914</v>
      </c>
      <c r="H8" s="3">
        <v>735.6</v>
      </c>
      <c r="I8" s="18">
        <f t="shared" si="1"/>
        <v>10.63928261498409</v>
      </c>
      <c r="J8" s="3">
        <v>6896.8</v>
      </c>
      <c r="K8" s="3">
        <v>7233.3</v>
      </c>
      <c r="L8" s="18">
        <f t="shared" si="2"/>
        <v>104.87907435332329</v>
      </c>
      <c r="M8" s="3">
        <f>D8+G8+J8</f>
        <v>21044.2</v>
      </c>
      <c r="N8" s="3">
        <f>E8+H8+K8</f>
        <v>14365.400000000001</v>
      </c>
      <c r="O8" s="18">
        <f aca="true" t="shared" si="5" ref="O8:O50">N8/M8*100</f>
        <v>68.26298932722555</v>
      </c>
      <c r="P8" s="3">
        <v>704.6</v>
      </c>
      <c r="Q8" s="3">
        <v>0</v>
      </c>
      <c r="R8" s="18">
        <f t="shared" si="3"/>
        <v>0</v>
      </c>
      <c r="S8" s="3">
        <f>M8+P8</f>
        <v>21748.8</v>
      </c>
      <c r="T8" s="3">
        <f>N8+Q8</f>
        <v>14365.400000000001</v>
      </c>
      <c r="U8" s="18">
        <f t="shared" si="4"/>
        <v>66.05146031045392</v>
      </c>
      <c r="V8" s="3">
        <f>S8-T8</f>
        <v>7383.399999999998</v>
      </c>
      <c r="W8" s="115">
        <f>C8+S8-T8</f>
        <v>14515.399999999998</v>
      </c>
    </row>
    <row r="9" spans="1:23" ht="41.25" customHeight="1">
      <c r="A9" s="110">
        <v>2</v>
      </c>
      <c r="B9" s="44" t="s">
        <v>35</v>
      </c>
      <c r="C9" s="2">
        <v>198.1</v>
      </c>
      <c r="D9" s="3">
        <v>98.9</v>
      </c>
      <c r="E9" s="3">
        <v>99.1</v>
      </c>
      <c r="F9" s="18">
        <f t="shared" si="0"/>
        <v>100.20222446916077</v>
      </c>
      <c r="G9" s="3">
        <v>96.8</v>
      </c>
      <c r="H9" s="3">
        <v>0</v>
      </c>
      <c r="I9" s="18">
        <f t="shared" si="1"/>
        <v>0</v>
      </c>
      <c r="J9" s="3">
        <v>103.3</v>
      </c>
      <c r="K9" s="3">
        <v>0</v>
      </c>
      <c r="L9" s="18">
        <f t="shared" si="2"/>
        <v>0</v>
      </c>
      <c r="M9" s="3">
        <f aca="true" t="shared" si="6" ref="M9:M42">D9+G9+J9</f>
        <v>299</v>
      </c>
      <c r="N9" s="3">
        <f aca="true" t="shared" si="7" ref="N9:N42">E9+H9+K9</f>
        <v>99.1</v>
      </c>
      <c r="O9" s="18">
        <f t="shared" si="5"/>
        <v>33.143812709030094</v>
      </c>
      <c r="P9" s="3">
        <v>4.5</v>
      </c>
      <c r="Q9" s="3">
        <v>28.7</v>
      </c>
      <c r="R9" s="18">
        <f t="shared" si="3"/>
        <v>637.7777777777777</v>
      </c>
      <c r="S9" s="3">
        <f aca="true" t="shared" si="8" ref="S9:S42">M9+P9</f>
        <v>303.5</v>
      </c>
      <c r="T9" s="3">
        <f aca="true" t="shared" si="9" ref="T9:T42">N9+Q9</f>
        <v>127.8</v>
      </c>
      <c r="U9" s="18">
        <f t="shared" si="4"/>
        <v>42.10873146622735</v>
      </c>
      <c r="V9" s="3">
        <f aca="true" t="shared" si="10" ref="V9:V42">S9-T9</f>
        <v>175.7</v>
      </c>
      <c r="W9" s="115">
        <f aca="true" t="shared" si="11" ref="W9:W42">C9+S9-T9</f>
        <v>373.8</v>
      </c>
    </row>
    <row r="10" spans="1:23" ht="35.25" customHeight="1">
      <c r="A10" s="110">
        <v>3</v>
      </c>
      <c r="B10" s="20" t="s">
        <v>96</v>
      </c>
      <c r="C10" s="2"/>
      <c r="D10" s="32"/>
      <c r="E10" s="32"/>
      <c r="F10" s="48" t="e">
        <f t="shared" si="0"/>
        <v>#DIV/0!</v>
      </c>
      <c r="G10" s="32"/>
      <c r="H10" s="32"/>
      <c r="I10" s="48" t="e">
        <f t="shared" si="1"/>
        <v>#DIV/0!</v>
      </c>
      <c r="J10" s="32"/>
      <c r="K10" s="32"/>
      <c r="L10" s="48" t="e">
        <f t="shared" si="2"/>
        <v>#DIV/0!</v>
      </c>
      <c r="M10" s="3"/>
      <c r="N10" s="3"/>
      <c r="O10" s="18"/>
      <c r="P10" s="32"/>
      <c r="Q10" s="32"/>
      <c r="R10" s="48" t="e">
        <f t="shared" si="3"/>
        <v>#DIV/0!</v>
      </c>
      <c r="S10" s="3"/>
      <c r="T10" s="3"/>
      <c r="U10" s="18"/>
      <c r="V10" s="3"/>
      <c r="W10" s="115"/>
    </row>
    <row r="11" spans="1:23" ht="24" customHeight="1">
      <c r="A11" s="110">
        <v>4</v>
      </c>
      <c r="B11" s="1" t="s">
        <v>108</v>
      </c>
      <c r="C11" s="2"/>
      <c r="D11" s="3"/>
      <c r="E11" s="3"/>
      <c r="F11" s="18"/>
      <c r="G11" s="3"/>
      <c r="H11" s="3"/>
      <c r="I11" s="48" t="e">
        <f t="shared" si="1"/>
        <v>#DIV/0!</v>
      </c>
      <c r="J11" s="3"/>
      <c r="K11" s="3"/>
      <c r="L11" s="48" t="e">
        <f t="shared" si="2"/>
        <v>#DIV/0!</v>
      </c>
      <c r="M11" s="3"/>
      <c r="N11" s="3"/>
      <c r="O11" s="18"/>
      <c r="P11" s="3"/>
      <c r="Q11" s="3"/>
      <c r="R11" s="48" t="e">
        <f t="shared" si="3"/>
        <v>#DIV/0!</v>
      </c>
      <c r="S11" s="3"/>
      <c r="T11" s="3"/>
      <c r="U11" s="18"/>
      <c r="V11" s="3"/>
      <c r="W11" s="115"/>
    </row>
    <row r="12" spans="1:23" ht="24" customHeight="1">
      <c r="A12" s="110">
        <v>5</v>
      </c>
      <c r="B12" s="1" t="s">
        <v>13</v>
      </c>
      <c r="C12" s="2">
        <v>3599.5</v>
      </c>
      <c r="D12" s="3">
        <v>1949.5</v>
      </c>
      <c r="E12" s="3">
        <v>2897.1</v>
      </c>
      <c r="F12" s="18">
        <f t="shared" si="0"/>
        <v>148.60733521415747</v>
      </c>
      <c r="G12" s="3">
        <v>1898.8</v>
      </c>
      <c r="H12" s="3">
        <v>377.2</v>
      </c>
      <c r="I12" s="18">
        <f t="shared" si="1"/>
        <v>19.865178007162417</v>
      </c>
      <c r="J12" s="3">
        <v>1542.3</v>
      </c>
      <c r="K12" s="3">
        <v>1879.6</v>
      </c>
      <c r="L12" s="18">
        <f t="shared" si="2"/>
        <v>121.8699345133891</v>
      </c>
      <c r="M12" s="3">
        <f t="shared" si="6"/>
        <v>5390.6</v>
      </c>
      <c r="N12" s="3">
        <f t="shared" si="7"/>
        <v>5153.9</v>
      </c>
      <c r="O12" s="18">
        <f t="shared" si="5"/>
        <v>95.60902311431008</v>
      </c>
      <c r="P12" s="3">
        <v>95.9</v>
      </c>
      <c r="Q12" s="3">
        <v>1248.8</v>
      </c>
      <c r="R12" s="18">
        <f t="shared" si="3"/>
        <v>1302.1897810218977</v>
      </c>
      <c r="S12" s="3">
        <f t="shared" si="8"/>
        <v>5486.5</v>
      </c>
      <c r="T12" s="3">
        <f t="shared" si="9"/>
        <v>6402.7</v>
      </c>
      <c r="U12" s="18">
        <f t="shared" si="4"/>
        <v>116.6991706916978</v>
      </c>
      <c r="V12" s="3">
        <f t="shared" si="10"/>
        <v>-916.1999999999998</v>
      </c>
      <c r="W12" s="115">
        <f t="shared" si="11"/>
        <v>2683.3</v>
      </c>
    </row>
    <row r="13" spans="1:23" ht="24" customHeight="1">
      <c r="A13" s="110">
        <v>66.8</v>
      </c>
      <c r="B13" s="1" t="s">
        <v>14</v>
      </c>
      <c r="C13" s="2">
        <v>20</v>
      </c>
      <c r="D13" s="3">
        <v>18.3</v>
      </c>
      <c r="E13" s="3">
        <v>20.3</v>
      </c>
      <c r="F13" s="18">
        <f t="shared" si="0"/>
        <v>110.92896174863387</v>
      </c>
      <c r="G13" s="3">
        <v>18.3</v>
      </c>
      <c r="H13" s="3">
        <v>0</v>
      </c>
      <c r="I13" s="18">
        <f t="shared" si="1"/>
        <v>0</v>
      </c>
      <c r="J13" s="3">
        <v>18.3</v>
      </c>
      <c r="K13" s="3">
        <v>18.3</v>
      </c>
      <c r="L13" s="18">
        <f t="shared" si="2"/>
        <v>100</v>
      </c>
      <c r="M13" s="3">
        <f t="shared" si="6"/>
        <v>54.900000000000006</v>
      </c>
      <c r="N13" s="3">
        <f t="shared" si="7"/>
        <v>38.6</v>
      </c>
      <c r="O13" s="18">
        <f t="shared" si="5"/>
        <v>70.30965391621129</v>
      </c>
      <c r="P13" s="3">
        <v>0.8</v>
      </c>
      <c r="Q13" s="3">
        <v>18.3</v>
      </c>
      <c r="R13" s="18">
        <f t="shared" si="3"/>
        <v>2287.5</v>
      </c>
      <c r="S13" s="3">
        <f t="shared" si="8"/>
        <v>55.7</v>
      </c>
      <c r="T13" s="3">
        <f t="shared" si="9"/>
        <v>56.900000000000006</v>
      </c>
      <c r="U13" s="18">
        <f t="shared" si="4"/>
        <v>102.15439856373429</v>
      </c>
      <c r="V13" s="3">
        <f t="shared" si="10"/>
        <v>-1.2000000000000028</v>
      </c>
      <c r="W13" s="115">
        <f t="shared" si="11"/>
        <v>18.799999999999997</v>
      </c>
    </row>
    <row r="14" spans="1:23" ht="24" customHeight="1">
      <c r="A14" s="110">
        <v>7</v>
      </c>
      <c r="B14" s="1" t="s">
        <v>15</v>
      </c>
      <c r="C14" s="2"/>
      <c r="D14" s="32"/>
      <c r="E14" s="32"/>
      <c r="F14" s="18"/>
      <c r="G14" s="32"/>
      <c r="H14" s="32"/>
      <c r="I14" s="48" t="e">
        <f t="shared" si="1"/>
        <v>#DIV/0!</v>
      </c>
      <c r="J14" s="32"/>
      <c r="K14" s="32"/>
      <c r="L14" s="48" t="e">
        <f t="shared" si="2"/>
        <v>#DIV/0!</v>
      </c>
      <c r="M14" s="3"/>
      <c r="N14" s="3"/>
      <c r="O14" s="18"/>
      <c r="P14" s="32"/>
      <c r="Q14" s="32"/>
      <c r="R14" s="48" t="e">
        <f t="shared" si="3"/>
        <v>#DIV/0!</v>
      </c>
      <c r="S14" s="3"/>
      <c r="T14" s="3"/>
      <c r="U14" s="18"/>
      <c r="V14" s="3"/>
      <c r="W14" s="115"/>
    </row>
    <row r="15" spans="1:23" ht="24" customHeight="1">
      <c r="A15" s="110">
        <v>8</v>
      </c>
      <c r="B15" s="1" t="s">
        <v>16</v>
      </c>
      <c r="C15" s="2">
        <v>1612</v>
      </c>
      <c r="D15" s="3">
        <v>1775.6</v>
      </c>
      <c r="E15" s="3">
        <v>1012</v>
      </c>
      <c r="F15" s="18">
        <f t="shared" si="0"/>
        <v>56.994818652849744</v>
      </c>
      <c r="G15" s="3">
        <v>1758.1</v>
      </c>
      <c r="H15" s="3">
        <v>600</v>
      </c>
      <c r="I15" s="18">
        <f t="shared" si="1"/>
        <v>34.127751549968714</v>
      </c>
      <c r="J15" s="3">
        <v>1524.4</v>
      </c>
      <c r="K15" s="3">
        <v>1775.6</v>
      </c>
      <c r="L15" s="18">
        <f t="shared" si="2"/>
        <v>116.47861453686694</v>
      </c>
      <c r="M15" s="3">
        <f t="shared" si="6"/>
        <v>5058.1</v>
      </c>
      <c r="N15" s="3">
        <f t="shared" si="7"/>
        <v>3387.6</v>
      </c>
      <c r="O15" s="18">
        <f t="shared" si="5"/>
        <v>66.97376485241493</v>
      </c>
      <c r="P15" s="3">
        <v>128.4</v>
      </c>
      <c r="Q15" s="3">
        <v>829.1</v>
      </c>
      <c r="R15" s="18">
        <f t="shared" si="3"/>
        <v>645.7165109034268</v>
      </c>
      <c r="S15" s="3">
        <f t="shared" si="8"/>
        <v>5186.5</v>
      </c>
      <c r="T15" s="3">
        <f t="shared" si="9"/>
        <v>4216.7</v>
      </c>
      <c r="U15" s="18">
        <f t="shared" si="4"/>
        <v>81.30145570230405</v>
      </c>
      <c r="V15" s="3">
        <f t="shared" si="10"/>
        <v>969.8000000000002</v>
      </c>
      <c r="W15" s="115">
        <f t="shared" si="11"/>
        <v>2581.8</v>
      </c>
    </row>
    <row r="16" spans="1:23" ht="24" customHeight="1">
      <c r="A16" s="110">
        <v>9</v>
      </c>
      <c r="B16" s="1" t="s">
        <v>17</v>
      </c>
      <c r="C16" s="2"/>
      <c r="D16" s="32"/>
      <c r="E16" s="32"/>
      <c r="F16" s="48" t="e">
        <f t="shared" si="0"/>
        <v>#DIV/0!</v>
      </c>
      <c r="G16" s="32"/>
      <c r="H16" s="32"/>
      <c r="I16" s="48" t="e">
        <f t="shared" si="1"/>
        <v>#DIV/0!</v>
      </c>
      <c r="J16" s="32"/>
      <c r="K16" s="32"/>
      <c r="L16" s="48" t="e">
        <f t="shared" si="2"/>
        <v>#DIV/0!</v>
      </c>
      <c r="M16" s="3"/>
      <c r="N16" s="3"/>
      <c r="O16" s="18"/>
      <c r="P16" s="32"/>
      <c r="Q16" s="32"/>
      <c r="R16" s="48" t="e">
        <f t="shared" si="3"/>
        <v>#DIV/0!</v>
      </c>
      <c r="S16" s="3"/>
      <c r="T16" s="3"/>
      <c r="U16" s="18"/>
      <c r="V16" s="3"/>
      <c r="W16" s="115"/>
    </row>
    <row r="17" spans="1:23" ht="24" customHeight="1">
      <c r="A17" s="110">
        <v>10</v>
      </c>
      <c r="B17" s="20" t="s">
        <v>18</v>
      </c>
      <c r="C17" s="2">
        <v>989.2</v>
      </c>
      <c r="D17" s="3">
        <v>610.4</v>
      </c>
      <c r="E17" s="3">
        <v>254.4</v>
      </c>
      <c r="F17" s="18">
        <f t="shared" si="0"/>
        <v>41.677588466579294</v>
      </c>
      <c r="G17" s="3">
        <v>588</v>
      </c>
      <c r="H17" s="3">
        <v>0</v>
      </c>
      <c r="I17" s="18">
        <f t="shared" si="1"/>
        <v>0</v>
      </c>
      <c r="J17" s="3">
        <v>548.7</v>
      </c>
      <c r="K17" s="3">
        <v>0</v>
      </c>
      <c r="L17" s="18">
        <f t="shared" si="2"/>
        <v>0</v>
      </c>
      <c r="M17" s="3">
        <f t="shared" si="6"/>
        <v>1747.1000000000001</v>
      </c>
      <c r="N17" s="3">
        <f t="shared" si="7"/>
        <v>254.4</v>
      </c>
      <c r="O17" s="18">
        <f t="shared" si="5"/>
        <v>14.561272966630415</v>
      </c>
      <c r="P17" s="3">
        <v>-547</v>
      </c>
      <c r="Q17" s="3">
        <v>195.1</v>
      </c>
      <c r="R17" s="18">
        <f t="shared" si="3"/>
        <v>-35.6672760511883</v>
      </c>
      <c r="S17" s="3">
        <f t="shared" si="8"/>
        <v>1200.1000000000001</v>
      </c>
      <c r="T17" s="3">
        <f t="shared" si="9"/>
        <v>449.5</v>
      </c>
      <c r="U17" s="18">
        <f t="shared" si="4"/>
        <v>37.45521206566119</v>
      </c>
      <c r="V17" s="3">
        <f t="shared" si="10"/>
        <v>750.6000000000001</v>
      </c>
      <c r="W17" s="115">
        <f t="shared" si="11"/>
        <v>1739.8000000000002</v>
      </c>
    </row>
    <row r="18" spans="1:23" ht="24" customHeight="1">
      <c r="A18" s="110">
        <v>11</v>
      </c>
      <c r="B18" s="20" t="s">
        <v>19</v>
      </c>
      <c r="C18" s="2">
        <v>36.7</v>
      </c>
      <c r="D18" s="3">
        <v>22.9</v>
      </c>
      <c r="E18" s="3">
        <v>36.7</v>
      </c>
      <c r="F18" s="18">
        <f t="shared" si="0"/>
        <v>160.2620087336245</v>
      </c>
      <c r="G18" s="3">
        <v>22.3</v>
      </c>
      <c r="H18" s="3"/>
      <c r="I18" s="101">
        <f t="shared" si="1"/>
        <v>0</v>
      </c>
      <c r="J18" s="3">
        <v>21.2</v>
      </c>
      <c r="K18" s="3">
        <v>22.9</v>
      </c>
      <c r="L18" s="101">
        <f t="shared" si="2"/>
        <v>108.01886792452831</v>
      </c>
      <c r="M18" s="3">
        <f t="shared" si="6"/>
        <v>66.4</v>
      </c>
      <c r="N18" s="3">
        <f t="shared" si="7"/>
        <v>59.6</v>
      </c>
      <c r="O18" s="18">
        <f t="shared" si="5"/>
        <v>89.7590361445783</v>
      </c>
      <c r="P18" s="3">
        <v>-20.1</v>
      </c>
      <c r="Q18" s="3">
        <v>22.3</v>
      </c>
      <c r="R18" s="101">
        <f t="shared" si="3"/>
        <v>-110.94527363184079</v>
      </c>
      <c r="S18" s="3">
        <f t="shared" si="8"/>
        <v>46.300000000000004</v>
      </c>
      <c r="T18" s="3">
        <f t="shared" si="9"/>
        <v>81.9</v>
      </c>
      <c r="U18" s="18">
        <f t="shared" si="4"/>
        <v>176.889848812095</v>
      </c>
      <c r="V18" s="3">
        <f t="shared" si="10"/>
        <v>-35.6</v>
      </c>
      <c r="W18" s="115">
        <f t="shared" si="11"/>
        <v>1.0999999999999943</v>
      </c>
    </row>
    <row r="19" spans="1:23" ht="24" customHeight="1">
      <c r="A19" s="110">
        <v>12</v>
      </c>
      <c r="B19" s="1" t="s">
        <v>20</v>
      </c>
      <c r="C19" s="2">
        <v>1003.2</v>
      </c>
      <c r="D19" s="3">
        <v>981.6</v>
      </c>
      <c r="E19" s="3">
        <v>354.2</v>
      </c>
      <c r="F19" s="18">
        <f t="shared" si="0"/>
        <v>36.08394458027709</v>
      </c>
      <c r="G19" s="3">
        <v>957.9</v>
      </c>
      <c r="H19" s="3">
        <v>650</v>
      </c>
      <c r="I19" s="18">
        <f t="shared" si="1"/>
        <v>67.85677001774715</v>
      </c>
      <c r="J19" s="3">
        <v>947.2</v>
      </c>
      <c r="K19" s="3">
        <v>981.6</v>
      </c>
      <c r="L19" s="18">
        <f t="shared" si="2"/>
        <v>103.63175675675676</v>
      </c>
      <c r="M19" s="3">
        <f t="shared" si="6"/>
        <v>2886.7</v>
      </c>
      <c r="N19" s="3">
        <f t="shared" si="7"/>
        <v>1985.8000000000002</v>
      </c>
      <c r="O19" s="18">
        <f t="shared" si="5"/>
        <v>68.79135344857451</v>
      </c>
      <c r="P19" s="3">
        <v>105.6</v>
      </c>
      <c r="Q19" s="3">
        <v>0</v>
      </c>
      <c r="R19" s="18">
        <f t="shared" si="3"/>
        <v>0</v>
      </c>
      <c r="S19" s="3">
        <f t="shared" si="8"/>
        <v>2992.2999999999997</v>
      </c>
      <c r="T19" s="3">
        <f t="shared" si="9"/>
        <v>1985.8000000000002</v>
      </c>
      <c r="U19" s="18">
        <f t="shared" si="4"/>
        <v>66.3636667446446</v>
      </c>
      <c r="V19" s="3">
        <f t="shared" si="10"/>
        <v>1006.4999999999995</v>
      </c>
      <c r="W19" s="115">
        <f t="shared" si="11"/>
        <v>2009.6999999999998</v>
      </c>
    </row>
    <row r="20" spans="1:23" ht="24" customHeight="1">
      <c r="A20" s="110">
        <v>13</v>
      </c>
      <c r="B20" s="20" t="s">
        <v>21</v>
      </c>
      <c r="C20" s="2">
        <v>0</v>
      </c>
      <c r="D20" s="32"/>
      <c r="E20" s="32"/>
      <c r="F20" s="48" t="e">
        <f t="shared" si="0"/>
        <v>#DIV/0!</v>
      </c>
      <c r="G20" s="32"/>
      <c r="H20" s="32"/>
      <c r="I20" s="48" t="e">
        <f t="shared" si="1"/>
        <v>#DIV/0!</v>
      </c>
      <c r="J20" s="32"/>
      <c r="K20" s="32"/>
      <c r="L20" s="48" t="e">
        <f t="shared" si="2"/>
        <v>#DIV/0!</v>
      </c>
      <c r="M20" s="3"/>
      <c r="N20" s="3"/>
      <c r="O20" s="18"/>
      <c r="P20" s="32"/>
      <c r="Q20" s="32"/>
      <c r="R20" s="48" t="e">
        <f t="shared" si="3"/>
        <v>#DIV/0!</v>
      </c>
      <c r="S20" s="3"/>
      <c r="T20" s="3"/>
      <c r="U20" s="18"/>
      <c r="V20" s="3"/>
      <c r="W20" s="115"/>
    </row>
    <row r="21" spans="1:23" ht="24" customHeight="1">
      <c r="A21" s="110">
        <v>14</v>
      </c>
      <c r="B21" s="20" t="s">
        <v>22</v>
      </c>
      <c r="C21" s="2"/>
      <c r="D21" s="32"/>
      <c r="E21" s="32"/>
      <c r="F21" s="48" t="e">
        <f t="shared" si="0"/>
        <v>#DIV/0!</v>
      </c>
      <c r="G21" s="32"/>
      <c r="H21" s="32"/>
      <c r="I21" s="48" t="e">
        <f t="shared" si="1"/>
        <v>#DIV/0!</v>
      </c>
      <c r="J21" s="32"/>
      <c r="K21" s="32"/>
      <c r="L21" s="48" t="e">
        <f t="shared" si="2"/>
        <v>#DIV/0!</v>
      </c>
      <c r="M21" s="3"/>
      <c r="N21" s="3"/>
      <c r="O21" s="18"/>
      <c r="P21" s="32"/>
      <c r="Q21" s="32"/>
      <c r="R21" s="48" t="e">
        <f t="shared" si="3"/>
        <v>#DIV/0!</v>
      </c>
      <c r="S21" s="3"/>
      <c r="T21" s="3"/>
      <c r="U21" s="18"/>
      <c r="V21" s="3"/>
      <c r="W21" s="115"/>
    </row>
    <row r="22" spans="1:23" ht="36.75" customHeight="1">
      <c r="A22" s="110">
        <v>15</v>
      </c>
      <c r="B22" s="20" t="s">
        <v>23</v>
      </c>
      <c r="C22" s="2"/>
      <c r="D22" s="32"/>
      <c r="E22" s="32"/>
      <c r="F22" s="48" t="e">
        <f t="shared" si="0"/>
        <v>#DIV/0!</v>
      </c>
      <c r="G22" s="32"/>
      <c r="H22" s="32"/>
      <c r="I22" s="48" t="e">
        <f t="shared" si="1"/>
        <v>#DIV/0!</v>
      </c>
      <c r="J22" s="32"/>
      <c r="K22" s="32"/>
      <c r="L22" s="48" t="e">
        <f t="shared" si="2"/>
        <v>#DIV/0!</v>
      </c>
      <c r="M22" s="3"/>
      <c r="N22" s="3"/>
      <c r="O22" s="18"/>
      <c r="P22" s="32"/>
      <c r="Q22" s="32"/>
      <c r="R22" s="48" t="e">
        <f t="shared" si="3"/>
        <v>#DIV/0!</v>
      </c>
      <c r="S22" s="3"/>
      <c r="T22" s="3"/>
      <c r="U22" s="18"/>
      <c r="V22" s="3"/>
      <c r="W22" s="115"/>
    </row>
    <row r="23" spans="1:23" ht="24" customHeight="1">
      <c r="A23" s="110">
        <v>16</v>
      </c>
      <c r="B23" s="20" t="s">
        <v>115</v>
      </c>
      <c r="C23" s="2"/>
      <c r="D23" s="32"/>
      <c r="E23" s="32"/>
      <c r="F23" s="48"/>
      <c r="G23" s="32"/>
      <c r="H23" s="32"/>
      <c r="I23" s="48" t="e">
        <f t="shared" si="1"/>
        <v>#DIV/0!</v>
      </c>
      <c r="J23" s="32"/>
      <c r="K23" s="32"/>
      <c r="L23" s="48" t="e">
        <f t="shared" si="2"/>
        <v>#DIV/0!</v>
      </c>
      <c r="M23" s="3"/>
      <c r="N23" s="3"/>
      <c r="O23" s="18"/>
      <c r="P23" s="32"/>
      <c r="Q23" s="32"/>
      <c r="R23" s="48" t="e">
        <f t="shared" si="3"/>
        <v>#DIV/0!</v>
      </c>
      <c r="S23" s="3"/>
      <c r="T23" s="3"/>
      <c r="U23" s="18"/>
      <c r="V23" s="3"/>
      <c r="W23" s="115"/>
    </row>
    <row r="24" spans="1:23" ht="36.75" customHeight="1">
      <c r="A24" s="110">
        <v>17</v>
      </c>
      <c r="B24" s="20" t="s">
        <v>24</v>
      </c>
      <c r="C24" s="2">
        <v>6890.7</v>
      </c>
      <c r="D24" s="3">
        <v>3182.8</v>
      </c>
      <c r="E24" s="3">
        <v>6251</v>
      </c>
      <c r="F24" s="18">
        <f t="shared" si="0"/>
        <v>196.39939675757194</v>
      </c>
      <c r="G24" s="3">
        <v>3382.5</v>
      </c>
      <c r="H24" s="3">
        <v>640</v>
      </c>
      <c r="I24" s="18">
        <f t="shared" si="1"/>
        <v>18.920916481892093</v>
      </c>
      <c r="J24" s="3">
        <v>3368.8</v>
      </c>
      <c r="K24" s="3">
        <v>2434.8</v>
      </c>
      <c r="L24" s="18">
        <f t="shared" si="2"/>
        <v>72.2749940631679</v>
      </c>
      <c r="M24" s="3">
        <f t="shared" si="6"/>
        <v>9934.1</v>
      </c>
      <c r="N24" s="3">
        <f t="shared" si="7"/>
        <v>9325.8</v>
      </c>
      <c r="O24" s="18">
        <f t="shared" si="5"/>
        <v>93.87664710441811</v>
      </c>
      <c r="P24" s="3">
        <v>64.4</v>
      </c>
      <c r="Q24" s="3">
        <v>2123.2</v>
      </c>
      <c r="R24" s="18">
        <f t="shared" si="3"/>
        <v>3296.8944099378873</v>
      </c>
      <c r="S24" s="3">
        <f t="shared" si="8"/>
        <v>9998.5</v>
      </c>
      <c r="T24" s="3">
        <f t="shared" si="9"/>
        <v>11449</v>
      </c>
      <c r="U24" s="18">
        <f t="shared" si="4"/>
        <v>114.50717607641145</v>
      </c>
      <c r="V24" s="3">
        <f t="shared" si="10"/>
        <v>-1450.5</v>
      </c>
      <c r="W24" s="115">
        <f t="shared" si="11"/>
        <v>5440.200000000001</v>
      </c>
    </row>
    <row r="25" spans="1:23" ht="24" customHeight="1">
      <c r="A25" s="110">
        <v>18</v>
      </c>
      <c r="B25" s="1" t="s">
        <v>25</v>
      </c>
      <c r="C25" s="2"/>
      <c r="D25" s="32"/>
      <c r="E25" s="32"/>
      <c r="F25" s="48" t="e">
        <f t="shared" si="0"/>
        <v>#DIV/0!</v>
      </c>
      <c r="G25" s="32"/>
      <c r="H25" s="32"/>
      <c r="I25" s="48" t="e">
        <f t="shared" si="1"/>
        <v>#DIV/0!</v>
      </c>
      <c r="J25" s="32"/>
      <c r="K25" s="32"/>
      <c r="L25" s="48" t="e">
        <f t="shared" si="2"/>
        <v>#DIV/0!</v>
      </c>
      <c r="M25" s="3"/>
      <c r="N25" s="3"/>
      <c r="O25" s="18"/>
      <c r="P25" s="32"/>
      <c r="Q25" s="32"/>
      <c r="R25" s="48" t="e">
        <f t="shared" si="3"/>
        <v>#DIV/0!</v>
      </c>
      <c r="S25" s="3"/>
      <c r="T25" s="3"/>
      <c r="U25" s="18"/>
      <c r="V25" s="3">
        <f t="shared" si="10"/>
        <v>0</v>
      </c>
      <c r="W25" s="115">
        <f t="shared" si="11"/>
        <v>0</v>
      </c>
    </row>
    <row r="26" spans="1:23" ht="24" customHeight="1">
      <c r="A26" s="110">
        <v>19</v>
      </c>
      <c r="B26" s="20" t="s">
        <v>26</v>
      </c>
      <c r="C26" s="2">
        <v>711.2</v>
      </c>
      <c r="D26" s="3">
        <v>360.9</v>
      </c>
      <c r="E26" s="3">
        <v>355.6</v>
      </c>
      <c r="F26" s="18">
        <f t="shared" si="0"/>
        <v>98.53144915489057</v>
      </c>
      <c r="G26" s="3">
        <v>360.9</v>
      </c>
      <c r="H26" s="3">
        <v>0</v>
      </c>
      <c r="I26" s="18">
        <f t="shared" si="1"/>
        <v>0</v>
      </c>
      <c r="J26" s="3">
        <v>359</v>
      </c>
      <c r="K26" s="3">
        <v>0</v>
      </c>
      <c r="L26" s="18">
        <f t="shared" si="2"/>
        <v>0</v>
      </c>
      <c r="M26" s="3">
        <f t="shared" si="6"/>
        <v>1080.8</v>
      </c>
      <c r="N26" s="3">
        <f t="shared" si="7"/>
        <v>355.6</v>
      </c>
      <c r="O26" s="18">
        <f t="shared" si="5"/>
        <v>32.90155440414508</v>
      </c>
      <c r="P26" s="3">
        <v>12.4</v>
      </c>
      <c r="Q26" s="3">
        <v>103.9</v>
      </c>
      <c r="R26" s="18">
        <f t="shared" si="3"/>
        <v>837.9032258064516</v>
      </c>
      <c r="S26" s="3">
        <f t="shared" si="8"/>
        <v>1093.2</v>
      </c>
      <c r="T26" s="3">
        <f t="shared" si="9"/>
        <v>459.5</v>
      </c>
      <c r="U26" s="18">
        <f t="shared" si="4"/>
        <v>42.032564946944746</v>
      </c>
      <c r="V26" s="3">
        <f t="shared" si="10"/>
        <v>633.7</v>
      </c>
      <c r="W26" s="115">
        <f t="shared" si="11"/>
        <v>1344.9</v>
      </c>
    </row>
    <row r="27" spans="1:23" ht="36.75" customHeight="1">
      <c r="A27" s="110">
        <v>20</v>
      </c>
      <c r="B27" s="20" t="s">
        <v>93</v>
      </c>
      <c r="C27" s="2">
        <v>5519</v>
      </c>
      <c r="D27" s="3">
        <v>3195.2</v>
      </c>
      <c r="E27" s="3">
        <v>4603.4</v>
      </c>
      <c r="F27" s="18">
        <f t="shared" si="0"/>
        <v>144.0723585378067</v>
      </c>
      <c r="G27" s="3">
        <v>3419.4</v>
      </c>
      <c r="H27" s="3">
        <v>0</v>
      </c>
      <c r="I27" s="18">
        <f t="shared" si="1"/>
        <v>0</v>
      </c>
      <c r="J27" s="3">
        <v>3380.3</v>
      </c>
      <c r="K27" s="3">
        <v>3377</v>
      </c>
      <c r="L27" s="18">
        <f t="shared" si="2"/>
        <v>99.90237552879921</v>
      </c>
      <c r="M27" s="3">
        <f t="shared" si="6"/>
        <v>9994.900000000001</v>
      </c>
      <c r="N27" s="3">
        <f t="shared" si="7"/>
        <v>7980.4</v>
      </c>
      <c r="O27" s="18">
        <f t="shared" si="5"/>
        <v>79.84472080761186</v>
      </c>
      <c r="P27" s="3">
        <v>220.5</v>
      </c>
      <c r="Q27" s="3">
        <v>733.8</v>
      </c>
      <c r="R27" s="18">
        <f t="shared" si="3"/>
        <v>332.7891156462585</v>
      </c>
      <c r="S27" s="3">
        <f t="shared" si="8"/>
        <v>10215.400000000001</v>
      </c>
      <c r="T27" s="3">
        <f t="shared" si="9"/>
        <v>8714.199999999999</v>
      </c>
      <c r="U27" s="18">
        <f t="shared" si="4"/>
        <v>85.30454020400569</v>
      </c>
      <c r="V27" s="3">
        <f t="shared" si="10"/>
        <v>1501.2000000000025</v>
      </c>
      <c r="W27" s="115">
        <f t="shared" si="11"/>
        <v>7020.200000000003</v>
      </c>
    </row>
    <row r="28" spans="1:23" ht="36.75" customHeight="1">
      <c r="A28" s="110">
        <v>21</v>
      </c>
      <c r="B28" s="1" t="s">
        <v>27</v>
      </c>
      <c r="C28" s="2"/>
      <c r="D28" s="56"/>
      <c r="E28" s="56"/>
      <c r="F28" s="18"/>
      <c r="G28" s="32"/>
      <c r="H28" s="32"/>
      <c r="I28" s="48" t="e">
        <f t="shared" si="1"/>
        <v>#DIV/0!</v>
      </c>
      <c r="J28" s="32"/>
      <c r="K28" s="32"/>
      <c r="L28" s="48" t="e">
        <f t="shared" si="2"/>
        <v>#DIV/0!</v>
      </c>
      <c r="M28" s="3"/>
      <c r="N28" s="3"/>
      <c r="O28" s="18"/>
      <c r="P28" s="32"/>
      <c r="Q28" s="32"/>
      <c r="R28" s="48" t="e">
        <f t="shared" si="3"/>
        <v>#DIV/0!</v>
      </c>
      <c r="S28" s="3"/>
      <c r="T28" s="3"/>
      <c r="U28" s="18"/>
      <c r="V28" s="3">
        <f t="shared" si="10"/>
        <v>0</v>
      </c>
      <c r="W28" s="115">
        <f t="shared" si="11"/>
        <v>0</v>
      </c>
    </row>
    <row r="29" spans="1:23" ht="24" customHeight="1">
      <c r="A29" s="110">
        <v>22</v>
      </c>
      <c r="B29" s="1" t="s">
        <v>2</v>
      </c>
      <c r="C29" s="2"/>
      <c r="D29" s="32"/>
      <c r="E29" s="32"/>
      <c r="F29" s="48" t="e">
        <f t="shared" si="0"/>
        <v>#DIV/0!</v>
      </c>
      <c r="G29" s="32"/>
      <c r="H29" s="32"/>
      <c r="I29" s="48" t="e">
        <f t="shared" si="1"/>
        <v>#DIV/0!</v>
      </c>
      <c r="J29" s="32"/>
      <c r="K29" s="32"/>
      <c r="L29" s="48" t="e">
        <f t="shared" si="2"/>
        <v>#DIV/0!</v>
      </c>
      <c r="M29" s="3"/>
      <c r="N29" s="3"/>
      <c r="O29" s="18"/>
      <c r="P29" s="32"/>
      <c r="Q29" s="32"/>
      <c r="R29" s="48" t="e">
        <f t="shared" si="3"/>
        <v>#DIV/0!</v>
      </c>
      <c r="S29" s="3"/>
      <c r="T29" s="3"/>
      <c r="U29" s="18"/>
      <c r="V29" s="3">
        <f t="shared" si="10"/>
        <v>0</v>
      </c>
      <c r="W29" s="115">
        <f t="shared" si="11"/>
        <v>0</v>
      </c>
    </row>
    <row r="30" spans="1:23" ht="24" customHeight="1">
      <c r="A30" s="110">
        <v>23</v>
      </c>
      <c r="B30" s="20" t="s">
        <v>3</v>
      </c>
      <c r="C30" s="2"/>
      <c r="D30" s="32"/>
      <c r="E30" s="32"/>
      <c r="F30" s="48" t="e">
        <f t="shared" si="0"/>
        <v>#DIV/0!</v>
      </c>
      <c r="G30" s="32"/>
      <c r="H30" s="32"/>
      <c r="I30" s="48" t="e">
        <f t="shared" si="1"/>
        <v>#DIV/0!</v>
      </c>
      <c r="J30" s="32"/>
      <c r="K30" s="32"/>
      <c r="L30" s="48" t="e">
        <f t="shared" si="2"/>
        <v>#DIV/0!</v>
      </c>
      <c r="M30" s="3"/>
      <c r="N30" s="3"/>
      <c r="O30" s="18"/>
      <c r="P30" s="32"/>
      <c r="Q30" s="32"/>
      <c r="R30" s="48" t="e">
        <f t="shared" si="3"/>
        <v>#DIV/0!</v>
      </c>
      <c r="S30" s="3"/>
      <c r="T30" s="3"/>
      <c r="U30" s="18"/>
      <c r="V30" s="3">
        <f t="shared" si="10"/>
        <v>0</v>
      </c>
      <c r="W30" s="115">
        <f t="shared" si="11"/>
        <v>0</v>
      </c>
    </row>
    <row r="31" spans="1:23" ht="24" customHeight="1">
      <c r="A31" s="110">
        <v>24</v>
      </c>
      <c r="B31" s="20" t="s">
        <v>4</v>
      </c>
      <c r="C31" s="2"/>
      <c r="D31" s="32"/>
      <c r="E31" s="32"/>
      <c r="F31" s="48" t="e">
        <f t="shared" si="0"/>
        <v>#DIV/0!</v>
      </c>
      <c r="G31" s="32"/>
      <c r="H31" s="32"/>
      <c r="I31" s="48" t="e">
        <f t="shared" si="1"/>
        <v>#DIV/0!</v>
      </c>
      <c r="J31" s="32"/>
      <c r="K31" s="32"/>
      <c r="L31" s="48" t="e">
        <f t="shared" si="2"/>
        <v>#DIV/0!</v>
      </c>
      <c r="M31" s="3"/>
      <c r="N31" s="3"/>
      <c r="O31" s="18"/>
      <c r="P31" s="32"/>
      <c r="Q31" s="32"/>
      <c r="R31" s="48" t="e">
        <f t="shared" si="3"/>
        <v>#DIV/0!</v>
      </c>
      <c r="S31" s="3"/>
      <c r="T31" s="3"/>
      <c r="U31" s="18"/>
      <c r="V31" s="3">
        <f t="shared" si="10"/>
        <v>0</v>
      </c>
      <c r="W31" s="115">
        <f t="shared" si="11"/>
        <v>0</v>
      </c>
    </row>
    <row r="32" spans="1:23" ht="24" customHeight="1">
      <c r="A32" s="110">
        <v>25</v>
      </c>
      <c r="B32" s="20" t="s">
        <v>11</v>
      </c>
      <c r="C32" s="2"/>
      <c r="D32" s="32"/>
      <c r="E32" s="32"/>
      <c r="F32" s="48" t="e">
        <f t="shared" si="0"/>
        <v>#DIV/0!</v>
      </c>
      <c r="G32" s="32"/>
      <c r="H32" s="32"/>
      <c r="I32" s="48" t="e">
        <f t="shared" si="1"/>
        <v>#DIV/0!</v>
      </c>
      <c r="J32" s="32"/>
      <c r="K32" s="32"/>
      <c r="L32" s="48" t="e">
        <f t="shared" si="2"/>
        <v>#DIV/0!</v>
      </c>
      <c r="M32" s="3"/>
      <c r="N32" s="3"/>
      <c r="O32" s="18"/>
      <c r="P32" s="32"/>
      <c r="Q32" s="32"/>
      <c r="R32" s="48" t="e">
        <f t="shared" si="3"/>
        <v>#DIV/0!</v>
      </c>
      <c r="S32" s="3"/>
      <c r="T32" s="3"/>
      <c r="U32" s="18"/>
      <c r="V32" s="3">
        <f t="shared" si="10"/>
        <v>0</v>
      </c>
      <c r="W32" s="115">
        <f t="shared" si="11"/>
        <v>0</v>
      </c>
    </row>
    <row r="33" spans="1:23" ht="24" customHeight="1">
      <c r="A33" s="110"/>
      <c r="B33" s="20" t="s">
        <v>102</v>
      </c>
      <c r="C33" s="2">
        <v>2911</v>
      </c>
      <c r="D33" s="3">
        <v>3236.5</v>
      </c>
      <c r="E33" s="3">
        <v>2907.4</v>
      </c>
      <c r="F33" s="18">
        <f t="shared" si="0"/>
        <v>89.83160821875484</v>
      </c>
      <c r="G33" s="3">
        <v>4187.8</v>
      </c>
      <c r="H33" s="3">
        <v>0</v>
      </c>
      <c r="I33" s="18">
        <f t="shared" si="1"/>
        <v>0</v>
      </c>
      <c r="J33" s="3">
        <v>4004.7</v>
      </c>
      <c r="K33" s="3">
        <v>3239.4</v>
      </c>
      <c r="L33" s="18">
        <f t="shared" si="2"/>
        <v>80.88995430369317</v>
      </c>
      <c r="M33" s="3">
        <f t="shared" si="6"/>
        <v>11429</v>
      </c>
      <c r="N33" s="3">
        <f t="shared" si="7"/>
        <v>6146.8</v>
      </c>
      <c r="O33" s="18">
        <f t="shared" si="5"/>
        <v>53.782483156881625</v>
      </c>
      <c r="P33" s="3">
        <v>223.7</v>
      </c>
      <c r="Q33" s="3">
        <v>4188.3</v>
      </c>
      <c r="R33" s="18">
        <f t="shared" si="3"/>
        <v>1872.28430934287</v>
      </c>
      <c r="S33" s="3">
        <f t="shared" si="8"/>
        <v>11652.7</v>
      </c>
      <c r="T33" s="3">
        <f t="shared" si="9"/>
        <v>10335.1</v>
      </c>
      <c r="U33" s="18">
        <f t="shared" si="4"/>
        <v>88.69274931990012</v>
      </c>
      <c r="V33" s="3">
        <f t="shared" si="10"/>
        <v>1317.6000000000004</v>
      </c>
      <c r="W33" s="115">
        <f t="shared" si="11"/>
        <v>4228.6</v>
      </c>
    </row>
    <row r="34" spans="1:23" ht="24.75" customHeight="1">
      <c r="A34" s="112"/>
      <c r="B34" s="20" t="s">
        <v>43</v>
      </c>
      <c r="C34" s="2"/>
      <c r="D34" s="32"/>
      <c r="E34" s="32"/>
      <c r="F34" s="48" t="e">
        <f t="shared" si="0"/>
        <v>#DIV/0!</v>
      </c>
      <c r="G34" s="32"/>
      <c r="H34" s="32"/>
      <c r="I34" s="48" t="e">
        <f t="shared" si="1"/>
        <v>#DIV/0!</v>
      </c>
      <c r="J34" s="32"/>
      <c r="K34" s="32"/>
      <c r="L34" s="48" t="e">
        <f t="shared" si="2"/>
        <v>#DIV/0!</v>
      </c>
      <c r="M34" s="3"/>
      <c r="N34" s="3"/>
      <c r="O34" s="18"/>
      <c r="P34" s="32"/>
      <c r="Q34" s="32"/>
      <c r="R34" s="48" t="e">
        <f t="shared" si="3"/>
        <v>#DIV/0!</v>
      </c>
      <c r="S34" s="3"/>
      <c r="T34" s="3"/>
      <c r="U34" s="18"/>
      <c r="V34" s="3"/>
      <c r="W34" s="115"/>
    </row>
    <row r="35" spans="1:23" ht="35.25" customHeight="1">
      <c r="A35" s="110">
        <v>26</v>
      </c>
      <c r="B35" s="20" t="s">
        <v>94</v>
      </c>
      <c r="C35" s="2">
        <v>6738.5</v>
      </c>
      <c r="D35" s="3">
        <f>656.2+2582.1</f>
        <v>3238.3</v>
      </c>
      <c r="E35" s="3">
        <f>1171.2+2784</f>
        <v>3955.2</v>
      </c>
      <c r="F35" s="18">
        <f t="shared" si="0"/>
        <v>122.13815891053947</v>
      </c>
      <c r="G35" s="3">
        <f>613.4+2639.4</f>
        <v>3252.8</v>
      </c>
      <c r="H35" s="3">
        <v>0</v>
      </c>
      <c r="I35" s="18">
        <f t="shared" si="1"/>
        <v>0</v>
      </c>
      <c r="J35" s="3">
        <v>3148.3</v>
      </c>
      <c r="K35" s="3">
        <v>656.2</v>
      </c>
      <c r="L35" s="18">
        <f t="shared" si="2"/>
        <v>20.842994632023633</v>
      </c>
      <c r="M35" s="3">
        <f t="shared" si="6"/>
        <v>9639.400000000001</v>
      </c>
      <c r="N35" s="3">
        <f t="shared" si="7"/>
        <v>4611.4</v>
      </c>
      <c r="O35" s="18">
        <f t="shared" si="5"/>
        <v>47.83907712098262</v>
      </c>
      <c r="P35" s="3">
        <v>203.6</v>
      </c>
      <c r="Q35" s="3">
        <v>778.1</v>
      </c>
      <c r="R35" s="18">
        <f t="shared" si="3"/>
        <v>382.1709233791749</v>
      </c>
      <c r="S35" s="3">
        <f t="shared" si="8"/>
        <v>9843.000000000002</v>
      </c>
      <c r="T35" s="3">
        <f t="shared" si="9"/>
        <v>5389.5</v>
      </c>
      <c r="U35" s="18">
        <f t="shared" si="4"/>
        <v>54.75464797317889</v>
      </c>
      <c r="V35" s="3">
        <f t="shared" si="10"/>
        <v>4453.500000000002</v>
      </c>
      <c r="W35" s="115">
        <f t="shared" si="11"/>
        <v>11192</v>
      </c>
    </row>
    <row r="36" spans="1:23" ht="24" customHeight="1">
      <c r="A36" s="110">
        <v>27</v>
      </c>
      <c r="B36" s="1" t="s">
        <v>28</v>
      </c>
      <c r="C36" s="2"/>
      <c r="D36" s="3"/>
      <c r="E36" s="3"/>
      <c r="F36" s="18"/>
      <c r="G36" s="3"/>
      <c r="H36" s="3"/>
      <c r="I36" s="40"/>
      <c r="J36" s="3"/>
      <c r="K36" s="3"/>
      <c r="L36" s="40"/>
      <c r="M36" s="3"/>
      <c r="N36" s="3"/>
      <c r="O36" s="18"/>
      <c r="P36" s="3"/>
      <c r="Q36" s="3"/>
      <c r="R36" s="40"/>
      <c r="S36" s="3"/>
      <c r="T36" s="3"/>
      <c r="U36" s="40"/>
      <c r="V36" s="3"/>
      <c r="W36" s="115"/>
    </row>
    <row r="37" spans="1:23" ht="24" customHeight="1">
      <c r="A37" s="110">
        <v>28</v>
      </c>
      <c r="B37" s="20" t="s">
        <v>29</v>
      </c>
      <c r="C37" s="2">
        <v>16343.2</v>
      </c>
      <c r="D37" s="3">
        <v>8028.6</v>
      </c>
      <c r="E37" s="3">
        <v>15243.2</v>
      </c>
      <c r="F37" s="18">
        <f t="shared" si="0"/>
        <v>189.86124604538773</v>
      </c>
      <c r="G37" s="3">
        <v>7958.2</v>
      </c>
      <c r="H37" s="3">
        <v>8128.6</v>
      </c>
      <c r="I37" s="18">
        <f t="shared" si="1"/>
        <v>102.14118770576262</v>
      </c>
      <c r="J37" s="3">
        <v>7861</v>
      </c>
      <c r="K37" s="3">
        <v>0</v>
      </c>
      <c r="L37" s="18">
        <f aca="true" t="shared" si="12" ref="L37:L44">K37/J37*100</f>
        <v>0</v>
      </c>
      <c r="M37" s="3">
        <f t="shared" si="6"/>
        <v>23847.8</v>
      </c>
      <c r="N37" s="3">
        <f t="shared" si="7"/>
        <v>23371.800000000003</v>
      </c>
      <c r="O37" s="18">
        <f t="shared" si="5"/>
        <v>98.00400875552462</v>
      </c>
      <c r="P37" s="3">
        <v>308.7</v>
      </c>
      <c r="Q37" s="3">
        <v>7958.2</v>
      </c>
      <c r="R37" s="18">
        <f aca="true" t="shared" si="13" ref="R37:R44">Q37/P37*100</f>
        <v>2577.9721412374474</v>
      </c>
      <c r="S37" s="3">
        <f t="shared" si="8"/>
        <v>24156.5</v>
      </c>
      <c r="T37" s="3">
        <f t="shared" si="9"/>
        <v>31330.000000000004</v>
      </c>
      <c r="U37" s="18">
        <f t="shared" si="4"/>
        <v>129.69594105106287</v>
      </c>
      <c r="V37" s="3">
        <f t="shared" si="10"/>
        <v>-7173.500000000004</v>
      </c>
      <c r="W37" s="115">
        <f t="shared" si="11"/>
        <v>9169.699999999993</v>
      </c>
    </row>
    <row r="38" spans="1:23" ht="24" customHeight="1">
      <c r="A38" s="110">
        <v>29</v>
      </c>
      <c r="B38" s="20" t="s">
        <v>30</v>
      </c>
      <c r="C38" s="2">
        <v>7900.9</v>
      </c>
      <c r="D38" s="3">
        <v>6458.2</v>
      </c>
      <c r="E38" s="3">
        <v>3887.1</v>
      </c>
      <c r="F38" s="18">
        <f t="shared" si="0"/>
        <v>60.188597442011705</v>
      </c>
      <c r="G38" s="3">
        <v>7352.6</v>
      </c>
      <c r="H38" s="3">
        <v>0</v>
      </c>
      <c r="I38" s="18">
        <f t="shared" si="1"/>
        <v>0</v>
      </c>
      <c r="J38" s="3">
        <v>7376.1</v>
      </c>
      <c r="K38" s="3">
        <v>0</v>
      </c>
      <c r="L38" s="18">
        <f t="shared" si="12"/>
        <v>0</v>
      </c>
      <c r="M38" s="3">
        <f t="shared" si="6"/>
        <v>21186.9</v>
      </c>
      <c r="N38" s="3">
        <f t="shared" si="7"/>
        <v>3887.1</v>
      </c>
      <c r="O38" s="18">
        <f t="shared" si="5"/>
        <v>18.346714243235205</v>
      </c>
      <c r="P38" s="3">
        <v>416.6</v>
      </c>
      <c r="Q38" s="3">
        <v>2629.2</v>
      </c>
      <c r="R38" s="18">
        <f t="shared" si="13"/>
        <v>631.1089774363898</v>
      </c>
      <c r="S38" s="3">
        <f t="shared" si="8"/>
        <v>21603.5</v>
      </c>
      <c r="T38" s="3">
        <f t="shared" si="9"/>
        <v>6516.299999999999</v>
      </c>
      <c r="U38" s="18">
        <f t="shared" si="4"/>
        <v>30.163168005184342</v>
      </c>
      <c r="V38" s="3">
        <f t="shared" si="10"/>
        <v>15087.2</v>
      </c>
      <c r="W38" s="115">
        <f t="shared" si="11"/>
        <v>22988.100000000002</v>
      </c>
    </row>
    <row r="39" spans="1:23" ht="33" customHeight="1">
      <c r="A39" s="110">
        <v>30</v>
      </c>
      <c r="B39" s="20" t="s">
        <v>95</v>
      </c>
      <c r="C39" s="2">
        <v>36780.1</v>
      </c>
      <c r="D39" s="3">
        <v>22050.2</v>
      </c>
      <c r="E39" s="3">
        <v>31600.5</v>
      </c>
      <c r="F39" s="18">
        <f t="shared" si="0"/>
        <v>143.31162529138058</v>
      </c>
      <c r="G39" s="3">
        <v>22280.1</v>
      </c>
      <c r="H39" s="3">
        <v>27229.9</v>
      </c>
      <c r="I39" s="18">
        <f t="shared" si="1"/>
        <v>122.21623780862745</v>
      </c>
      <c r="J39" s="3">
        <v>21821.6</v>
      </c>
      <c r="K39" s="3">
        <v>0</v>
      </c>
      <c r="L39" s="18">
        <f t="shared" si="12"/>
        <v>0</v>
      </c>
      <c r="M39" s="3">
        <f t="shared" si="6"/>
        <v>66151.9</v>
      </c>
      <c r="N39" s="3">
        <f t="shared" si="7"/>
        <v>58830.4</v>
      </c>
      <c r="O39" s="18">
        <f t="shared" si="5"/>
        <v>88.93229068250498</v>
      </c>
      <c r="P39" s="3">
        <v>-2186.1</v>
      </c>
      <c r="Q39" s="3">
        <v>72</v>
      </c>
      <c r="R39" s="18">
        <f t="shared" si="13"/>
        <v>-3.2935364347468097</v>
      </c>
      <c r="S39" s="3">
        <f t="shared" si="8"/>
        <v>63965.799999999996</v>
      </c>
      <c r="T39" s="3">
        <f t="shared" si="9"/>
        <v>58902.4</v>
      </c>
      <c r="U39" s="18">
        <f t="shared" si="4"/>
        <v>92.08420749838196</v>
      </c>
      <c r="V39" s="3">
        <f t="shared" si="10"/>
        <v>5063.399999999994</v>
      </c>
      <c r="W39" s="115">
        <f t="shared" si="11"/>
        <v>41843.49999999999</v>
      </c>
    </row>
    <row r="40" spans="1:23" ht="24" customHeight="1">
      <c r="A40" s="110">
        <v>31</v>
      </c>
      <c r="B40" s="20" t="s">
        <v>31</v>
      </c>
      <c r="C40" s="2">
        <v>3.9</v>
      </c>
      <c r="D40" s="3">
        <v>10.5</v>
      </c>
      <c r="E40" s="3">
        <v>2</v>
      </c>
      <c r="F40" s="18">
        <f t="shared" si="0"/>
        <v>19.047619047619047</v>
      </c>
      <c r="G40" s="3">
        <v>6.7</v>
      </c>
      <c r="H40" s="3">
        <v>0</v>
      </c>
      <c r="I40" s="18">
        <f t="shared" si="1"/>
        <v>0</v>
      </c>
      <c r="J40" s="3">
        <v>6.7</v>
      </c>
      <c r="K40" s="3">
        <v>0</v>
      </c>
      <c r="L40" s="18">
        <f t="shared" si="12"/>
        <v>0</v>
      </c>
      <c r="M40" s="3">
        <f t="shared" si="6"/>
        <v>23.9</v>
      </c>
      <c r="N40" s="3">
        <f t="shared" si="7"/>
        <v>2</v>
      </c>
      <c r="O40" s="18">
        <f t="shared" si="5"/>
        <v>8.368200836820085</v>
      </c>
      <c r="P40" s="3">
        <v>-3.6</v>
      </c>
      <c r="Q40" s="3">
        <v>1.8</v>
      </c>
      <c r="R40" s="18">
        <f t="shared" si="13"/>
        <v>-50</v>
      </c>
      <c r="S40" s="3">
        <f t="shared" si="8"/>
        <v>20.299999999999997</v>
      </c>
      <c r="T40" s="3">
        <f t="shared" si="9"/>
        <v>3.8</v>
      </c>
      <c r="U40" s="18">
        <f t="shared" si="4"/>
        <v>18.7192118226601</v>
      </c>
      <c r="V40" s="3">
        <f t="shared" si="10"/>
        <v>16.499999999999996</v>
      </c>
      <c r="W40" s="115">
        <f t="shared" si="11"/>
        <v>20.399999999999995</v>
      </c>
    </row>
    <row r="41" spans="1:23" ht="37.5">
      <c r="A41" s="110">
        <v>32</v>
      </c>
      <c r="B41" s="1" t="s">
        <v>103</v>
      </c>
      <c r="C41" s="2">
        <v>16367.8</v>
      </c>
      <c r="D41" s="3">
        <v>8204.8</v>
      </c>
      <c r="E41" s="3">
        <v>14411.3</v>
      </c>
      <c r="F41" s="18">
        <f t="shared" si="0"/>
        <v>175.6447445397816</v>
      </c>
      <c r="G41" s="3">
        <v>8304.7</v>
      </c>
      <c r="H41" s="3">
        <v>10161.3</v>
      </c>
      <c r="I41" s="18">
        <f t="shared" si="1"/>
        <v>122.35601526846243</v>
      </c>
      <c r="J41" s="3">
        <v>8338.8</v>
      </c>
      <c r="K41" s="3">
        <v>0</v>
      </c>
      <c r="L41" s="18">
        <f t="shared" si="12"/>
        <v>0</v>
      </c>
      <c r="M41" s="3">
        <f t="shared" si="6"/>
        <v>24848.3</v>
      </c>
      <c r="N41" s="3">
        <f t="shared" si="7"/>
        <v>24572.6</v>
      </c>
      <c r="O41" s="18">
        <f t="shared" si="5"/>
        <v>98.89046735591569</v>
      </c>
      <c r="P41" s="3">
        <v>71.5</v>
      </c>
      <c r="Q41" s="3">
        <v>0</v>
      </c>
      <c r="R41" s="18">
        <f t="shared" si="13"/>
        <v>0</v>
      </c>
      <c r="S41" s="3">
        <f t="shared" si="8"/>
        <v>24919.8</v>
      </c>
      <c r="T41" s="3">
        <f t="shared" si="9"/>
        <v>24572.6</v>
      </c>
      <c r="U41" s="18">
        <f t="shared" si="4"/>
        <v>98.60673039109463</v>
      </c>
      <c r="V41" s="3">
        <f t="shared" si="10"/>
        <v>347.2000000000007</v>
      </c>
      <c r="W41" s="115">
        <f t="shared" si="11"/>
        <v>16715</v>
      </c>
    </row>
    <row r="42" spans="1:23" ht="24" customHeight="1">
      <c r="A42" s="110">
        <v>33</v>
      </c>
      <c r="B42" s="20" t="s">
        <v>33</v>
      </c>
      <c r="C42" s="2">
        <v>12040.3</v>
      </c>
      <c r="D42" s="3">
        <v>6300.9</v>
      </c>
      <c r="E42" s="3">
        <v>9974.1</v>
      </c>
      <c r="F42" s="18">
        <f t="shared" si="0"/>
        <v>158.29643384278438</v>
      </c>
      <c r="G42" s="3">
        <v>6312.2</v>
      </c>
      <c r="H42" s="3">
        <v>6301</v>
      </c>
      <c r="I42" s="18">
        <f t="shared" si="1"/>
        <v>99.8225658249105</v>
      </c>
      <c r="J42" s="3">
        <v>6284.3</v>
      </c>
      <c r="K42" s="3">
        <v>0</v>
      </c>
      <c r="L42" s="18">
        <f t="shared" si="12"/>
        <v>0</v>
      </c>
      <c r="M42" s="3">
        <f t="shared" si="6"/>
        <v>18897.399999999998</v>
      </c>
      <c r="N42" s="3">
        <f t="shared" si="7"/>
        <v>16275.1</v>
      </c>
      <c r="O42" s="18">
        <f t="shared" si="5"/>
        <v>86.1234878872226</v>
      </c>
      <c r="P42" s="3">
        <v>93.8</v>
      </c>
      <c r="Q42" s="3">
        <v>0</v>
      </c>
      <c r="R42" s="18">
        <f t="shared" si="13"/>
        <v>0</v>
      </c>
      <c r="S42" s="3">
        <f t="shared" si="8"/>
        <v>18991.199999999997</v>
      </c>
      <c r="T42" s="3">
        <f t="shared" si="9"/>
        <v>16275.1</v>
      </c>
      <c r="U42" s="18">
        <f t="shared" si="4"/>
        <v>85.69811281014366</v>
      </c>
      <c r="V42" s="3">
        <f t="shared" si="10"/>
        <v>2716.0999999999967</v>
      </c>
      <c r="W42" s="115">
        <f t="shared" si="11"/>
        <v>14756.399999999996</v>
      </c>
    </row>
    <row r="43" spans="1:23" s="9" customFormat="1" ht="24.75" customHeight="1">
      <c r="A43" s="22">
        <v>34</v>
      </c>
      <c r="B43" s="22" t="s">
        <v>5</v>
      </c>
      <c r="C43" s="60">
        <f>C44</f>
        <v>435149</v>
      </c>
      <c r="D43" s="60">
        <f>D44</f>
        <v>237928</v>
      </c>
      <c r="E43" s="60">
        <f>E44</f>
        <v>329029</v>
      </c>
      <c r="F43" s="18">
        <f t="shared" si="0"/>
        <v>138.2893144144447</v>
      </c>
      <c r="G43" s="60">
        <f>G44</f>
        <v>258061</v>
      </c>
      <c r="H43" s="60">
        <f>H44</f>
        <v>97866</v>
      </c>
      <c r="I43" s="18">
        <f t="shared" si="1"/>
        <v>37.92359170893703</v>
      </c>
      <c r="J43" s="60">
        <f>J44</f>
        <v>263391</v>
      </c>
      <c r="K43" s="60">
        <f>K44</f>
        <v>229062</v>
      </c>
      <c r="L43" s="60">
        <f>L44</f>
        <v>86.96652505210885</v>
      </c>
      <c r="M43" s="60">
        <f>M44</f>
        <v>759380</v>
      </c>
      <c r="N43" s="60">
        <f>N44</f>
        <v>655957</v>
      </c>
      <c r="O43" s="18">
        <f t="shared" si="5"/>
        <v>86.3805999631278</v>
      </c>
      <c r="P43" s="60">
        <f>P44</f>
        <v>26429</v>
      </c>
      <c r="Q43" s="60">
        <f>Q44</f>
        <v>0</v>
      </c>
      <c r="R43" s="18">
        <f t="shared" si="13"/>
        <v>0</v>
      </c>
      <c r="S43" s="4">
        <f>S44</f>
        <v>785809</v>
      </c>
      <c r="T43" s="4">
        <f>T44</f>
        <v>655957</v>
      </c>
      <c r="U43" s="18">
        <f t="shared" si="4"/>
        <v>83.47537378675989</v>
      </c>
      <c r="V43" s="61">
        <f>V44+V45</f>
        <v>129852</v>
      </c>
      <c r="W43" s="61">
        <f>W44+W45</f>
        <v>565001</v>
      </c>
    </row>
    <row r="44" spans="1:23" s="9" customFormat="1" ht="24.75" customHeight="1">
      <c r="A44" s="22"/>
      <c r="B44" s="1" t="s">
        <v>34</v>
      </c>
      <c r="C44" s="2">
        <v>435149</v>
      </c>
      <c r="D44" s="3">
        <v>237928</v>
      </c>
      <c r="E44" s="3">
        <v>329029</v>
      </c>
      <c r="F44" s="18">
        <f t="shared" si="0"/>
        <v>138.2893144144447</v>
      </c>
      <c r="G44" s="3">
        <v>258061</v>
      </c>
      <c r="H44" s="3">
        <v>97866</v>
      </c>
      <c r="I44" s="18">
        <f t="shared" si="1"/>
        <v>37.92359170893703</v>
      </c>
      <c r="J44" s="3">
        <v>263391</v>
      </c>
      <c r="K44" s="3">
        <v>229062</v>
      </c>
      <c r="L44" s="18">
        <f t="shared" si="12"/>
        <v>86.96652505210885</v>
      </c>
      <c r="M44" s="3">
        <f>D44+G44+J44</f>
        <v>759380</v>
      </c>
      <c r="N44" s="3">
        <f>E44+H44+K44</f>
        <v>655957</v>
      </c>
      <c r="O44" s="18">
        <f t="shared" si="5"/>
        <v>86.3805999631278</v>
      </c>
      <c r="P44" s="3">
        <v>26429</v>
      </c>
      <c r="Q44" s="3">
        <v>0</v>
      </c>
      <c r="R44" s="18">
        <f t="shared" si="13"/>
        <v>0</v>
      </c>
      <c r="S44" s="3">
        <f>M44+P44</f>
        <v>785809</v>
      </c>
      <c r="T44" s="3">
        <f>N44+Q44</f>
        <v>655957</v>
      </c>
      <c r="U44" s="18">
        <f t="shared" si="4"/>
        <v>83.47537378675989</v>
      </c>
      <c r="V44" s="3">
        <f>S44-T44</f>
        <v>129852</v>
      </c>
      <c r="W44" s="115">
        <f>C44+S44-T44</f>
        <v>565001</v>
      </c>
    </row>
    <row r="45" spans="1:23" s="9" customFormat="1" ht="24.75" customHeight="1">
      <c r="A45" s="22"/>
      <c r="B45" s="1" t="s">
        <v>43</v>
      </c>
      <c r="C45" s="2"/>
      <c r="D45" s="32"/>
      <c r="E45" s="32"/>
      <c r="F45" s="48" t="e">
        <f t="shared" si="0"/>
        <v>#DIV/0!</v>
      </c>
      <c r="G45" s="32"/>
      <c r="H45" s="32"/>
      <c r="I45" s="48"/>
      <c r="J45" s="32"/>
      <c r="K45" s="32"/>
      <c r="L45" s="48"/>
      <c r="M45" s="48"/>
      <c r="N45" s="48"/>
      <c r="O45" s="18"/>
      <c r="P45" s="32"/>
      <c r="Q45" s="32"/>
      <c r="R45" s="48"/>
      <c r="S45" s="32"/>
      <c r="T45" s="32"/>
      <c r="U45" s="18"/>
      <c r="V45" s="32"/>
      <c r="W45" s="115"/>
    </row>
    <row r="46" spans="1:25" s="9" customFormat="1" ht="24.75" customHeight="1">
      <c r="A46" s="22"/>
      <c r="B46" s="22" t="s">
        <v>7</v>
      </c>
      <c r="C46" s="60">
        <f>C7+C43</f>
        <v>561946.3</v>
      </c>
      <c r="D46" s="4">
        <f>D7+D43</f>
        <v>314885.5</v>
      </c>
      <c r="E46" s="4">
        <f>E7+E43</f>
        <v>433290.10000000003</v>
      </c>
      <c r="F46" s="18">
        <f t="shared" si="0"/>
        <v>137.60243008966754</v>
      </c>
      <c r="G46" s="4">
        <f>G7+G43</f>
        <v>337133.1</v>
      </c>
      <c r="H46" s="4">
        <f>H7+H43</f>
        <v>152689.6</v>
      </c>
      <c r="I46" s="18">
        <f>H46/G46*100</f>
        <v>45.29059887623019</v>
      </c>
      <c r="J46" s="4">
        <f>J7+J43</f>
        <v>340942.8</v>
      </c>
      <c r="K46" s="4">
        <f>K7+K43</f>
        <v>250680.7</v>
      </c>
      <c r="L46" s="4">
        <f>K46/J46*100</f>
        <v>73.52573510864579</v>
      </c>
      <c r="M46" s="4">
        <f>M7+M43</f>
        <v>992961.4</v>
      </c>
      <c r="N46" s="4">
        <f>N7+N43</f>
        <v>836660.4</v>
      </c>
      <c r="O46" s="18">
        <f t="shared" si="5"/>
        <v>84.25910614450875</v>
      </c>
      <c r="P46" s="4">
        <f>P7+P43</f>
        <v>26327.2</v>
      </c>
      <c r="Q46" s="4">
        <f>Q7+Q43</f>
        <v>20930.8</v>
      </c>
      <c r="R46" s="18">
        <f>Q46/P46*100</f>
        <v>79.50256768665106</v>
      </c>
      <c r="S46" s="4">
        <f>S7+S43</f>
        <v>1019288.6</v>
      </c>
      <c r="T46" s="4">
        <f>T7+T43</f>
        <v>857591.2</v>
      </c>
      <c r="U46" s="18">
        <f>T46/S46*100</f>
        <v>84.13624953717719</v>
      </c>
      <c r="V46" s="54">
        <f>V7+V43</f>
        <v>161697.4</v>
      </c>
      <c r="W46" s="54">
        <f>W7+W43</f>
        <v>723643.7</v>
      </c>
      <c r="X46" s="30">
        <f>S46-T46</f>
        <v>161697.40000000002</v>
      </c>
      <c r="Y46" s="24">
        <f>C46+S46-T46</f>
        <v>723643.7</v>
      </c>
    </row>
    <row r="47" spans="1:23" s="9" customFormat="1" ht="24.75" customHeight="1" hidden="1">
      <c r="A47" s="92"/>
      <c r="B47" s="92"/>
      <c r="C47" s="9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8" t="e">
        <f t="shared" si="5"/>
        <v>#DIV/0!</v>
      </c>
      <c r="P47" s="23"/>
      <c r="Q47" s="23"/>
      <c r="R47" s="23"/>
      <c r="S47" s="23"/>
      <c r="T47" s="23"/>
      <c r="U47" s="23"/>
      <c r="V47" s="23"/>
      <c r="W47" s="116"/>
    </row>
    <row r="48" spans="1:23" s="9" customFormat="1" ht="18.75" customHeight="1" hidden="1">
      <c r="A48" s="22"/>
      <c r="B48" s="9" t="s">
        <v>44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8" t="e">
        <f t="shared" si="5"/>
        <v>#DIV/0!</v>
      </c>
      <c r="P48" s="23"/>
      <c r="Q48" s="23"/>
      <c r="R48" s="23"/>
      <c r="S48" s="23"/>
      <c r="T48" s="23"/>
      <c r="U48" s="23"/>
      <c r="V48" s="23"/>
      <c r="W48" s="116"/>
    </row>
    <row r="49" spans="1:23" s="9" customFormat="1" ht="6.75" customHeight="1" hidden="1">
      <c r="A49" s="92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8" t="e">
        <f t="shared" si="5"/>
        <v>#DIV/0!</v>
      </c>
      <c r="P49" s="23"/>
      <c r="Q49" s="23"/>
      <c r="R49" s="23"/>
      <c r="S49" s="23"/>
      <c r="T49" s="23"/>
      <c r="U49" s="23"/>
      <c r="V49" s="23"/>
      <c r="W49" s="116"/>
    </row>
    <row r="50" spans="1:23" s="9" customFormat="1" ht="18.75" customHeight="1" hidden="1">
      <c r="A50" s="22"/>
      <c r="B50" s="9" t="s">
        <v>45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8" t="e">
        <f t="shared" si="5"/>
        <v>#DIV/0!</v>
      </c>
      <c r="P50" s="23"/>
      <c r="Q50" s="23"/>
      <c r="R50" s="23"/>
      <c r="S50" s="23"/>
      <c r="T50" s="23"/>
      <c r="U50" s="23"/>
      <c r="V50" s="23"/>
      <c r="W50" s="116"/>
    </row>
    <row r="51" spans="3:23" ht="24.75" customHeight="1">
      <c r="C51" s="78"/>
      <c r="D51" s="43"/>
      <c r="E51" s="43"/>
      <c r="F51" s="67"/>
      <c r="G51" s="43"/>
      <c r="H51" s="43"/>
      <c r="I51" s="67"/>
      <c r="J51" s="43"/>
      <c r="K51" s="43"/>
      <c r="L51" s="67"/>
      <c r="M51" s="67"/>
      <c r="N51" s="67"/>
      <c r="O51" s="18"/>
      <c r="P51" s="43"/>
      <c r="Q51" s="43"/>
      <c r="R51" s="67"/>
      <c r="S51" s="43"/>
      <c r="T51" s="43"/>
      <c r="U51" s="67"/>
      <c r="V51" s="43"/>
      <c r="W51" s="117"/>
    </row>
    <row r="52" spans="1:28" ht="73.5" customHeight="1" hidden="1">
      <c r="A52" s="137" t="s">
        <v>99</v>
      </c>
      <c r="B52" s="137"/>
      <c r="C52" s="137"/>
      <c r="D52" s="68"/>
      <c r="E52" s="68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43"/>
      <c r="W52" s="69" t="s">
        <v>97</v>
      </c>
      <c r="X52" s="43"/>
      <c r="Y52" s="43"/>
      <c r="Z52" s="43"/>
      <c r="AA52" s="67"/>
      <c r="AB52" s="69" t="s">
        <v>97</v>
      </c>
    </row>
    <row r="53" spans="1:23" s="76" customFormat="1" ht="42.75" customHeight="1">
      <c r="A53" s="71"/>
      <c r="B53" s="135" t="s">
        <v>101</v>
      </c>
      <c r="C53" s="135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4"/>
      <c r="W53" s="75" t="s">
        <v>100</v>
      </c>
    </row>
    <row r="54" spans="3:23" ht="40.5" customHeight="1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39"/>
      <c r="W54" s="118"/>
    </row>
    <row r="55" spans="3:23" ht="40.5" customHeight="1">
      <c r="C55" s="103"/>
      <c r="D55" s="39"/>
      <c r="E55" s="39"/>
      <c r="F55" s="77"/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/>
      <c r="T55" s="39"/>
      <c r="U55" s="77"/>
      <c r="V55" s="3"/>
      <c r="W55" s="118"/>
    </row>
    <row r="56" spans="2:23" ht="19.5" customHeight="1">
      <c r="B56" s="5" t="s">
        <v>39</v>
      </c>
      <c r="C56" s="89">
        <v>41.3</v>
      </c>
      <c r="D56" s="3">
        <v>94.8</v>
      </c>
      <c r="E56" s="3">
        <v>128.8</v>
      </c>
      <c r="F56" s="18"/>
      <c r="G56" s="3">
        <v>32.5</v>
      </c>
      <c r="H56" s="3">
        <v>0</v>
      </c>
      <c r="I56" s="18"/>
      <c r="J56" s="3">
        <v>32.5</v>
      </c>
      <c r="K56" s="3">
        <v>0</v>
      </c>
      <c r="L56" s="18"/>
      <c r="M56" s="18"/>
      <c r="N56" s="18"/>
      <c r="O56" s="18"/>
      <c r="P56" s="3">
        <v>32.5</v>
      </c>
      <c r="Q56" s="3">
        <v>0</v>
      </c>
      <c r="R56" s="18"/>
      <c r="S56" s="3"/>
      <c r="T56" s="3"/>
      <c r="U56" s="18"/>
      <c r="V56" s="39"/>
      <c r="W56" s="115">
        <f>C56+D56-E56</f>
        <v>7.299999999999983</v>
      </c>
    </row>
    <row r="57" spans="2:23" ht="18.75">
      <c r="B57" s="5" t="s">
        <v>40</v>
      </c>
      <c r="C57" s="78">
        <v>60</v>
      </c>
      <c r="D57" s="43">
        <v>196.2</v>
      </c>
      <c r="E57" s="43">
        <v>238.1</v>
      </c>
      <c r="F57" s="67"/>
      <c r="G57" s="43"/>
      <c r="H57" s="43"/>
      <c r="I57" s="67"/>
      <c r="J57" s="43"/>
      <c r="K57" s="43"/>
      <c r="L57" s="67"/>
      <c r="M57" s="67"/>
      <c r="N57" s="67"/>
      <c r="O57" s="67"/>
      <c r="P57" s="43"/>
      <c r="Q57" s="43"/>
      <c r="R57" s="67"/>
      <c r="S57" s="43"/>
      <c r="T57" s="43"/>
      <c r="U57" s="67"/>
      <c r="V57" s="39"/>
      <c r="W57" s="115">
        <f>C57+D57-E57</f>
        <v>18.099999999999994</v>
      </c>
    </row>
    <row r="58" spans="3:23" ht="18.75">
      <c r="C58" s="78"/>
      <c r="D58" s="43"/>
      <c r="E58" s="43"/>
      <c r="F58" s="67"/>
      <c r="G58" s="43"/>
      <c r="H58" s="43"/>
      <c r="I58" s="67"/>
      <c r="J58" s="43"/>
      <c r="K58" s="43"/>
      <c r="L58" s="67"/>
      <c r="M58" s="67"/>
      <c r="N58" s="67"/>
      <c r="O58" s="67"/>
      <c r="P58" s="43"/>
      <c r="Q58" s="43"/>
      <c r="R58" s="67"/>
      <c r="S58" s="43"/>
      <c r="T58" s="43"/>
      <c r="U58" s="67"/>
      <c r="V58" s="39"/>
      <c r="W58" s="118"/>
    </row>
    <row r="59" spans="3:23" ht="18.75">
      <c r="C59" s="78"/>
      <c r="D59" s="43"/>
      <c r="E59" s="43"/>
      <c r="F59" s="67"/>
      <c r="G59" s="43"/>
      <c r="H59" s="43"/>
      <c r="I59" s="67"/>
      <c r="J59" s="43"/>
      <c r="K59" s="43"/>
      <c r="L59" s="67"/>
      <c r="M59" s="67"/>
      <c r="N59" s="67"/>
      <c r="O59" s="67"/>
      <c r="P59" s="43"/>
      <c r="Q59" s="43"/>
      <c r="R59" s="67"/>
      <c r="S59" s="43"/>
      <c r="T59" s="43"/>
      <c r="U59" s="67"/>
      <c r="V59" s="39"/>
      <c r="W59" s="118"/>
    </row>
    <row r="60" spans="3:23" ht="18.75">
      <c r="C60" s="78"/>
      <c r="D60" s="43"/>
      <c r="E60" s="43"/>
      <c r="F60" s="67"/>
      <c r="G60" s="43"/>
      <c r="H60" s="43"/>
      <c r="I60" s="67"/>
      <c r="J60" s="43"/>
      <c r="K60" s="43"/>
      <c r="L60" s="67"/>
      <c r="M60" s="67"/>
      <c r="N60" s="67"/>
      <c r="O60" s="67"/>
      <c r="P60" s="43"/>
      <c r="Q60" s="43"/>
      <c r="R60" s="67"/>
      <c r="S60" s="43"/>
      <c r="T60" s="43"/>
      <c r="U60" s="67"/>
      <c r="V60" s="39"/>
      <c r="W60" s="118"/>
    </row>
    <row r="61" spans="2:23" ht="18.75">
      <c r="B61" s="5" t="s">
        <v>41</v>
      </c>
      <c r="C61" s="78">
        <f>C9+C17+C20+C26+C36+C38+C40</f>
        <v>9803.3</v>
      </c>
      <c r="D61" s="43"/>
      <c r="E61" s="43"/>
      <c r="F61" s="67"/>
      <c r="G61" s="43"/>
      <c r="H61" s="43"/>
      <c r="I61" s="67"/>
      <c r="J61" s="43"/>
      <c r="K61" s="43"/>
      <c r="L61" s="67"/>
      <c r="M61" s="67"/>
      <c r="N61" s="67"/>
      <c r="O61" s="67"/>
      <c r="P61" s="43"/>
      <c r="Q61" s="43"/>
      <c r="R61" s="67"/>
      <c r="S61" s="43"/>
      <c r="T61" s="43"/>
      <c r="U61" s="67"/>
      <c r="V61" s="39"/>
      <c r="W61" s="118">
        <f>W9+W17+W20+W26+W36+W38+W40</f>
        <v>26467.000000000004</v>
      </c>
    </row>
    <row r="62" spans="2:23" ht="18.75">
      <c r="B62" s="5" t="s">
        <v>42</v>
      </c>
      <c r="C62" s="78">
        <f>C11+C13+C14+C16+C18+C19+C25</f>
        <v>1059.9</v>
      </c>
      <c r="D62" s="43"/>
      <c r="E62" s="43"/>
      <c r="F62" s="67"/>
      <c r="G62" s="43"/>
      <c r="H62" s="43"/>
      <c r="I62" s="67"/>
      <c r="J62" s="43"/>
      <c r="K62" s="43"/>
      <c r="L62" s="67"/>
      <c r="M62" s="67"/>
      <c r="N62" s="67"/>
      <c r="O62" s="67"/>
      <c r="P62" s="43"/>
      <c r="Q62" s="43"/>
      <c r="R62" s="67"/>
      <c r="S62" s="43"/>
      <c r="T62" s="43"/>
      <c r="U62" s="67"/>
      <c r="V62" s="39"/>
      <c r="W62" s="118">
        <f>W11+W13+W14+W16+W18+W19+W25</f>
        <v>2029.6</v>
      </c>
    </row>
    <row r="63" spans="3:23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39"/>
      <c r="W63" s="118"/>
    </row>
    <row r="64" spans="3:23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39"/>
      <c r="W64" s="118"/>
    </row>
    <row r="65" spans="3:23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39"/>
      <c r="W65" s="118"/>
    </row>
    <row r="66" spans="3:23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39"/>
      <c r="W66" s="118"/>
    </row>
    <row r="67" spans="3:23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39"/>
      <c r="W67" s="118"/>
    </row>
    <row r="68" spans="3:23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39"/>
      <c r="W68" s="118"/>
    </row>
    <row r="69" spans="3:23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39"/>
      <c r="W69" s="118"/>
    </row>
    <row r="70" spans="3:23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39"/>
      <c r="W70" s="118"/>
    </row>
    <row r="71" spans="3:23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39"/>
      <c r="W71" s="118"/>
    </row>
    <row r="72" spans="3:23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39"/>
      <c r="W72" s="118"/>
    </row>
    <row r="73" spans="3:23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39"/>
      <c r="W73" s="118"/>
    </row>
    <row r="74" spans="3:23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39"/>
      <c r="W74" s="118"/>
    </row>
    <row r="75" spans="3:23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39"/>
      <c r="W75" s="118"/>
    </row>
    <row r="76" spans="3:23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39"/>
      <c r="W76" s="118"/>
    </row>
    <row r="77" spans="3:23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39"/>
      <c r="W77" s="118"/>
    </row>
    <row r="78" spans="3:23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39"/>
      <c r="W78" s="118"/>
    </row>
    <row r="79" spans="3:23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39"/>
      <c r="W79" s="118"/>
    </row>
    <row r="80" spans="3:23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39"/>
      <c r="W80" s="118"/>
    </row>
    <row r="81" spans="3:23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39"/>
      <c r="W81" s="118"/>
    </row>
    <row r="82" spans="3:23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39"/>
      <c r="W82" s="118"/>
    </row>
    <row r="83" spans="3:23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39"/>
      <c r="W83" s="118"/>
    </row>
    <row r="84" spans="3:23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39"/>
      <c r="W84" s="118"/>
    </row>
    <row r="85" spans="3:23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39"/>
      <c r="W85" s="118"/>
    </row>
    <row r="86" spans="3:23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39"/>
      <c r="W86" s="118"/>
    </row>
    <row r="87" spans="3:23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39"/>
      <c r="W87" s="118"/>
    </row>
    <row r="88" spans="3:23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39"/>
      <c r="W88" s="118"/>
    </row>
    <row r="89" spans="3:23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39"/>
      <c r="W89" s="118"/>
    </row>
    <row r="90" spans="3:23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39"/>
      <c r="W90" s="118"/>
    </row>
    <row r="91" spans="3:23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39"/>
      <c r="W91" s="118"/>
    </row>
    <row r="92" spans="3:23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39"/>
      <c r="W92" s="118"/>
    </row>
    <row r="93" spans="3:23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39"/>
      <c r="W93" s="118"/>
    </row>
    <row r="94" spans="3:23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39"/>
      <c r="W94" s="118"/>
    </row>
    <row r="95" spans="3:23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39"/>
      <c r="W95" s="118"/>
    </row>
    <row r="96" spans="3:23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39"/>
      <c r="W96" s="118"/>
    </row>
    <row r="97" spans="3:23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39"/>
      <c r="W97" s="118"/>
    </row>
    <row r="98" spans="3:23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39"/>
      <c r="W98" s="118"/>
    </row>
    <row r="99" spans="3:23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39"/>
      <c r="W99" s="118"/>
    </row>
    <row r="100" spans="3:23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39"/>
      <c r="W100" s="118"/>
    </row>
    <row r="101" spans="3:23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39"/>
      <c r="W101" s="118"/>
    </row>
    <row r="102" spans="3:23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39"/>
      <c r="W102" s="118"/>
    </row>
    <row r="103" spans="3:23" ht="18.75">
      <c r="C103" s="103"/>
      <c r="D103" s="39"/>
      <c r="E103" s="39"/>
      <c r="F103" s="77"/>
      <c r="G103" s="39"/>
      <c r="H103" s="39"/>
      <c r="I103" s="77"/>
      <c r="J103" s="39"/>
      <c r="K103" s="39"/>
      <c r="L103" s="77"/>
      <c r="M103" s="77"/>
      <c r="N103" s="77"/>
      <c r="O103" s="77"/>
      <c r="P103" s="39"/>
      <c r="Q103" s="39"/>
      <c r="R103" s="77"/>
      <c r="S103" s="39"/>
      <c r="T103" s="39"/>
      <c r="U103" s="77"/>
      <c r="W103" s="118"/>
    </row>
  </sheetData>
  <sheetProtection/>
  <mergeCells count="13">
    <mergeCell ref="W5:W6"/>
    <mergeCell ref="D1:W1"/>
    <mergeCell ref="B2:W2"/>
    <mergeCell ref="B3:W3"/>
    <mergeCell ref="B4:C4"/>
    <mergeCell ref="V5:V6"/>
    <mergeCell ref="P5:R5"/>
    <mergeCell ref="A52:C52"/>
    <mergeCell ref="J5:L5"/>
    <mergeCell ref="B53:C53"/>
    <mergeCell ref="D5:F5"/>
    <mergeCell ref="G5:I5"/>
    <mergeCell ref="S5: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2"/>
  <sheetViews>
    <sheetView view="pageBreakPreview" zoomScale="70" zoomScaleNormal="75" zoomScaleSheetLayoutView="70" zoomScalePageLayoutView="0" workbookViewId="0" topLeftCell="A1">
      <pane xSplit="6" ySplit="8" topLeftCell="G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X47" sqref="X47"/>
    </sheetView>
  </sheetViews>
  <sheetFormatPr defaultColWidth="7.875" defaultRowHeight="12.75"/>
  <cols>
    <col min="1" max="1" width="6.125" style="7" customWidth="1"/>
    <col min="2" max="2" width="54.875" style="5" customWidth="1"/>
    <col min="3" max="3" width="16.7539062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3.25390625" style="9" customWidth="1"/>
    <col min="14" max="14" width="12.75390625" style="9" customWidth="1"/>
    <col min="15" max="15" width="11.875" style="9" customWidth="1"/>
    <col min="16" max="17" width="14.75390625" style="5" customWidth="1"/>
    <col min="18" max="18" width="11.875" style="9" customWidth="1"/>
    <col min="19" max="19" width="14.125" style="5" customWidth="1"/>
    <col min="20" max="20" width="15.00390625" style="5" customWidth="1"/>
    <col min="21" max="21" width="13.75390625" style="9" customWidth="1"/>
    <col min="22" max="22" width="19.75390625" style="5" customWidth="1"/>
    <col min="23" max="23" width="22.625" style="5" customWidth="1"/>
    <col min="24" max="24" width="13.00390625" style="5" customWidth="1"/>
    <col min="25" max="25" width="16.625" style="5" customWidth="1"/>
    <col min="26" max="16384" width="7.875" style="5" customWidth="1"/>
  </cols>
  <sheetData>
    <row r="1" spans="4:23" ht="18.75"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s="42" customFormat="1" ht="42" customHeight="1">
      <c r="A2" s="41"/>
      <c r="B2" s="127" t="s">
        <v>84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1:23" s="42" customFormat="1" ht="42" customHeight="1">
      <c r="A3" s="41"/>
      <c r="B3" s="127" t="s">
        <v>118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2:23" ht="18.75">
      <c r="B4" s="128"/>
      <c r="C4" s="128"/>
      <c r="W4" s="13" t="s">
        <v>48</v>
      </c>
    </row>
    <row r="5" spans="1:23" ht="36.75" customHeight="1">
      <c r="A5" s="33" t="s">
        <v>36</v>
      </c>
      <c r="B5" s="34"/>
      <c r="C5" s="35" t="s">
        <v>1</v>
      </c>
      <c r="D5" s="129" t="s">
        <v>111</v>
      </c>
      <c r="E5" s="130"/>
      <c r="F5" s="131"/>
      <c r="G5" s="132" t="s">
        <v>113</v>
      </c>
      <c r="H5" s="133"/>
      <c r="I5" s="134"/>
      <c r="J5" s="132" t="s">
        <v>117</v>
      </c>
      <c r="K5" s="133"/>
      <c r="L5" s="134"/>
      <c r="M5" s="121"/>
      <c r="N5" s="121" t="s">
        <v>122</v>
      </c>
      <c r="O5" s="121"/>
      <c r="P5" s="132" t="s">
        <v>119</v>
      </c>
      <c r="Q5" s="133"/>
      <c r="R5" s="134"/>
      <c r="S5" s="129" t="s">
        <v>114</v>
      </c>
      <c r="T5" s="130"/>
      <c r="U5" s="131"/>
      <c r="V5" s="125" t="s">
        <v>120</v>
      </c>
      <c r="W5" s="125" t="s">
        <v>121</v>
      </c>
    </row>
    <row r="6" spans="1:23" ht="65.2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126"/>
      <c r="W6" s="126"/>
    </row>
    <row r="7" spans="1:25" s="9" customFormat="1" ht="36" customHeight="1">
      <c r="A7" s="15"/>
      <c r="B7" s="16" t="s">
        <v>49</v>
      </c>
      <c r="C7" s="53">
        <f>SUM(C8:C42)</f>
        <v>4497.2</v>
      </c>
      <c r="D7" s="18">
        <f>SUM(D8:D42)</f>
        <v>10705.500000000002</v>
      </c>
      <c r="E7" s="18">
        <f>SUM(E8:E42)</f>
        <v>496</v>
      </c>
      <c r="F7" s="18">
        <f aca="true" t="shared" si="0" ref="F7:F21">E7/D7*100</f>
        <v>4.63313250198496</v>
      </c>
      <c r="G7" s="18">
        <f>SUM(G8:G42)</f>
        <v>9027.599999999999</v>
      </c>
      <c r="H7" s="18">
        <f>SUM(H8:H42)</f>
        <v>3951.2</v>
      </c>
      <c r="I7" s="18">
        <f>H7/G7*100</f>
        <v>43.76800035446852</v>
      </c>
      <c r="J7" s="18">
        <f>SUM(J8:J42)</f>
        <v>3832</v>
      </c>
      <c r="K7" s="18">
        <f>SUM(K8:K42)</f>
        <v>4937.8</v>
      </c>
      <c r="L7" s="18">
        <f>K7/J7*100</f>
        <v>128.85699373695198</v>
      </c>
      <c r="M7" s="18">
        <f>SUM(M8:M42)</f>
        <v>23565.1</v>
      </c>
      <c r="N7" s="18">
        <f>SUM(N8:N42)</f>
        <v>9385</v>
      </c>
      <c r="O7" s="18">
        <f>N7/M7*100</f>
        <v>39.82584415088415</v>
      </c>
      <c r="P7" s="18">
        <f>SUM(P8:P42)</f>
        <v>481.00000000000006</v>
      </c>
      <c r="Q7" s="18">
        <f>SUM(Q8:Q42)</f>
        <v>7312.699999999999</v>
      </c>
      <c r="R7" s="18">
        <f>Q7/P7*100</f>
        <v>1520.3118503118499</v>
      </c>
      <c r="S7" s="18">
        <f>SUM(S8:S42)</f>
        <v>24046.100000000002</v>
      </c>
      <c r="T7" s="18">
        <f>SUM(T8:T42)</f>
        <v>16697.699999999997</v>
      </c>
      <c r="U7" s="18">
        <f>T7/S7*100</f>
        <v>69.44036662909991</v>
      </c>
      <c r="V7" s="54">
        <f>SUM(V8:V42)</f>
        <v>7348.400000000001</v>
      </c>
      <c r="W7" s="54">
        <f>SUM(W8:W42)</f>
        <v>11845.599999999999</v>
      </c>
      <c r="X7" s="30">
        <f>S7-T7</f>
        <v>7348.400000000005</v>
      </c>
      <c r="Y7" s="30">
        <f>C7+S7-T7</f>
        <v>11845.600000000006</v>
      </c>
    </row>
    <row r="8" spans="1:23" s="55" customFormat="1" ht="36.75" customHeight="1">
      <c r="A8" s="6">
        <v>1</v>
      </c>
      <c r="B8" s="1" t="s">
        <v>50</v>
      </c>
      <c r="C8" s="2">
        <v>220.4</v>
      </c>
      <c r="D8" s="3">
        <v>367.6</v>
      </c>
      <c r="E8" s="3">
        <v>119.3</v>
      </c>
      <c r="F8" s="18">
        <f t="shared" si="0"/>
        <v>32.45375408052231</v>
      </c>
      <c r="G8" s="3">
        <v>299.7</v>
      </c>
      <c r="H8" s="3">
        <v>161.8</v>
      </c>
      <c r="I8" s="18">
        <f>H8/G8*100</f>
        <v>53.987320653987325</v>
      </c>
      <c r="J8" s="3">
        <v>174.3</v>
      </c>
      <c r="K8" s="3">
        <v>253.2</v>
      </c>
      <c r="L8" s="18">
        <f>K8/J8*100</f>
        <v>145.26678141135972</v>
      </c>
      <c r="M8" s="3">
        <f>D8+G8+J8</f>
        <v>841.5999999999999</v>
      </c>
      <c r="N8" s="3">
        <f>E8+H8+K8</f>
        <v>534.3</v>
      </c>
      <c r="O8" s="18">
        <f aca="true" t="shared" si="1" ref="O8:O46">N8/M8*100</f>
        <v>63.486216730038024</v>
      </c>
      <c r="P8" s="3">
        <v>17.3</v>
      </c>
      <c r="Q8" s="3">
        <v>185.4</v>
      </c>
      <c r="R8" s="18">
        <f>Q8/P8*100</f>
        <v>1071.6763005780347</v>
      </c>
      <c r="S8" s="3">
        <f>M8+P8</f>
        <v>858.8999999999999</v>
      </c>
      <c r="T8" s="3">
        <f>N8+Q8</f>
        <v>719.6999999999999</v>
      </c>
      <c r="U8" s="18">
        <f>T8/S8*100</f>
        <v>83.7932238910234</v>
      </c>
      <c r="V8" s="18">
        <f>S8-T8</f>
        <v>139.19999999999993</v>
      </c>
      <c r="W8" s="4">
        <f>C8+S8-T8</f>
        <v>359.6</v>
      </c>
    </row>
    <row r="9" spans="1:23" s="55" customFormat="1" ht="36.75" customHeight="1">
      <c r="A9" s="6">
        <v>2</v>
      </c>
      <c r="B9" s="44" t="s">
        <v>81</v>
      </c>
      <c r="C9" s="2">
        <v>68.7</v>
      </c>
      <c r="D9" s="3">
        <v>237.4</v>
      </c>
      <c r="E9" s="3">
        <v>10.7</v>
      </c>
      <c r="F9" s="18">
        <f t="shared" si="0"/>
        <v>4.507160909856781</v>
      </c>
      <c r="G9" s="3">
        <v>198.8</v>
      </c>
      <c r="H9" s="3">
        <v>64.7</v>
      </c>
      <c r="I9" s="18">
        <f aca="true" t="shared" si="2" ref="I9:I22">H9/G9*100</f>
        <v>32.54527162977867</v>
      </c>
      <c r="J9" s="3">
        <v>107.5</v>
      </c>
      <c r="K9" s="3">
        <v>58.3</v>
      </c>
      <c r="L9" s="18">
        <f aca="true" t="shared" si="3" ref="L9:L22">K9/J9*100</f>
        <v>54.23255813953488</v>
      </c>
      <c r="M9" s="3">
        <f aca="true" t="shared" si="4" ref="M9:M42">D9+G9+J9</f>
        <v>543.7</v>
      </c>
      <c r="N9" s="3">
        <f aca="true" t="shared" si="5" ref="N9:N42">E9+H9+K9</f>
        <v>133.7</v>
      </c>
      <c r="O9" s="18">
        <f t="shared" si="1"/>
        <v>24.59076696707743</v>
      </c>
      <c r="P9" s="3">
        <v>5.6</v>
      </c>
      <c r="Q9" s="3">
        <v>64.7</v>
      </c>
      <c r="R9" s="18">
        <f>Q9/P9*100</f>
        <v>1155.3571428571431</v>
      </c>
      <c r="S9" s="3">
        <f aca="true" t="shared" si="6" ref="S9:S42">M9+P9</f>
        <v>549.3000000000001</v>
      </c>
      <c r="T9" s="3">
        <f aca="true" t="shared" si="7" ref="T9:T42">N9+Q9</f>
        <v>198.39999999999998</v>
      </c>
      <c r="U9" s="18">
        <f>T9/S9*100</f>
        <v>36.11869652284725</v>
      </c>
      <c r="V9" s="18">
        <f aca="true" t="shared" si="8" ref="V9:V42">S9-T9</f>
        <v>350.9000000000001</v>
      </c>
      <c r="W9" s="4">
        <f aca="true" t="shared" si="9" ref="W9:W42">C9+S9-T9</f>
        <v>419.60000000000014</v>
      </c>
    </row>
    <row r="10" spans="1:23" s="55" customFormat="1" ht="36.75" customHeight="1">
      <c r="A10" s="6">
        <v>3</v>
      </c>
      <c r="B10" s="20" t="s">
        <v>96</v>
      </c>
      <c r="C10" s="2"/>
      <c r="D10" s="3"/>
      <c r="E10" s="3"/>
      <c r="F10" s="40"/>
      <c r="G10" s="32"/>
      <c r="H10" s="32"/>
      <c r="I10" s="18"/>
      <c r="J10" s="32"/>
      <c r="K10" s="32"/>
      <c r="L10" s="18"/>
      <c r="M10" s="3"/>
      <c r="N10" s="3"/>
      <c r="O10" s="18"/>
      <c r="P10" s="32"/>
      <c r="Q10" s="32"/>
      <c r="R10" s="18"/>
      <c r="S10" s="3"/>
      <c r="T10" s="3"/>
      <c r="U10" s="18"/>
      <c r="V10" s="18"/>
      <c r="W10" s="4"/>
    </row>
    <row r="11" spans="1:23" s="55" customFormat="1" ht="24" customHeight="1">
      <c r="A11" s="6">
        <v>4</v>
      </c>
      <c r="B11" s="1" t="s">
        <v>109</v>
      </c>
      <c r="C11" s="2">
        <v>1.2</v>
      </c>
      <c r="D11" s="3">
        <f>24.4+80.5</f>
        <v>104.9</v>
      </c>
      <c r="E11" s="3">
        <f>66.2</f>
        <v>66.2</v>
      </c>
      <c r="F11" s="18">
        <f t="shared" si="0"/>
        <v>63.10772163965681</v>
      </c>
      <c r="G11" s="3">
        <f>28.9+71.4</f>
        <v>100.30000000000001</v>
      </c>
      <c r="H11" s="3">
        <f>24.4+11.1</f>
        <v>35.5</v>
      </c>
      <c r="I11" s="18">
        <f t="shared" si="2"/>
        <v>35.393818544366894</v>
      </c>
      <c r="J11" s="3">
        <f>26.7+40.5</f>
        <v>67.2</v>
      </c>
      <c r="K11" s="3">
        <f>28.9+46.5</f>
        <v>75.4</v>
      </c>
      <c r="L11" s="18">
        <f>4.5</f>
        <v>4.5</v>
      </c>
      <c r="M11" s="3">
        <f t="shared" si="4"/>
        <v>272.40000000000003</v>
      </c>
      <c r="N11" s="3">
        <f t="shared" si="5"/>
        <v>177.10000000000002</v>
      </c>
      <c r="O11" s="18">
        <f t="shared" si="1"/>
        <v>65.01468428781205</v>
      </c>
      <c r="P11" s="3">
        <v>4.5</v>
      </c>
      <c r="Q11" s="3">
        <v>47.5</v>
      </c>
      <c r="R11" s="18">
        <f aca="true" t="shared" si="10" ref="R11:R19">Q11/P11*100</f>
        <v>1055.5555555555554</v>
      </c>
      <c r="S11" s="3">
        <f t="shared" si="6"/>
        <v>276.90000000000003</v>
      </c>
      <c r="T11" s="3">
        <f t="shared" si="7"/>
        <v>224.60000000000002</v>
      </c>
      <c r="U11" s="18">
        <f>T11/S11*100</f>
        <v>81.1123149151318</v>
      </c>
      <c r="V11" s="18">
        <f t="shared" si="8"/>
        <v>52.30000000000001</v>
      </c>
      <c r="W11" s="4">
        <f t="shared" si="9"/>
        <v>53.5</v>
      </c>
    </row>
    <row r="12" spans="1:23" s="55" customFormat="1" ht="24" customHeight="1">
      <c r="A12" s="6">
        <v>5</v>
      </c>
      <c r="B12" s="1" t="s">
        <v>79</v>
      </c>
      <c r="C12" s="2">
        <v>365.5</v>
      </c>
      <c r="D12" s="3">
        <v>241.5</v>
      </c>
      <c r="E12" s="3">
        <v>35</v>
      </c>
      <c r="F12" s="18">
        <f t="shared" si="0"/>
        <v>14.492753623188406</v>
      </c>
      <c r="G12" s="3">
        <v>189.6</v>
      </c>
      <c r="H12" s="3">
        <v>190.9</v>
      </c>
      <c r="I12" s="18">
        <f t="shared" si="2"/>
        <v>100.68565400843883</v>
      </c>
      <c r="J12" s="3">
        <v>125.4</v>
      </c>
      <c r="K12" s="3">
        <v>84.5</v>
      </c>
      <c r="L12" s="18">
        <f t="shared" si="3"/>
        <v>67.38437001594896</v>
      </c>
      <c r="M12" s="3">
        <f t="shared" si="4"/>
        <v>556.5</v>
      </c>
      <c r="N12" s="3">
        <f t="shared" si="5"/>
        <v>310.4</v>
      </c>
      <c r="O12" s="18">
        <f t="shared" si="1"/>
        <v>55.77717879604671</v>
      </c>
      <c r="P12" s="3">
        <v>1.4</v>
      </c>
      <c r="Q12" s="3">
        <v>286.9</v>
      </c>
      <c r="R12" s="18">
        <f t="shared" si="10"/>
        <v>20492.85714285714</v>
      </c>
      <c r="S12" s="3">
        <f t="shared" si="6"/>
        <v>557.9</v>
      </c>
      <c r="T12" s="3">
        <f t="shared" si="7"/>
        <v>597.3</v>
      </c>
      <c r="U12" s="18">
        <f>T12/S12*100</f>
        <v>107.06219752643842</v>
      </c>
      <c r="V12" s="18">
        <f t="shared" si="8"/>
        <v>-39.39999999999998</v>
      </c>
      <c r="W12" s="4">
        <f t="shared" si="9"/>
        <v>326.1</v>
      </c>
    </row>
    <row r="13" spans="1:23" s="55" customFormat="1" ht="24" customHeight="1">
      <c r="A13" s="6">
        <v>6</v>
      </c>
      <c r="B13" s="1" t="s">
        <v>51</v>
      </c>
      <c r="C13" s="2">
        <v>99.3</v>
      </c>
      <c r="D13" s="3">
        <v>78.1</v>
      </c>
      <c r="E13" s="3">
        <v>14.4</v>
      </c>
      <c r="F13" s="18">
        <f t="shared" si="0"/>
        <v>18.437900128040972</v>
      </c>
      <c r="G13" s="3">
        <v>68.8</v>
      </c>
      <c r="H13" s="3">
        <v>56.7</v>
      </c>
      <c r="I13" s="18">
        <f t="shared" si="2"/>
        <v>82.41279069767442</v>
      </c>
      <c r="J13" s="3">
        <v>44.7</v>
      </c>
      <c r="K13" s="3">
        <v>58.9</v>
      </c>
      <c r="L13" s="18">
        <f t="shared" si="3"/>
        <v>131.76733780760625</v>
      </c>
      <c r="M13" s="3">
        <f t="shared" si="4"/>
        <v>191.59999999999997</v>
      </c>
      <c r="N13" s="3">
        <f t="shared" si="5"/>
        <v>130</v>
      </c>
      <c r="O13" s="18">
        <f t="shared" si="1"/>
        <v>67.84968684759917</v>
      </c>
      <c r="P13" s="3">
        <v>0</v>
      </c>
      <c r="Q13" s="3">
        <v>18.7</v>
      </c>
      <c r="R13" s="40" t="e">
        <f t="shared" si="10"/>
        <v>#DIV/0!</v>
      </c>
      <c r="S13" s="3">
        <f t="shared" si="6"/>
        <v>191.59999999999997</v>
      </c>
      <c r="T13" s="3">
        <f t="shared" si="7"/>
        <v>148.7</v>
      </c>
      <c r="U13" s="18">
        <f>T13/S13*100</f>
        <v>77.60960334029228</v>
      </c>
      <c r="V13" s="18">
        <f t="shared" si="8"/>
        <v>42.89999999999998</v>
      </c>
      <c r="W13" s="4">
        <f t="shared" si="9"/>
        <v>142.2</v>
      </c>
    </row>
    <row r="14" spans="1:23" s="55" customFormat="1" ht="24" customHeight="1">
      <c r="A14" s="6">
        <v>7</v>
      </c>
      <c r="B14" s="1" t="s">
        <v>52</v>
      </c>
      <c r="C14" s="2">
        <v>-4.2</v>
      </c>
      <c r="D14" s="3">
        <v>199</v>
      </c>
      <c r="E14" s="3">
        <v>0</v>
      </c>
      <c r="F14" s="18">
        <f t="shared" si="0"/>
        <v>0</v>
      </c>
      <c r="G14" s="56">
        <v>165.5</v>
      </c>
      <c r="H14" s="56">
        <v>169.9</v>
      </c>
      <c r="I14" s="18">
        <f t="shared" si="2"/>
        <v>102.65861027190333</v>
      </c>
      <c r="J14" s="56">
        <v>116.8</v>
      </c>
      <c r="K14" s="56">
        <v>183.5</v>
      </c>
      <c r="L14" s="18">
        <f t="shared" si="3"/>
        <v>157.10616438356163</v>
      </c>
      <c r="M14" s="3">
        <f t="shared" si="4"/>
        <v>481.3</v>
      </c>
      <c r="N14" s="3">
        <f t="shared" si="5"/>
        <v>353.4</v>
      </c>
      <c r="O14" s="18">
        <f t="shared" si="1"/>
        <v>73.42613754415125</v>
      </c>
      <c r="P14" s="56">
        <v>1.5</v>
      </c>
      <c r="Q14" s="56">
        <v>16.9</v>
      </c>
      <c r="R14" s="18">
        <f t="shared" si="10"/>
        <v>1126.6666666666665</v>
      </c>
      <c r="S14" s="3">
        <f t="shared" si="6"/>
        <v>482.8</v>
      </c>
      <c r="T14" s="3">
        <f t="shared" si="7"/>
        <v>370.29999999999995</v>
      </c>
      <c r="U14" s="18">
        <f aca="true" t="shared" si="11" ref="U14:U22">T14/S14*100</f>
        <v>76.69842584921291</v>
      </c>
      <c r="V14" s="18">
        <f t="shared" si="8"/>
        <v>112.50000000000006</v>
      </c>
      <c r="W14" s="4">
        <f t="shared" si="9"/>
        <v>108.30000000000007</v>
      </c>
    </row>
    <row r="15" spans="1:23" s="55" customFormat="1" ht="24" customHeight="1">
      <c r="A15" s="6">
        <v>8</v>
      </c>
      <c r="B15" s="1" t="s">
        <v>53</v>
      </c>
      <c r="C15" s="2">
        <v>-3.5</v>
      </c>
      <c r="D15" s="3">
        <v>481.1</v>
      </c>
      <c r="E15" s="3">
        <v>5</v>
      </c>
      <c r="F15" s="18">
        <f t="shared" si="0"/>
        <v>1.0392849719393056</v>
      </c>
      <c r="G15" s="3">
        <v>357.2</v>
      </c>
      <c r="H15" s="3">
        <v>403.4</v>
      </c>
      <c r="I15" s="18">
        <f t="shared" si="2"/>
        <v>112.9339305711086</v>
      </c>
      <c r="J15" s="3">
        <v>243</v>
      </c>
      <c r="K15" s="3">
        <v>334.5</v>
      </c>
      <c r="L15" s="18">
        <f t="shared" si="3"/>
        <v>137.6543209876543</v>
      </c>
      <c r="M15" s="3">
        <f t="shared" si="4"/>
        <v>1081.3</v>
      </c>
      <c r="N15" s="3">
        <f t="shared" si="5"/>
        <v>742.9</v>
      </c>
      <c r="O15" s="18">
        <f t="shared" si="1"/>
        <v>68.70433737168223</v>
      </c>
      <c r="P15" s="3">
        <v>13.2</v>
      </c>
      <c r="Q15" s="3">
        <v>235.9</v>
      </c>
      <c r="R15" s="18">
        <f t="shared" si="10"/>
        <v>1787.121212121212</v>
      </c>
      <c r="S15" s="3">
        <f t="shared" si="6"/>
        <v>1094.5</v>
      </c>
      <c r="T15" s="3">
        <f t="shared" si="7"/>
        <v>978.8</v>
      </c>
      <c r="U15" s="18">
        <f t="shared" si="11"/>
        <v>89.42896299680218</v>
      </c>
      <c r="V15" s="18">
        <f t="shared" si="8"/>
        <v>115.70000000000005</v>
      </c>
      <c r="W15" s="4">
        <f t="shared" si="9"/>
        <v>112.20000000000005</v>
      </c>
    </row>
    <row r="16" spans="1:23" s="55" customFormat="1" ht="24" customHeight="1">
      <c r="A16" s="6">
        <v>9</v>
      </c>
      <c r="B16" s="1" t="s">
        <v>54</v>
      </c>
      <c r="C16" s="2">
        <v>5.3</v>
      </c>
      <c r="D16" s="3">
        <v>34.7</v>
      </c>
      <c r="E16" s="3">
        <v>0</v>
      </c>
      <c r="F16" s="18">
        <f t="shared" si="0"/>
        <v>0</v>
      </c>
      <c r="G16" s="3">
        <v>73.3</v>
      </c>
      <c r="H16" s="3">
        <v>50</v>
      </c>
      <c r="I16" s="18">
        <f t="shared" si="2"/>
        <v>68.21282401091405</v>
      </c>
      <c r="J16" s="3">
        <v>48.7</v>
      </c>
      <c r="K16" s="3">
        <v>76.1</v>
      </c>
      <c r="L16" s="18">
        <f t="shared" si="3"/>
        <v>156.26283367556465</v>
      </c>
      <c r="M16" s="3">
        <f t="shared" si="4"/>
        <v>156.7</v>
      </c>
      <c r="N16" s="3">
        <f t="shared" si="5"/>
        <v>126.1</v>
      </c>
      <c r="O16" s="18">
        <f t="shared" si="1"/>
        <v>80.47223994894703</v>
      </c>
      <c r="P16" s="3">
        <v>0</v>
      </c>
      <c r="Q16" s="3">
        <v>2</v>
      </c>
      <c r="R16" s="40" t="e">
        <f t="shared" si="10"/>
        <v>#DIV/0!</v>
      </c>
      <c r="S16" s="3">
        <f t="shared" si="6"/>
        <v>156.7</v>
      </c>
      <c r="T16" s="3">
        <f t="shared" si="7"/>
        <v>128.1</v>
      </c>
      <c r="U16" s="18">
        <f t="shared" si="11"/>
        <v>81.74856413529037</v>
      </c>
      <c r="V16" s="18">
        <f t="shared" si="8"/>
        <v>28.599999999999994</v>
      </c>
      <c r="W16" s="4">
        <f t="shared" si="9"/>
        <v>33.900000000000006</v>
      </c>
    </row>
    <row r="17" spans="1:23" s="55" customFormat="1" ht="24" customHeight="1">
      <c r="A17" s="6">
        <v>10</v>
      </c>
      <c r="B17" s="20" t="s">
        <v>55</v>
      </c>
      <c r="C17" s="2">
        <v>989.9</v>
      </c>
      <c r="D17" s="3">
        <v>706</v>
      </c>
      <c r="E17" s="3">
        <v>0</v>
      </c>
      <c r="F17" s="18">
        <f t="shared" si="0"/>
        <v>0</v>
      </c>
      <c r="G17" s="3">
        <v>604.5</v>
      </c>
      <c r="H17" s="3">
        <v>59.7</v>
      </c>
      <c r="I17" s="18">
        <f t="shared" si="2"/>
        <v>9.875930521091812</v>
      </c>
      <c r="J17" s="3">
        <v>108.3</v>
      </c>
      <c r="K17" s="3">
        <v>339.2</v>
      </c>
      <c r="L17" s="18">
        <f t="shared" si="3"/>
        <v>313.2040627885503</v>
      </c>
      <c r="M17" s="3">
        <f t="shared" si="4"/>
        <v>1418.8</v>
      </c>
      <c r="N17" s="3">
        <f t="shared" si="5"/>
        <v>398.9</v>
      </c>
      <c r="O17" s="18">
        <f t="shared" si="1"/>
        <v>28.115308711587257</v>
      </c>
      <c r="P17" s="3">
        <v>0.4</v>
      </c>
      <c r="Q17" s="3">
        <v>170.4</v>
      </c>
      <c r="R17" s="18">
        <f t="shared" si="10"/>
        <v>42600</v>
      </c>
      <c r="S17" s="3">
        <f t="shared" si="6"/>
        <v>1419.2</v>
      </c>
      <c r="T17" s="3">
        <f t="shared" si="7"/>
        <v>569.3</v>
      </c>
      <c r="U17" s="18">
        <f t="shared" si="11"/>
        <v>40.1141488162345</v>
      </c>
      <c r="V17" s="18">
        <f t="shared" si="8"/>
        <v>849.9000000000001</v>
      </c>
      <c r="W17" s="4">
        <f t="shared" si="9"/>
        <v>1839.8</v>
      </c>
    </row>
    <row r="18" spans="1:23" ht="24" customHeight="1">
      <c r="A18" s="6">
        <v>11</v>
      </c>
      <c r="B18" s="20" t="s">
        <v>56</v>
      </c>
      <c r="C18" s="2">
        <v>54.3</v>
      </c>
      <c r="D18" s="3">
        <v>172.6</v>
      </c>
      <c r="E18" s="3">
        <v>25.8</v>
      </c>
      <c r="F18" s="18">
        <f t="shared" si="0"/>
        <v>14.947856315179605</v>
      </c>
      <c r="G18" s="3">
        <v>128.4</v>
      </c>
      <c r="H18" s="3">
        <v>41.2</v>
      </c>
      <c r="I18" s="18">
        <f t="shared" si="2"/>
        <v>32.08722741433022</v>
      </c>
      <c r="J18" s="3">
        <v>57.7</v>
      </c>
      <c r="K18" s="3">
        <v>126.2</v>
      </c>
      <c r="L18" s="18">
        <f t="shared" si="3"/>
        <v>218.7175043327556</v>
      </c>
      <c r="M18" s="3">
        <f t="shared" si="4"/>
        <v>358.7</v>
      </c>
      <c r="N18" s="3">
        <f t="shared" si="5"/>
        <v>193.2</v>
      </c>
      <c r="O18" s="18">
        <f t="shared" si="1"/>
        <v>53.86116531920825</v>
      </c>
      <c r="P18" s="3"/>
      <c r="Q18" s="3"/>
      <c r="R18" s="40" t="e">
        <f t="shared" si="10"/>
        <v>#DIV/0!</v>
      </c>
      <c r="S18" s="3">
        <f t="shared" si="6"/>
        <v>358.7</v>
      </c>
      <c r="T18" s="3">
        <f t="shared" si="7"/>
        <v>193.2</v>
      </c>
      <c r="U18" s="18">
        <f t="shared" si="11"/>
        <v>53.86116531920825</v>
      </c>
      <c r="V18" s="18">
        <f t="shared" si="8"/>
        <v>165.5</v>
      </c>
      <c r="W18" s="4">
        <f t="shared" si="9"/>
        <v>219.8</v>
      </c>
    </row>
    <row r="19" spans="1:23" s="55" customFormat="1" ht="24" customHeight="1">
      <c r="A19" s="6">
        <v>12</v>
      </c>
      <c r="B19" s="1" t="s">
        <v>80</v>
      </c>
      <c r="C19" s="2">
        <v>1.6</v>
      </c>
      <c r="D19" s="3">
        <v>202.6</v>
      </c>
      <c r="E19" s="3">
        <v>55.4</v>
      </c>
      <c r="F19" s="18">
        <f t="shared" si="0"/>
        <v>27.344521224086872</v>
      </c>
      <c r="G19" s="3">
        <v>247.7</v>
      </c>
      <c r="H19" s="3">
        <v>127.4</v>
      </c>
      <c r="I19" s="18">
        <f t="shared" si="2"/>
        <v>51.433185304804205</v>
      </c>
      <c r="J19" s="3">
        <v>132.4</v>
      </c>
      <c r="K19" s="3">
        <v>162.4</v>
      </c>
      <c r="L19" s="18">
        <f t="shared" si="3"/>
        <v>122.65861027190333</v>
      </c>
      <c r="M19" s="3">
        <f t="shared" si="4"/>
        <v>582.6999999999999</v>
      </c>
      <c r="N19" s="3">
        <f t="shared" si="5"/>
        <v>345.20000000000005</v>
      </c>
      <c r="O19" s="18">
        <f t="shared" si="1"/>
        <v>59.241462158915404</v>
      </c>
      <c r="P19" s="3"/>
      <c r="Q19" s="3"/>
      <c r="R19" s="40" t="e">
        <f t="shared" si="10"/>
        <v>#DIV/0!</v>
      </c>
      <c r="S19" s="3">
        <f t="shared" si="6"/>
        <v>582.6999999999999</v>
      </c>
      <c r="T19" s="3">
        <f t="shared" si="7"/>
        <v>345.20000000000005</v>
      </c>
      <c r="U19" s="18">
        <f t="shared" si="11"/>
        <v>59.241462158915404</v>
      </c>
      <c r="V19" s="18">
        <f t="shared" si="8"/>
        <v>237.4999999999999</v>
      </c>
      <c r="W19" s="4">
        <f t="shared" si="9"/>
        <v>239.0999999999999</v>
      </c>
    </row>
    <row r="20" spans="1:23" s="55" customFormat="1" ht="24" customHeight="1">
      <c r="A20" s="6">
        <v>13</v>
      </c>
      <c r="B20" s="20" t="s">
        <v>57</v>
      </c>
      <c r="C20" s="2">
        <v>0</v>
      </c>
      <c r="D20" s="32">
        <v>0</v>
      </c>
      <c r="E20" s="32">
        <v>0</v>
      </c>
      <c r="F20" s="40" t="e">
        <f t="shared" si="0"/>
        <v>#DIV/0!</v>
      </c>
      <c r="G20" s="32"/>
      <c r="H20" s="32"/>
      <c r="I20" s="18" t="e">
        <f t="shared" si="2"/>
        <v>#DIV/0!</v>
      </c>
      <c r="J20" s="32"/>
      <c r="K20" s="32"/>
      <c r="L20" s="18"/>
      <c r="M20" s="3"/>
      <c r="N20" s="3"/>
      <c r="O20" s="40" t="e">
        <f t="shared" si="1"/>
        <v>#DIV/0!</v>
      </c>
      <c r="P20" s="32"/>
      <c r="Q20" s="32"/>
      <c r="R20" s="18"/>
      <c r="S20" s="3"/>
      <c r="T20" s="3"/>
      <c r="U20" s="18"/>
      <c r="V20" s="18">
        <f t="shared" si="8"/>
        <v>0</v>
      </c>
      <c r="W20" s="4">
        <f t="shared" si="9"/>
        <v>0</v>
      </c>
    </row>
    <row r="21" spans="1:23" ht="24" customHeight="1">
      <c r="A21" s="6">
        <v>14</v>
      </c>
      <c r="B21" s="20" t="s">
        <v>58</v>
      </c>
      <c r="C21" s="2">
        <v>0</v>
      </c>
      <c r="D21" s="32"/>
      <c r="E21" s="32"/>
      <c r="F21" s="40" t="e">
        <f t="shared" si="0"/>
        <v>#DIV/0!</v>
      </c>
      <c r="G21" s="32"/>
      <c r="H21" s="32"/>
      <c r="I21" s="40" t="e">
        <f t="shared" si="2"/>
        <v>#DIV/0!</v>
      </c>
      <c r="J21" s="32"/>
      <c r="K21" s="32"/>
      <c r="L21" s="18"/>
      <c r="M21" s="3"/>
      <c r="N21" s="3"/>
      <c r="O21" s="40" t="e">
        <f t="shared" si="1"/>
        <v>#DIV/0!</v>
      </c>
      <c r="P21" s="32"/>
      <c r="Q21" s="32"/>
      <c r="R21" s="18"/>
      <c r="S21" s="3"/>
      <c r="T21" s="3"/>
      <c r="U21" s="18"/>
      <c r="V21" s="18">
        <f t="shared" si="8"/>
        <v>0</v>
      </c>
      <c r="W21" s="4">
        <f t="shared" si="9"/>
        <v>0</v>
      </c>
    </row>
    <row r="22" spans="1:23" ht="31.5" customHeight="1">
      <c r="A22" s="6">
        <v>15</v>
      </c>
      <c r="B22" s="20" t="s">
        <v>59</v>
      </c>
      <c r="C22" s="2">
        <v>198.4</v>
      </c>
      <c r="D22" s="3">
        <v>85.8</v>
      </c>
      <c r="E22" s="3">
        <v>13.4</v>
      </c>
      <c r="F22" s="18">
        <f>E22/D22*100</f>
        <v>15.61771561771562</v>
      </c>
      <c r="G22" s="56">
        <v>99</v>
      </c>
      <c r="H22" s="56">
        <v>26.3</v>
      </c>
      <c r="I22" s="18">
        <f t="shared" si="2"/>
        <v>26.565656565656564</v>
      </c>
      <c r="J22" s="56">
        <v>55</v>
      </c>
      <c r="K22" s="56">
        <v>99.6</v>
      </c>
      <c r="L22" s="18">
        <f t="shared" si="3"/>
        <v>181.0909090909091</v>
      </c>
      <c r="M22" s="3">
        <f t="shared" si="4"/>
        <v>239.8</v>
      </c>
      <c r="N22" s="3">
        <f t="shared" si="5"/>
        <v>139.3</v>
      </c>
      <c r="O22" s="18">
        <f t="shared" si="1"/>
        <v>58.090075062552124</v>
      </c>
      <c r="P22" s="56">
        <v>0</v>
      </c>
      <c r="Q22" s="56">
        <v>71.6</v>
      </c>
      <c r="R22" s="40" t="e">
        <f>Q22/P22*100</f>
        <v>#DIV/0!</v>
      </c>
      <c r="S22" s="3">
        <f t="shared" si="6"/>
        <v>239.8</v>
      </c>
      <c r="T22" s="3">
        <f t="shared" si="7"/>
        <v>210.9</v>
      </c>
      <c r="U22" s="18">
        <f t="shared" si="11"/>
        <v>87.94829024186822</v>
      </c>
      <c r="V22" s="18">
        <f t="shared" si="8"/>
        <v>28.900000000000006</v>
      </c>
      <c r="W22" s="4">
        <f t="shared" si="9"/>
        <v>227.30000000000004</v>
      </c>
    </row>
    <row r="23" spans="1:23" ht="22.5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1"/>
        <v>#DIV/0!</v>
      </c>
      <c r="P23" s="57"/>
      <c r="Q23" s="57"/>
      <c r="R23" s="57"/>
      <c r="S23" s="3">
        <f t="shared" si="6"/>
        <v>0</v>
      </c>
      <c r="T23" s="3">
        <f t="shared" si="7"/>
        <v>0</v>
      </c>
      <c r="U23" s="57"/>
      <c r="V23" s="18">
        <f t="shared" si="8"/>
        <v>0</v>
      </c>
      <c r="W23" s="4">
        <f t="shared" si="9"/>
        <v>0</v>
      </c>
    </row>
    <row r="24" spans="1:23" s="55" customFormat="1" ht="36.75" customHeight="1">
      <c r="A24" s="6">
        <v>17</v>
      </c>
      <c r="B24" s="20" t="s">
        <v>61</v>
      </c>
      <c r="C24" s="2">
        <v>173.5</v>
      </c>
      <c r="D24" s="3">
        <v>520.5</v>
      </c>
      <c r="E24" s="3">
        <v>46</v>
      </c>
      <c r="F24" s="18">
        <f>E24/D24*100</f>
        <v>8.837656099903938</v>
      </c>
      <c r="G24" s="3">
        <v>406.7</v>
      </c>
      <c r="H24" s="3">
        <v>276.7</v>
      </c>
      <c r="I24" s="18">
        <f>H24/G24*100</f>
        <v>68.03540693385787</v>
      </c>
      <c r="J24" s="3">
        <v>167</v>
      </c>
      <c r="K24" s="3">
        <v>172.8</v>
      </c>
      <c r="L24" s="18">
        <f>K24/J24*100</f>
        <v>103.47305389221557</v>
      </c>
      <c r="M24" s="3">
        <f t="shared" si="4"/>
        <v>1094.2</v>
      </c>
      <c r="N24" s="3">
        <f t="shared" si="5"/>
        <v>495.5</v>
      </c>
      <c r="O24" s="18">
        <f t="shared" si="1"/>
        <v>45.28422591847925</v>
      </c>
      <c r="P24" s="3">
        <v>0</v>
      </c>
      <c r="Q24" s="3">
        <v>40</v>
      </c>
      <c r="R24" s="40" t="e">
        <f>Q24/P24*100</f>
        <v>#DIV/0!</v>
      </c>
      <c r="S24" s="3">
        <f t="shared" si="6"/>
        <v>1094.2</v>
      </c>
      <c r="T24" s="3">
        <f t="shared" si="7"/>
        <v>535.5</v>
      </c>
      <c r="U24" s="18">
        <f>T24/S24*100</f>
        <v>48.93986474136355</v>
      </c>
      <c r="V24" s="18">
        <f t="shared" si="8"/>
        <v>558.7</v>
      </c>
      <c r="W24" s="4">
        <f t="shared" si="9"/>
        <v>732.2</v>
      </c>
    </row>
    <row r="25" spans="1:23" s="55" customFormat="1" ht="24.75" customHeight="1">
      <c r="A25" s="6">
        <v>18</v>
      </c>
      <c r="B25" s="1" t="s">
        <v>62</v>
      </c>
      <c r="C25" s="2">
        <v>10.2</v>
      </c>
      <c r="D25" s="3">
        <v>294.2</v>
      </c>
      <c r="E25" s="3">
        <v>21.1</v>
      </c>
      <c r="F25" s="18">
        <f>E25/D25*100</f>
        <v>7.171991842284162</v>
      </c>
      <c r="G25" s="56">
        <v>208.9</v>
      </c>
      <c r="H25" s="56">
        <v>182.7</v>
      </c>
      <c r="I25" s="18">
        <f>H25/G25*100</f>
        <v>87.45811393011009</v>
      </c>
      <c r="J25" s="56">
        <v>134.5</v>
      </c>
      <c r="K25" s="56">
        <v>98.4</v>
      </c>
      <c r="L25" s="18">
        <f>K25/J25*100</f>
        <v>73.15985130111524</v>
      </c>
      <c r="M25" s="3">
        <f t="shared" si="4"/>
        <v>637.6</v>
      </c>
      <c r="N25" s="3">
        <f t="shared" si="5"/>
        <v>302.2</v>
      </c>
      <c r="O25" s="18">
        <f t="shared" si="1"/>
        <v>47.39648682559598</v>
      </c>
      <c r="P25" s="56">
        <v>0</v>
      </c>
      <c r="Q25" s="56">
        <v>36.8</v>
      </c>
      <c r="R25" s="40" t="e">
        <f>Q25/P25*100</f>
        <v>#DIV/0!</v>
      </c>
      <c r="S25" s="3">
        <f t="shared" si="6"/>
        <v>637.6</v>
      </c>
      <c r="T25" s="3">
        <f t="shared" si="7"/>
        <v>339</v>
      </c>
      <c r="U25" s="18">
        <f>T25/S25*100</f>
        <v>53.168130489335006</v>
      </c>
      <c r="V25" s="18">
        <f t="shared" si="8"/>
        <v>298.6</v>
      </c>
      <c r="W25" s="4">
        <f t="shared" si="9"/>
        <v>308.80000000000007</v>
      </c>
    </row>
    <row r="26" spans="1:23" ht="25.5" customHeight="1">
      <c r="A26" s="6">
        <v>19</v>
      </c>
      <c r="B26" s="20" t="s">
        <v>63</v>
      </c>
      <c r="C26" s="2"/>
      <c r="D26" s="56"/>
      <c r="E26" s="56"/>
      <c r="F26" s="48"/>
      <c r="G26" s="3"/>
      <c r="H26" s="3"/>
      <c r="I26" s="18"/>
      <c r="J26" s="3"/>
      <c r="K26" s="3"/>
      <c r="L26" s="18"/>
      <c r="M26" s="3"/>
      <c r="N26" s="3"/>
      <c r="O26" s="40" t="e">
        <f t="shared" si="1"/>
        <v>#DIV/0!</v>
      </c>
      <c r="P26" s="3"/>
      <c r="Q26" s="3"/>
      <c r="R26" s="18"/>
      <c r="S26" s="3"/>
      <c r="T26" s="3"/>
      <c r="U26" s="18"/>
      <c r="V26" s="18"/>
      <c r="W26" s="4"/>
    </row>
    <row r="27" spans="1:23" ht="27.75" customHeight="1">
      <c r="A27" s="6">
        <v>20</v>
      </c>
      <c r="B27" s="20" t="s">
        <v>93</v>
      </c>
      <c r="C27" s="2">
        <v>5.2</v>
      </c>
      <c r="D27" s="3">
        <v>35.8</v>
      </c>
      <c r="E27" s="3">
        <v>14.3</v>
      </c>
      <c r="F27" s="18">
        <f>E27/D27*100</f>
        <v>39.944134078212294</v>
      </c>
      <c r="G27" s="3">
        <v>19.5</v>
      </c>
      <c r="H27" s="3">
        <v>0</v>
      </c>
      <c r="I27" s="18">
        <f>H27/G27*100</f>
        <v>0</v>
      </c>
      <c r="J27" s="3">
        <v>8.2</v>
      </c>
      <c r="K27" s="3">
        <v>7.3</v>
      </c>
      <c r="L27" s="18">
        <f>K27/J27*100</f>
        <v>89.02439024390245</v>
      </c>
      <c r="M27" s="3">
        <f t="shared" si="4"/>
        <v>63.5</v>
      </c>
      <c r="N27" s="3">
        <f t="shared" si="5"/>
        <v>21.6</v>
      </c>
      <c r="O27" s="18">
        <f t="shared" si="1"/>
        <v>34.01574803149606</v>
      </c>
      <c r="P27" s="3">
        <v>1.5</v>
      </c>
      <c r="Q27" s="3">
        <v>6.8</v>
      </c>
      <c r="R27" s="18">
        <f>Q27/P27*100</f>
        <v>453.3333333333333</v>
      </c>
      <c r="S27" s="3">
        <f t="shared" si="6"/>
        <v>65</v>
      </c>
      <c r="T27" s="3">
        <f t="shared" si="7"/>
        <v>28.400000000000002</v>
      </c>
      <c r="U27" s="18">
        <f>T27/S27*100</f>
        <v>43.69230769230769</v>
      </c>
      <c r="V27" s="18">
        <f t="shared" si="8"/>
        <v>36.599999999999994</v>
      </c>
      <c r="W27" s="4">
        <f t="shared" si="9"/>
        <v>41.8</v>
      </c>
    </row>
    <row r="28" spans="1:23" s="55" customFormat="1" ht="36.75" customHeight="1">
      <c r="A28" s="6">
        <v>21</v>
      </c>
      <c r="B28" s="1" t="s">
        <v>64</v>
      </c>
      <c r="C28" s="2">
        <v>85.7</v>
      </c>
      <c r="D28" s="3">
        <v>255.7</v>
      </c>
      <c r="E28" s="3">
        <v>0</v>
      </c>
      <c r="F28" s="18">
        <f>E28/D28*100</f>
        <v>0</v>
      </c>
      <c r="G28" s="56">
        <v>224.7</v>
      </c>
      <c r="H28" s="56">
        <v>268.1</v>
      </c>
      <c r="I28" s="18">
        <f>H28/G28*100</f>
        <v>119.31464174454831</v>
      </c>
      <c r="J28" s="56">
        <v>183.9</v>
      </c>
      <c r="K28" s="56">
        <v>144.7</v>
      </c>
      <c r="L28" s="18">
        <f>K28/J28*100</f>
        <v>78.68406742794997</v>
      </c>
      <c r="M28" s="3">
        <f t="shared" si="4"/>
        <v>664.3</v>
      </c>
      <c r="N28" s="3">
        <f t="shared" si="5"/>
        <v>412.8</v>
      </c>
      <c r="O28" s="18">
        <f t="shared" si="1"/>
        <v>62.1405991269005</v>
      </c>
      <c r="P28" s="56">
        <v>7.4</v>
      </c>
      <c r="Q28" s="56">
        <v>63.3</v>
      </c>
      <c r="R28" s="18">
        <f>Q28/P28*100</f>
        <v>855.4054054054053</v>
      </c>
      <c r="S28" s="3">
        <f t="shared" si="6"/>
        <v>671.6999999999999</v>
      </c>
      <c r="T28" s="3">
        <f t="shared" si="7"/>
        <v>476.1</v>
      </c>
      <c r="U28" s="18">
        <f>T28/S28*100</f>
        <v>70.87985707905315</v>
      </c>
      <c r="V28" s="18">
        <f t="shared" si="8"/>
        <v>195.5999999999999</v>
      </c>
      <c r="W28" s="4">
        <f t="shared" si="9"/>
        <v>281.29999999999995</v>
      </c>
    </row>
    <row r="29" spans="1:23" ht="24" customHeight="1">
      <c r="A29" s="6">
        <v>22</v>
      </c>
      <c r="B29" s="1" t="s">
        <v>65</v>
      </c>
      <c r="C29" s="58"/>
      <c r="D29" s="47"/>
      <c r="E29" s="47"/>
      <c r="F29" s="47"/>
      <c r="G29" s="58"/>
      <c r="H29" s="58"/>
      <c r="I29" s="58"/>
      <c r="J29" s="58"/>
      <c r="K29" s="58"/>
      <c r="L29" s="58"/>
      <c r="M29" s="3"/>
      <c r="N29" s="3"/>
      <c r="O29" s="18"/>
      <c r="P29" s="58"/>
      <c r="Q29" s="58"/>
      <c r="R29" s="58"/>
      <c r="S29" s="3"/>
      <c r="T29" s="3"/>
      <c r="U29" s="58"/>
      <c r="V29" s="18"/>
      <c r="W29" s="4"/>
    </row>
    <row r="30" spans="1:23" ht="24" customHeight="1">
      <c r="A30" s="6">
        <v>23</v>
      </c>
      <c r="B30" s="20" t="s">
        <v>66</v>
      </c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18"/>
      <c r="P30" s="47"/>
      <c r="Q30" s="47"/>
      <c r="R30" s="47"/>
      <c r="S30" s="3"/>
      <c r="T30" s="3"/>
      <c r="U30" s="47"/>
      <c r="V30" s="18"/>
      <c r="W30" s="4"/>
    </row>
    <row r="31" spans="1:23" ht="24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18"/>
      <c r="P31" s="58"/>
      <c r="Q31" s="58"/>
      <c r="R31" s="58"/>
      <c r="S31" s="3"/>
      <c r="T31" s="3"/>
      <c r="U31" s="58"/>
      <c r="V31" s="18"/>
      <c r="W31" s="4"/>
    </row>
    <row r="32" spans="1:23" s="55" customFormat="1" ht="24" customHeight="1">
      <c r="A32" s="6">
        <v>25</v>
      </c>
      <c r="B32" s="20" t="s">
        <v>68</v>
      </c>
      <c r="C32" s="2"/>
      <c r="D32" s="32"/>
      <c r="E32" s="32"/>
      <c r="F32" s="48"/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"/>
      <c r="T32" s="3"/>
      <c r="U32" s="48"/>
      <c r="V32" s="18"/>
      <c r="W32" s="4"/>
    </row>
    <row r="33" spans="1:23" s="55" customFormat="1" ht="24" customHeight="1">
      <c r="A33" s="6"/>
      <c r="B33" s="20" t="s">
        <v>102</v>
      </c>
      <c r="C33" s="2">
        <f>2728.2+10.3</f>
        <v>2738.5</v>
      </c>
      <c r="D33" s="3">
        <f>2331.5+32.8</f>
        <v>2364.3</v>
      </c>
      <c r="E33" s="3">
        <v>0</v>
      </c>
      <c r="F33" s="18">
        <f aca="true" t="shared" si="12" ref="F33:F45">E33/D33*100</f>
        <v>0</v>
      </c>
      <c r="G33" s="3">
        <f>1961.6+26.9</f>
        <v>1988.5</v>
      </c>
      <c r="H33" s="3">
        <f>153.2+13.9</f>
        <v>167.1</v>
      </c>
      <c r="I33" s="18">
        <f aca="true" t="shared" si="13" ref="I33:I45">H33/G33*100</f>
        <v>8.40331908473724</v>
      </c>
      <c r="J33" s="3">
        <v>1</v>
      </c>
      <c r="K33" s="3">
        <f>300.1+43.9</f>
        <v>344</v>
      </c>
      <c r="L33" s="18">
        <f aca="true" t="shared" si="14" ref="L33:L46">K33/J33*100</f>
        <v>34400</v>
      </c>
      <c r="M33" s="3">
        <f t="shared" si="4"/>
        <v>4353.8</v>
      </c>
      <c r="N33" s="3">
        <f t="shared" si="5"/>
        <v>511.1</v>
      </c>
      <c r="O33" s="18">
        <f t="shared" si="1"/>
        <v>11.73917037989802</v>
      </c>
      <c r="P33" s="3">
        <f>381.8+20.1</f>
        <v>401.90000000000003</v>
      </c>
      <c r="Q33" s="3">
        <f>2330.7+11.5</f>
        <v>2342.2</v>
      </c>
      <c r="R33" s="18">
        <f aca="true" t="shared" si="15" ref="R33:R42">Q33/P33*100</f>
        <v>582.7817865140581</v>
      </c>
      <c r="S33" s="3">
        <f t="shared" si="6"/>
        <v>4755.7</v>
      </c>
      <c r="T33" s="3">
        <f t="shared" si="7"/>
        <v>2853.2999999999997</v>
      </c>
      <c r="U33" s="18">
        <f>T33/S33*100</f>
        <v>59.99747671215594</v>
      </c>
      <c r="V33" s="18">
        <f t="shared" si="8"/>
        <v>1902.4</v>
      </c>
      <c r="W33" s="4">
        <f t="shared" si="9"/>
        <v>4640.9</v>
      </c>
    </row>
    <row r="34" spans="1:23" ht="24.75" customHeight="1">
      <c r="A34" s="28"/>
      <c r="B34" s="20" t="s">
        <v>69</v>
      </c>
      <c r="C34" s="2"/>
      <c r="D34" s="32"/>
      <c r="E34" s="32"/>
      <c r="F34" s="48"/>
      <c r="G34" s="3"/>
      <c r="H34" s="3"/>
      <c r="I34" s="48" t="e">
        <f t="shared" si="13"/>
        <v>#DIV/0!</v>
      </c>
      <c r="J34" s="3"/>
      <c r="K34" s="3"/>
      <c r="L34" s="48" t="e">
        <f t="shared" si="14"/>
        <v>#DIV/0!</v>
      </c>
      <c r="M34" s="3"/>
      <c r="N34" s="3"/>
      <c r="O34" s="40" t="e">
        <f t="shared" si="1"/>
        <v>#DIV/0!</v>
      </c>
      <c r="P34" s="3"/>
      <c r="Q34" s="3"/>
      <c r="R34" s="48" t="e">
        <f t="shared" si="15"/>
        <v>#DIV/0!</v>
      </c>
      <c r="S34" s="3"/>
      <c r="T34" s="3"/>
      <c r="U34" s="18"/>
      <c r="V34" s="18"/>
      <c r="W34" s="4"/>
    </row>
    <row r="35" spans="1:23" s="55" customFormat="1" ht="36.75" customHeight="1">
      <c r="A35" s="6">
        <v>26</v>
      </c>
      <c r="B35" s="20" t="s">
        <v>94</v>
      </c>
      <c r="C35" s="2">
        <v>307.2</v>
      </c>
      <c r="D35" s="3">
        <v>381.3</v>
      </c>
      <c r="E35" s="3">
        <v>0</v>
      </c>
      <c r="F35" s="18">
        <f t="shared" si="12"/>
        <v>0</v>
      </c>
      <c r="G35" s="3">
        <v>303.6</v>
      </c>
      <c r="H35" s="3">
        <v>0</v>
      </c>
      <c r="I35" s="18">
        <f t="shared" si="13"/>
        <v>0</v>
      </c>
      <c r="J35" s="3">
        <v>96.5</v>
      </c>
      <c r="K35" s="3">
        <v>151</v>
      </c>
      <c r="L35" s="18">
        <f t="shared" si="14"/>
        <v>156.47668393782382</v>
      </c>
      <c r="M35" s="3">
        <f t="shared" si="4"/>
        <v>781.4000000000001</v>
      </c>
      <c r="N35" s="3">
        <f t="shared" si="5"/>
        <v>151</v>
      </c>
      <c r="O35" s="18">
        <f t="shared" si="1"/>
        <v>19.324289736370616</v>
      </c>
      <c r="P35" s="3">
        <v>11.3</v>
      </c>
      <c r="Q35" s="3">
        <v>134.3</v>
      </c>
      <c r="R35" s="18">
        <f t="shared" si="15"/>
        <v>1188.495575221239</v>
      </c>
      <c r="S35" s="3">
        <f t="shared" si="6"/>
        <v>792.7</v>
      </c>
      <c r="T35" s="3">
        <f t="shared" si="7"/>
        <v>285.3</v>
      </c>
      <c r="U35" s="18">
        <f aca="true" t="shared" si="16" ref="U35:U45">T35/S35*100</f>
        <v>35.99091711870821</v>
      </c>
      <c r="V35" s="18">
        <f t="shared" si="8"/>
        <v>507.40000000000003</v>
      </c>
      <c r="W35" s="4">
        <f t="shared" si="9"/>
        <v>814.6000000000001</v>
      </c>
    </row>
    <row r="36" spans="1:23" s="55" customFormat="1" ht="24" customHeight="1">
      <c r="A36" s="6">
        <v>27</v>
      </c>
      <c r="B36" s="1" t="s">
        <v>70</v>
      </c>
      <c r="C36" s="2">
        <v>28.7</v>
      </c>
      <c r="D36" s="3">
        <v>141</v>
      </c>
      <c r="E36" s="3">
        <v>14</v>
      </c>
      <c r="F36" s="18">
        <f t="shared" si="12"/>
        <v>9.929078014184398</v>
      </c>
      <c r="G36" s="3">
        <v>119.8</v>
      </c>
      <c r="H36" s="3">
        <v>51</v>
      </c>
      <c r="I36" s="18">
        <f t="shared" si="13"/>
        <v>42.57095158597663</v>
      </c>
      <c r="J36" s="3">
        <v>65.3</v>
      </c>
      <c r="K36" s="3">
        <v>136.8</v>
      </c>
      <c r="L36" s="18">
        <f t="shared" si="14"/>
        <v>209.4946401225115</v>
      </c>
      <c r="M36" s="3">
        <f t="shared" si="4"/>
        <v>326.1</v>
      </c>
      <c r="N36" s="3">
        <f t="shared" si="5"/>
        <v>201.8</v>
      </c>
      <c r="O36" s="18">
        <f t="shared" si="1"/>
        <v>61.88285801901257</v>
      </c>
      <c r="P36" s="3">
        <v>2.9</v>
      </c>
      <c r="Q36" s="3">
        <v>26.1</v>
      </c>
      <c r="R36" s="18">
        <f t="shared" si="15"/>
        <v>900</v>
      </c>
      <c r="S36" s="3">
        <f t="shared" si="6"/>
        <v>329</v>
      </c>
      <c r="T36" s="3">
        <f t="shared" si="7"/>
        <v>227.9</v>
      </c>
      <c r="U36" s="18">
        <f t="shared" si="16"/>
        <v>69.27051671732522</v>
      </c>
      <c r="V36" s="18">
        <f t="shared" si="8"/>
        <v>101.1</v>
      </c>
      <c r="W36" s="4">
        <f t="shared" si="9"/>
        <v>129.79999999999998</v>
      </c>
    </row>
    <row r="37" spans="1:23" s="55" customFormat="1" ht="24" customHeight="1">
      <c r="A37" s="6">
        <v>28</v>
      </c>
      <c r="B37" s="20" t="s">
        <v>71</v>
      </c>
      <c r="C37" s="2">
        <v>-127.2</v>
      </c>
      <c r="D37" s="3">
        <v>404.6</v>
      </c>
      <c r="E37" s="3">
        <v>8.8</v>
      </c>
      <c r="F37" s="18">
        <f t="shared" si="12"/>
        <v>2.1749876421156698</v>
      </c>
      <c r="G37" s="3">
        <v>352.1</v>
      </c>
      <c r="H37" s="3">
        <v>216.7</v>
      </c>
      <c r="I37" s="18">
        <f t="shared" si="13"/>
        <v>61.54501562056234</v>
      </c>
      <c r="J37" s="3">
        <v>221.1</v>
      </c>
      <c r="K37" s="3">
        <v>309.8</v>
      </c>
      <c r="L37" s="18">
        <f t="shared" si="14"/>
        <v>140.11759384893713</v>
      </c>
      <c r="M37" s="3">
        <f t="shared" si="4"/>
        <v>977.8000000000001</v>
      </c>
      <c r="N37" s="3">
        <f t="shared" si="5"/>
        <v>535.3</v>
      </c>
      <c r="O37" s="18">
        <f t="shared" si="1"/>
        <v>54.745346696665976</v>
      </c>
      <c r="P37" s="3">
        <v>2.3</v>
      </c>
      <c r="Q37" s="3">
        <v>135.6</v>
      </c>
      <c r="R37" s="18">
        <f t="shared" si="15"/>
        <v>5895.652173913044</v>
      </c>
      <c r="S37" s="3">
        <f t="shared" si="6"/>
        <v>980.1</v>
      </c>
      <c r="T37" s="3">
        <f t="shared" si="7"/>
        <v>670.9</v>
      </c>
      <c r="U37" s="18">
        <f t="shared" si="16"/>
        <v>68.45219875522905</v>
      </c>
      <c r="V37" s="18">
        <f t="shared" si="8"/>
        <v>309.20000000000005</v>
      </c>
      <c r="W37" s="4">
        <f t="shared" si="9"/>
        <v>182</v>
      </c>
    </row>
    <row r="38" spans="1:23" s="55" customFormat="1" ht="24" customHeight="1">
      <c r="A38" s="6">
        <v>29</v>
      </c>
      <c r="B38" s="20" t="s">
        <v>72</v>
      </c>
      <c r="C38" s="2">
        <v>34</v>
      </c>
      <c r="D38" s="3">
        <v>653.9</v>
      </c>
      <c r="E38" s="3">
        <v>0</v>
      </c>
      <c r="F38" s="18">
        <f t="shared" si="12"/>
        <v>0</v>
      </c>
      <c r="G38" s="3">
        <v>511.4</v>
      </c>
      <c r="H38" s="3">
        <v>485.7</v>
      </c>
      <c r="I38" s="18">
        <f t="shared" si="13"/>
        <v>94.9745795854517</v>
      </c>
      <c r="J38" s="3">
        <v>277.2</v>
      </c>
      <c r="K38" s="3">
        <v>251.4</v>
      </c>
      <c r="L38" s="18">
        <f t="shared" si="14"/>
        <v>90.69264069264071</v>
      </c>
      <c r="M38" s="3">
        <f t="shared" si="4"/>
        <v>1442.5</v>
      </c>
      <c r="N38" s="3">
        <f t="shared" si="5"/>
        <v>737.1</v>
      </c>
      <c r="O38" s="18">
        <f t="shared" si="1"/>
        <v>51.09878682842288</v>
      </c>
      <c r="P38" s="3">
        <v>-20.9</v>
      </c>
      <c r="Q38" s="3">
        <v>543.2</v>
      </c>
      <c r="R38" s="18">
        <f t="shared" si="15"/>
        <v>-2599.043062200957</v>
      </c>
      <c r="S38" s="3">
        <f t="shared" si="6"/>
        <v>1421.6</v>
      </c>
      <c r="T38" s="3">
        <f t="shared" si="7"/>
        <v>1280.3000000000002</v>
      </c>
      <c r="U38" s="18">
        <f t="shared" si="16"/>
        <v>90.06049521665732</v>
      </c>
      <c r="V38" s="18">
        <f t="shared" si="8"/>
        <v>141.29999999999973</v>
      </c>
      <c r="W38" s="4">
        <f t="shared" si="9"/>
        <v>175.29999999999973</v>
      </c>
    </row>
    <row r="39" spans="1:23" ht="36.75" customHeight="1">
      <c r="A39" s="6">
        <v>30</v>
      </c>
      <c r="B39" s="20" t="s">
        <v>95</v>
      </c>
      <c r="C39" s="2">
        <v>-476.4</v>
      </c>
      <c r="D39" s="3">
        <v>1109.5</v>
      </c>
      <c r="E39" s="3">
        <v>17.3</v>
      </c>
      <c r="F39" s="18">
        <f t="shared" si="12"/>
        <v>1.5592609283461019</v>
      </c>
      <c r="G39" s="3">
        <v>857.9</v>
      </c>
      <c r="H39" s="3">
        <v>138.6</v>
      </c>
      <c r="I39" s="18">
        <f t="shared" si="13"/>
        <v>16.155729105956404</v>
      </c>
      <c r="J39" s="3">
        <v>389.1</v>
      </c>
      <c r="K39" s="3">
        <v>756</v>
      </c>
      <c r="L39" s="18">
        <f t="shared" si="14"/>
        <v>194.2945258288358</v>
      </c>
      <c r="M39" s="3">
        <f t="shared" si="4"/>
        <v>2356.5</v>
      </c>
      <c r="N39" s="3">
        <f t="shared" si="5"/>
        <v>911.9</v>
      </c>
      <c r="O39" s="18">
        <f t="shared" si="1"/>
        <v>38.69722045406323</v>
      </c>
      <c r="P39" s="3">
        <v>0</v>
      </c>
      <c r="Q39" s="3">
        <v>519.3</v>
      </c>
      <c r="R39" s="40" t="e">
        <f t="shared" si="15"/>
        <v>#DIV/0!</v>
      </c>
      <c r="S39" s="3">
        <f t="shared" si="6"/>
        <v>2356.5</v>
      </c>
      <c r="T39" s="3">
        <f t="shared" si="7"/>
        <v>1431.1999999999998</v>
      </c>
      <c r="U39" s="18">
        <f t="shared" si="16"/>
        <v>60.734139613834074</v>
      </c>
      <c r="V39" s="18">
        <f t="shared" si="8"/>
        <v>925.3000000000002</v>
      </c>
      <c r="W39" s="4">
        <f t="shared" si="9"/>
        <v>448.9000000000001</v>
      </c>
    </row>
    <row r="40" spans="1:23" ht="24.75" customHeight="1">
      <c r="A40" s="6">
        <v>31</v>
      </c>
      <c r="B40" s="20" t="s">
        <v>73</v>
      </c>
      <c r="C40" s="2">
        <v>16.6</v>
      </c>
      <c r="D40" s="3">
        <v>10</v>
      </c>
      <c r="E40" s="3">
        <v>0.6</v>
      </c>
      <c r="F40" s="18">
        <v>31</v>
      </c>
      <c r="G40" s="3">
        <v>8</v>
      </c>
      <c r="H40" s="3">
        <v>5.4</v>
      </c>
      <c r="I40" s="18">
        <f t="shared" si="13"/>
        <v>67.5</v>
      </c>
      <c r="J40" s="3">
        <v>2.4</v>
      </c>
      <c r="K40" s="3">
        <v>4.3</v>
      </c>
      <c r="L40" s="18">
        <f t="shared" si="14"/>
        <v>179.16666666666669</v>
      </c>
      <c r="M40" s="3">
        <f t="shared" si="4"/>
        <v>20.4</v>
      </c>
      <c r="N40" s="3">
        <f t="shared" si="5"/>
        <v>10.3</v>
      </c>
      <c r="O40" s="18">
        <f t="shared" si="1"/>
        <v>50.49019607843138</v>
      </c>
      <c r="P40" s="3">
        <v>0</v>
      </c>
      <c r="Q40" s="3">
        <v>1.3</v>
      </c>
      <c r="R40" s="40" t="e">
        <f t="shared" si="15"/>
        <v>#DIV/0!</v>
      </c>
      <c r="S40" s="3">
        <f t="shared" si="6"/>
        <v>20.4</v>
      </c>
      <c r="T40" s="3">
        <f t="shared" si="7"/>
        <v>11.600000000000001</v>
      </c>
      <c r="U40" s="18">
        <f t="shared" si="16"/>
        <v>56.86274509803923</v>
      </c>
      <c r="V40" s="18">
        <f t="shared" si="8"/>
        <v>8.799999999999997</v>
      </c>
      <c r="W40" s="4">
        <f t="shared" si="9"/>
        <v>25.4</v>
      </c>
    </row>
    <row r="41" spans="1:23" s="55" customFormat="1" ht="36.75" customHeight="1">
      <c r="A41" s="6">
        <v>32</v>
      </c>
      <c r="B41" s="1" t="s">
        <v>74</v>
      </c>
      <c r="C41" s="2">
        <v>-47.7</v>
      </c>
      <c r="D41" s="3">
        <v>619.7</v>
      </c>
      <c r="E41" s="3">
        <v>14.7</v>
      </c>
      <c r="F41" s="18">
        <f t="shared" si="12"/>
        <v>2.3721155397773113</v>
      </c>
      <c r="G41" s="3">
        <v>489.2</v>
      </c>
      <c r="H41" s="3">
        <v>524.6</v>
      </c>
      <c r="I41" s="18">
        <f t="shared" si="13"/>
        <v>107.2363041700736</v>
      </c>
      <c r="J41" s="3">
        <v>295.7</v>
      </c>
      <c r="K41" s="3">
        <v>456.3</v>
      </c>
      <c r="L41" s="18">
        <f t="shared" si="14"/>
        <v>154.31180250253635</v>
      </c>
      <c r="M41" s="3">
        <f t="shared" si="4"/>
        <v>1404.6000000000001</v>
      </c>
      <c r="N41" s="3">
        <f t="shared" si="5"/>
        <v>995.6000000000001</v>
      </c>
      <c r="O41" s="18">
        <f t="shared" si="1"/>
        <v>70.88138971949309</v>
      </c>
      <c r="P41" s="3">
        <v>0</v>
      </c>
      <c r="Q41" s="3">
        <v>251.4</v>
      </c>
      <c r="R41" s="40" t="e">
        <f t="shared" si="15"/>
        <v>#DIV/0!</v>
      </c>
      <c r="S41" s="3">
        <f t="shared" si="6"/>
        <v>1404.6000000000001</v>
      </c>
      <c r="T41" s="3">
        <f t="shared" si="7"/>
        <v>1247.0000000000002</v>
      </c>
      <c r="U41" s="18">
        <f t="shared" si="16"/>
        <v>88.7797237647729</v>
      </c>
      <c r="V41" s="18">
        <f t="shared" si="8"/>
        <v>157.5999999999999</v>
      </c>
      <c r="W41" s="4">
        <f t="shared" si="9"/>
        <v>109.89999999999986</v>
      </c>
    </row>
    <row r="42" spans="1:23" s="55" customFormat="1" ht="25.5" customHeight="1">
      <c r="A42" s="6">
        <v>33</v>
      </c>
      <c r="B42" s="20" t="s">
        <v>75</v>
      </c>
      <c r="C42" s="2">
        <v>-248</v>
      </c>
      <c r="D42" s="3">
        <v>1003.7</v>
      </c>
      <c r="E42" s="3">
        <v>14</v>
      </c>
      <c r="F42" s="18">
        <v>1.8</v>
      </c>
      <c r="G42" s="3">
        <v>1004.5</v>
      </c>
      <c r="H42" s="3">
        <v>247.1</v>
      </c>
      <c r="I42" s="18">
        <f t="shared" si="13"/>
        <v>24.5993031358885</v>
      </c>
      <c r="J42" s="3">
        <v>709.1</v>
      </c>
      <c r="K42" s="3">
        <v>253.2</v>
      </c>
      <c r="L42" s="18">
        <f t="shared" si="14"/>
        <v>35.70723452263432</v>
      </c>
      <c r="M42" s="3">
        <f t="shared" si="4"/>
        <v>2717.3</v>
      </c>
      <c r="N42" s="3">
        <f t="shared" si="5"/>
        <v>514.3</v>
      </c>
      <c r="O42" s="18">
        <f t="shared" si="1"/>
        <v>18.926875943031682</v>
      </c>
      <c r="P42" s="3">
        <v>30.7</v>
      </c>
      <c r="Q42" s="3">
        <v>2112.4</v>
      </c>
      <c r="R42" s="18">
        <f t="shared" si="15"/>
        <v>6880.781758957656</v>
      </c>
      <c r="S42" s="3">
        <f t="shared" si="6"/>
        <v>2748</v>
      </c>
      <c r="T42" s="3">
        <f t="shared" si="7"/>
        <v>2626.7</v>
      </c>
      <c r="U42" s="18">
        <f t="shared" si="16"/>
        <v>95.58588064046577</v>
      </c>
      <c r="V42" s="18">
        <f t="shared" si="8"/>
        <v>121.30000000000018</v>
      </c>
      <c r="W42" s="4">
        <f t="shared" si="9"/>
        <v>-126.69999999999982</v>
      </c>
    </row>
    <row r="43" spans="1:23" s="9" customFormat="1" ht="24.75" customHeight="1">
      <c r="A43" s="50">
        <v>34</v>
      </c>
      <c r="B43" s="22" t="s">
        <v>76</v>
      </c>
      <c r="C43" s="60">
        <f>C44+C45</f>
        <v>15431.2</v>
      </c>
      <c r="D43" s="4">
        <f>D44+D45</f>
        <v>83705.4</v>
      </c>
      <c r="E43" s="4">
        <f>E44+E45</f>
        <v>5797</v>
      </c>
      <c r="F43" s="18">
        <f t="shared" si="12"/>
        <v>6.925479120821357</v>
      </c>
      <c r="G43" s="4">
        <f>G44+G45</f>
        <v>78248.2</v>
      </c>
      <c r="H43" s="4">
        <f>H44+H45</f>
        <v>31275</v>
      </c>
      <c r="I43" s="18">
        <f>H43/G43*100</f>
        <v>39.9689705322295</v>
      </c>
      <c r="J43" s="4">
        <f>J44+J45</f>
        <v>47175.7</v>
      </c>
      <c r="K43" s="4">
        <f>K44+K45</f>
        <v>97964.3</v>
      </c>
      <c r="L43" s="18">
        <f t="shared" si="14"/>
        <v>207.65839192635192</v>
      </c>
      <c r="M43" s="4">
        <f>M44+M45</f>
        <v>209129.3</v>
      </c>
      <c r="N43" s="4">
        <f>N44+N45</f>
        <v>135036.3</v>
      </c>
      <c r="O43" s="18">
        <f t="shared" si="1"/>
        <v>64.57072251473132</v>
      </c>
      <c r="P43" s="4">
        <f>P44+P45</f>
        <v>16399.5</v>
      </c>
      <c r="Q43" s="4">
        <f>Q44+Q45</f>
        <v>40799.6</v>
      </c>
      <c r="R43" s="18">
        <f>Q43/P43*100</f>
        <v>248.78563370834476</v>
      </c>
      <c r="S43" s="4">
        <f>S44+S45</f>
        <v>225528.8</v>
      </c>
      <c r="T43" s="4">
        <f>T44+T45</f>
        <v>175835.9</v>
      </c>
      <c r="U43" s="18">
        <f t="shared" si="16"/>
        <v>77.96605134244496</v>
      </c>
      <c r="V43" s="61">
        <f>V44+V45</f>
        <v>49692.9</v>
      </c>
      <c r="W43" s="61">
        <f>W44+W45</f>
        <v>65124.1</v>
      </c>
    </row>
    <row r="44" spans="1:23" s="62" customFormat="1" ht="24.75" customHeight="1">
      <c r="A44" s="50"/>
      <c r="B44" s="1" t="s">
        <v>98</v>
      </c>
      <c r="C44" s="2">
        <v>17049</v>
      </c>
      <c r="D44" s="3">
        <v>81879</v>
      </c>
      <c r="E44" s="3">
        <v>5797</v>
      </c>
      <c r="F44" s="18">
        <f t="shared" si="12"/>
        <v>7.079959452362633</v>
      </c>
      <c r="G44" s="3">
        <v>76700</v>
      </c>
      <c r="H44" s="3">
        <v>31275</v>
      </c>
      <c r="I44" s="18">
        <f t="shared" si="13"/>
        <v>40.77574967405476</v>
      </c>
      <c r="J44" s="3">
        <v>46450</v>
      </c>
      <c r="K44" s="3">
        <v>97423</v>
      </c>
      <c r="L44" s="18">
        <f t="shared" si="14"/>
        <v>209.73735199138858</v>
      </c>
      <c r="M44" s="3">
        <f>D44+G44+J44</f>
        <v>205029</v>
      </c>
      <c r="N44" s="3">
        <f>E44+H44+K44</f>
        <v>134495</v>
      </c>
      <c r="O44" s="18">
        <f t="shared" si="1"/>
        <v>65.59803735081378</v>
      </c>
      <c r="P44" s="3">
        <v>16239</v>
      </c>
      <c r="Q44" s="3">
        <v>39990</v>
      </c>
      <c r="R44" s="18">
        <f>Q44/P44*100</f>
        <v>246.25900609643452</v>
      </c>
      <c r="S44" s="3">
        <f>M44+P44</f>
        <v>221268</v>
      </c>
      <c r="T44" s="3">
        <f>N44+Q44</f>
        <v>174485</v>
      </c>
      <c r="U44" s="18">
        <f t="shared" si="16"/>
        <v>78.8568613626914</v>
      </c>
      <c r="V44" s="18">
        <f>S44-T44</f>
        <v>46783</v>
      </c>
      <c r="W44" s="4">
        <f>C44+S44-T44</f>
        <v>63832</v>
      </c>
    </row>
    <row r="45" spans="1:23" s="9" customFormat="1" ht="24.75" customHeight="1">
      <c r="A45" s="50"/>
      <c r="B45" s="1" t="s">
        <v>69</v>
      </c>
      <c r="C45" s="2">
        <v>-1617.8</v>
      </c>
      <c r="D45" s="3">
        <v>1826.4</v>
      </c>
      <c r="E45" s="3">
        <v>0</v>
      </c>
      <c r="F45" s="18">
        <f t="shared" si="12"/>
        <v>0</v>
      </c>
      <c r="G45" s="56">
        <v>1548.2</v>
      </c>
      <c r="H45" s="56">
        <v>0</v>
      </c>
      <c r="I45" s="18">
        <f t="shared" si="13"/>
        <v>0</v>
      </c>
      <c r="J45" s="56">
        <v>725.7</v>
      </c>
      <c r="K45" s="56">
        <v>541.3</v>
      </c>
      <c r="L45" s="18">
        <f t="shared" si="14"/>
        <v>74.5900509852556</v>
      </c>
      <c r="M45" s="3">
        <f>D45+G45+J45</f>
        <v>4100.3</v>
      </c>
      <c r="N45" s="3">
        <f>E45+H45+K45</f>
        <v>541.3</v>
      </c>
      <c r="O45" s="18">
        <f t="shared" si="1"/>
        <v>13.201473062946611</v>
      </c>
      <c r="P45" s="56">
        <v>160.5</v>
      </c>
      <c r="Q45" s="56">
        <v>809.6</v>
      </c>
      <c r="R45" s="18">
        <f>Q45/P45*100</f>
        <v>504.4236760124611</v>
      </c>
      <c r="S45" s="3">
        <f>M45+P45</f>
        <v>4260.8</v>
      </c>
      <c r="T45" s="3">
        <f>N45+Q45</f>
        <v>1350.9</v>
      </c>
      <c r="U45" s="18">
        <f t="shared" si="16"/>
        <v>31.705313556139693</v>
      </c>
      <c r="V45" s="18">
        <f>S45-T45</f>
        <v>2909.9</v>
      </c>
      <c r="W45" s="4">
        <f>C45+S45-T45</f>
        <v>1292.1</v>
      </c>
    </row>
    <row r="46" spans="1:25" s="9" customFormat="1" ht="24.75" customHeight="1">
      <c r="A46" s="50"/>
      <c r="B46" s="22" t="s">
        <v>78</v>
      </c>
      <c r="C46" s="60">
        <f>C7+C43</f>
        <v>19928.4</v>
      </c>
      <c r="D46" s="4">
        <f>D7+D43</f>
        <v>94410.9</v>
      </c>
      <c r="E46" s="4">
        <f>E7+E43</f>
        <v>6293</v>
      </c>
      <c r="F46" s="18">
        <f>E46/D46*100</f>
        <v>6.665543914950499</v>
      </c>
      <c r="G46" s="4">
        <f>G7+G43</f>
        <v>87275.79999999999</v>
      </c>
      <c r="H46" s="4">
        <f>H7+H43</f>
        <v>35226.2</v>
      </c>
      <c r="I46" s="18">
        <f>H46/G46*100</f>
        <v>40.36193309027245</v>
      </c>
      <c r="J46" s="4">
        <f>J7+J43</f>
        <v>51007.7</v>
      </c>
      <c r="K46" s="4">
        <f>K7+K43</f>
        <v>102902.1</v>
      </c>
      <c r="L46" s="18">
        <f t="shared" si="14"/>
        <v>201.73836499195224</v>
      </c>
      <c r="M46" s="4">
        <f>M7+M43</f>
        <v>232694.4</v>
      </c>
      <c r="N46" s="4">
        <f>N7+N43</f>
        <v>144421.3</v>
      </c>
      <c r="O46" s="18">
        <f t="shared" si="1"/>
        <v>62.064793995901915</v>
      </c>
      <c r="P46" s="4">
        <f>P7+P43</f>
        <v>16880.5</v>
      </c>
      <c r="Q46" s="4">
        <f>Q7+Q43</f>
        <v>48112.299999999996</v>
      </c>
      <c r="R46" s="18">
        <f>Q46/P46*100</f>
        <v>285.01703148603417</v>
      </c>
      <c r="S46" s="4">
        <f>S7+S43</f>
        <v>249574.9</v>
      </c>
      <c r="T46" s="4">
        <f>T7+T43</f>
        <v>192533.59999999998</v>
      </c>
      <c r="U46" s="18">
        <f>T46/S46*100</f>
        <v>77.14461670624729</v>
      </c>
      <c r="V46" s="61">
        <f>V7+V43</f>
        <v>57041.3</v>
      </c>
      <c r="W46" s="61">
        <f>W7+W43</f>
        <v>76969.7</v>
      </c>
      <c r="X46" s="30">
        <f>S46-T46</f>
        <v>57041.30000000002</v>
      </c>
      <c r="Y46" s="24">
        <f>C46+S46-T46</f>
        <v>76969.70000000001</v>
      </c>
    </row>
    <row r="47" spans="1:23" ht="17.25" customHeight="1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</row>
    <row r="48" spans="1:23" ht="4.5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</row>
    <row r="49" spans="1:23" ht="18.75" customHeight="1" hidden="1">
      <c r="A49" s="6"/>
      <c r="B49" s="9" t="s">
        <v>82</v>
      </c>
      <c r="C49" s="63"/>
      <c r="D49" s="64"/>
      <c r="E49" s="65"/>
      <c r="F49" s="66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4"/>
    </row>
    <row r="50" spans="2:23" ht="7.5" customHeight="1" hidden="1">
      <c r="B50" s="9"/>
      <c r="C50" s="63"/>
      <c r="D50" s="63"/>
      <c r="E50" s="63"/>
      <c r="F50" s="66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4"/>
    </row>
    <row r="51" spans="1:23" ht="18.75" customHeight="1" hidden="1">
      <c r="A51" s="6"/>
      <c r="B51" s="9" t="s">
        <v>83</v>
      </c>
      <c r="C51" s="63"/>
      <c r="D51" s="65"/>
      <c r="E51" s="63"/>
      <c r="F51" s="66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68"/>
      <c r="T51" s="68"/>
      <c r="U51" s="67"/>
      <c r="V51" s="43"/>
      <c r="W51" s="69" t="s">
        <v>97</v>
      </c>
    </row>
    <row r="52" spans="1:23" ht="24.75" customHeight="1">
      <c r="A52" s="70"/>
      <c r="B52" s="142"/>
      <c r="C52" s="142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43"/>
      <c r="W52" s="43"/>
    </row>
    <row r="53" spans="1:23" s="76" customFormat="1" ht="52.5" customHeight="1">
      <c r="A53" s="71"/>
      <c r="B53" s="135" t="s">
        <v>101</v>
      </c>
      <c r="C53" s="135"/>
      <c r="D53" s="135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2"/>
      <c r="T53" s="72"/>
      <c r="U53" s="73"/>
      <c r="V53" s="74"/>
      <c r="W53" s="75" t="s">
        <v>100</v>
      </c>
    </row>
    <row r="54" spans="1:23" ht="49.5" customHeight="1" hidden="1">
      <c r="A54" s="70"/>
      <c r="B54" s="141" t="s">
        <v>37</v>
      </c>
      <c r="C54" s="141"/>
      <c r="D54" s="9"/>
      <c r="E54" s="9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39"/>
      <c r="W54" s="39"/>
    </row>
    <row r="55" spans="1:28" ht="73.5" customHeight="1" hidden="1">
      <c r="A55" s="136" t="s">
        <v>99</v>
      </c>
      <c r="B55" s="136"/>
      <c r="C55" s="136"/>
      <c r="D55" s="68"/>
      <c r="E55" s="68"/>
      <c r="F55" s="6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1154.2</v>
      </c>
      <c r="T55" s="3">
        <v>1213.3</v>
      </c>
      <c r="U55" s="18"/>
      <c r="V55" s="3"/>
      <c r="W55" s="4">
        <f>C55+D55-E55</f>
        <v>0</v>
      </c>
      <c r="X55" s="43"/>
      <c r="Y55" s="43"/>
      <c r="Z55" s="43"/>
      <c r="AA55" s="67"/>
      <c r="AB55" s="69" t="s">
        <v>97</v>
      </c>
    </row>
    <row r="56" spans="2:23" ht="18.75">
      <c r="B56" s="5" t="s">
        <v>40</v>
      </c>
      <c r="C56" s="78">
        <v>91.5</v>
      </c>
      <c r="D56" s="43"/>
      <c r="E56" s="43"/>
      <c r="F56" s="6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>
        <v>1415.7</v>
      </c>
      <c r="T56" s="39">
        <v>1436.1</v>
      </c>
      <c r="U56" s="77"/>
      <c r="V56" s="39"/>
      <c r="W56" s="4">
        <f>C56+D56-E56</f>
        <v>91.5</v>
      </c>
    </row>
    <row r="57" spans="3:23" ht="18.75">
      <c r="C57" s="78"/>
      <c r="D57" s="43"/>
      <c r="E57" s="43"/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39"/>
      <c r="W57" s="39"/>
    </row>
    <row r="58" spans="3:23" ht="18.75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39"/>
      <c r="W58" s="39"/>
    </row>
    <row r="59" spans="2:23" ht="18.75">
      <c r="B59" s="5" t="s">
        <v>41</v>
      </c>
      <c r="C59" s="78">
        <f>C9+C17+C20+C26+C36+C38+C40</f>
        <v>1137.8999999999999</v>
      </c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39"/>
      <c r="W59" s="39">
        <f>W9+W17+W20+W26+W36+W38+W40</f>
        <v>2589.9</v>
      </c>
    </row>
    <row r="60" spans="2:23" ht="18.75">
      <c r="B60" s="5" t="s">
        <v>42</v>
      </c>
      <c r="C60" s="78">
        <f>C11+C13+C14+C16+C18+C19+C25</f>
        <v>167.69999999999996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39"/>
      <c r="W60" s="39">
        <f>W11+W13+W14+W16+W18+W19+W25</f>
        <v>1105.6</v>
      </c>
    </row>
    <row r="61" spans="3:23" ht="18.75">
      <c r="C61" s="78"/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39"/>
      <c r="W61" s="39"/>
    </row>
    <row r="62" spans="7:23" ht="18.75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39"/>
      <c r="W62" s="39"/>
    </row>
    <row r="63" spans="7:23" ht="18.75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39"/>
      <c r="W63" s="39"/>
    </row>
    <row r="64" spans="7:23" ht="18.75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39"/>
      <c r="W64" s="39"/>
    </row>
    <row r="65" spans="7:23" ht="18.75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39"/>
      <c r="W65" s="39"/>
    </row>
    <row r="66" spans="7:23" ht="18.75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39"/>
      <c r="W66" s="39"/>
    </row>
    <row r="67" spans="7:23" ht="18.75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39"/>
      <c r="W67" s="39"/>
    </row>
    <row r="68" spans="7:23" ht="18.75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39"/>
      <c r="W68" s="39"/>
    </row>
    <row r="69" spans="7:23" ht="18.75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39"/>
      <c r="W69" s="39"/>
    </row>
    <row r="70" spans="7:23" ht="18.75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39"/>
      <c r="W70" s="39"/>
    </row>
    <row r="71" spans="7:23" ht="18.75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39"/>
      <c r="W71" s="39"/>
    </row>
    <row r="72" spans="7:23" ht="18.75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39"/>
      <c r="W72" s="39"/>
    </row>
    <row r="73" spans="7:23" ht="18.75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39"/>
      <c r="W73" s="39"/>
    </row>
    <row r="74" spans="7:23" ht="18.75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39"/>
      <c r="W74" s="39"/>
    </row>
    <row r="75" spans="7:23" ht="18.75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39"/>
      <c r="W75" s="39"/>
    </row>
    <row r="76" spans="7:23" ht="18.75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39"/>
      <c r="W76" s="39"/>
    </row>
    <row r="77" spans="7:23" ht="18.75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39"/>
      <c r="W77" s="39"/>
    </row>
    <row r="78" spans="7:23" ht="18.75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39"/>
      <c r="W78" s="39"/>
    </row>
    <row r="79" spans="7:23" ht="18.75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39"/>
      <c r="W79" s="39"/>
    </row>
    <row r="80" spans="7:23" ht="18.75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39"/>
      <c r="W80" s="39"/>
    </row>
    <row r="81" spans="7:23" ht="18.75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39"/>
      <c r="W81" s="39"/>
    </row>
    <row r="82" spans="7:23" ht="18.75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39"/>
      <c r="W82" s="39"/>
    </row>
    <row r="83" spans="7:23" ht="18.75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39"/>
      <c r="W83" s="39"/>
    </row>
    <row r="84" spans="7:23" ht="18.75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39"/>
      <c r="W84" s="39"/>
    </row>
    <row r="85" spans="7:23" ht="18.75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39"/>
      <c r="W85" s="39"/>
    </row>
    <row r="86" spans="7:23" ht="18.75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39"/>
      <c r="W86" s="39"/>
    </row>
    <row r="87" spans="7:23" ht="18.75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39"/>
      <c r="W87" s="39"/>
    </row>
    <row r="88" spans="7:23" ht="18.75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39"/>
      <c r="W88" s="39"/>
    </row>
    <row r="89" spans="7:23" ht="18.75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39"/>
      <c r="W89" s="39"/>
    </row>
    <row r="90" spans="7:23" ht="18.75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39"/>
      <c r="W90" s="39"/>
    </row>
    <row r="91" spans="7:23" ht="18.75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39"/>
      <c r="W91" s="39"/>
    </row>
    <row r="92" spans="7:23" ht="18.75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39"/>
      <c r="W92" s="39"/>
    </row>
    <row r="93" spans="7:23" ht="18.75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39"/>
      <c r="W93" s="39"/>
    </row>
    <row r="94" spans="7:23" ht="18.75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39"/>
      <c r="W94" s="39"/>
    </row>
    <row r="95" spans="7:23" ht="18.75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39"/>
      <c r="W95" s="39"/>
    </row>
    <row r="96" spans="7:23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39"/>
      <c r="W96" s="39"/>
    </row>
    <row r="97" spans="7:23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39"/>
      <c r="W97" s="39"/>
    </row>
    <row r="98" spans="7:23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39"/>
      <c r="W98" s="39"/>
    </row>
    <row r="99" spans="7:23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39"/>
      <c r="W99" s="39"/>
    </row>
    <row r="100" spans="7:23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39"/>
      <c r="W100" s="39"/>
    </row>
    <row r="101" spans="7:23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39"/>
      <c r="W101" s="39"/>
    </row>
    <row r="102" spans="7:23" ht="18.75"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39"/>
      <c r="W102" s="39"/>
    </row>
  </sheetData>
  <sheetProtection/>
  <mergeCells count="16">
    <mergeCell ref="D1:W1"/>
    <mergeCell ref="B2:W2"/>
    <mergeCell ref="B4:C4"/>
    <mergeCell ref="A55:C55"/>
    <mergeCell ref="B3:W3"/>
    <mergeCell ref="A47:W48"/>
    <mergeCell ref="B54:C54"/>
    <mergeCell ref="B53:D53"/>
    <mergeCell ref="P5:R5"/>
    <mergeCell ref="B52:C52"/>
    <mergeCell ref="D5:F5"/>
    <mergeCell ref="J5:L5"/>
    <mergeCell ref="G5:I5"/>
    <mergeCell ref="S5:U5"/>
    <mergeCell ref="W5:W6"/>
    <mergeCell ref="V5:V6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102"/>
  <sheetViews>
    <sheetView view="pageBreakPreview" zoomScale="70" zoomScaleNormal="75" zoomScaleSheetLayoutView="70" zoomScalePageLayoutView="0" workbookViewId="0" topLeftCell="A1">
      <pane xSplit="6" ySplit="8" topLeftCell="P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X47" sqref="X47"/>
    </sheetView>
  </sheetViews>
  <sheetFormatPr defaultColWidth="7.875" defaultRowHeight="12.75"/>
  <cols>
    <col min="1" max="1" width="6.625" style="7" customWidth="1"/>
    <col min="2" max="2" width="56.75390625" style="5" customWidth="1"/>
    <col min="3" max="3" width="16.875" style="51" customWidth="1"/>
    <col min="4" max="4" width="19.875" style="5" hidden="1" customWidth="1"/>
    <col min="5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75390625" style="9" hidden="1" customWidth="1"/>
    <col min="13" max="13" width="12.75390625" style="9" customWidth="1"/>
    <col min="14" max="14" width="13.25390625" style="9" customWidth="1"/>
    <col min="15" max="15" width="11.875" style="9" customWidth="1"/>
    <col min="16" max="17" width="14.75390625" style="5" customWidth="1"/>
    <col min="18" max="18" width="11.875" style="9" customWidth="1"/>
    <col min="19" max="19" width="15.00390625" style="5" customWidth="1"/>
    <col min="20" max="20" width="15.125" style="5" customWidth="1"/>
    <col min="21" max="21" width="13.75390625" style="9" customWidth="1"/>
    <col min="22" max="22" width="19.75390625" style="5" customWidth="1"/>
    <col min="23" max="23" width="22.625" style="5" customWidth="1"/>
    <col min="24" max="24" width="13.625" style="5" customWidth="1"/>
    <col min="25" max="25" width="16.875" style="5" customWidth="1"/>
    <col min="26" max="16384" width="7.875" style="5" customWidth="1"/>
  </cols>
  <sheetData>
    <row r="1" spans="4:23" ht="18.75"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s="42" customFormat="1" ht="42" customHeight="1">
      <c r="A2" s="41"/>
      <c r="B2" s="127" t="s">
        <v>85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1:23" s="42" customFormat="1" ht="42" customHeight="1">
      <c r="A3" s="41"/>
      <c r="B3" s="127" t="s">
        <v>118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2:23" ht="18.75">
      <c r="B4" s="79"/>
      <c r="C4" s="79"/>
      <c r="W4" s="13" t="s">
        <v>48</v>
      </c>
    </row>
    <row r="5" spans="1:23" ht="36.75" customHeight="1">
      <c r="A5" s="33" t="s">
        <v>36</v>
      </c>
      <c r="B5" s="34"/>
      <c r="C5" s="35" t="s">
        <v>1</v>
      </c>
      <c r="D5" s="129" t="s">
        <v>111</v>
      </c>
      <c r="E5" s="130"/>
      <c r="F5" s="131"/>
      <c r="G5" s="132" t="s">
        <v>113</v>
      </c>
      <c r="H5" s="133"/>
      <c r="I5" s="134"/>
      <c r="J5" s="132" t="s">
        <v>117</v>
      </c>
      <c r="K5" s="133"/>
      <c r="L5" s="134"/>
      <c r="M5" s="121"/>
      <c r="N5" s="121" t="s">
        <v>122</v>
      </c>
      <c r="O5" s="121"/>
      <c r="P5" s="132" t="s">
        <v>119</v>
      </c>
      <c r="Q5" s="133"/>
      <c r="R5" s="134"/>
      <c r="S5" s="129" t="s">
        <v>114</v>
      </c>
      <c r="T5" s="130"/>
      <c r="U5" s="131"/>
      <c r="V5" s="125" t="s">
        <v>120</v>
      </c>
      <c r="W5" s="125" t="s">
        <v>121</v>
      </c>
    </row>
    <row r="6" spans="1:23" ht="63.7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126"/>
      <c r="W6" s="126"/>
    </row>
    <row r="7" spans="1:25" s="9" customFormat="1" ht="36" customHeight="1">
      <c r="A7" s="15"/>
      <c r="B7" s="16" t="s">
        <v>49</v>
      </c>
      <c r="C7" s="80">
        <f>SUM(C8:C42)</f>
        <v>-5511.100000000001</v>
      </c>
      <c r="D7" s="18">
        <f>SUM(D8:D42)</f>
        <v>55561.90000000001</v>
      </c>
      <c r="E7" s="18">
        <f>SUM(E8:E42)</f>
        <v>18291.199999999997</v>
      </c>
      <c r="F7" s="18">
        <f aca="true" t="shared" si="0" ref="F7:F28">E7/D7*100</f>
        <v>32.920400490264</v>
      </c>
      <c r="G7" s="18">
        <f>SUM(G8:G42)</f>
        <v>47052.9</v>
      </c>
      <c r="H7" s="18">
        <f>SUM(H8:H42)</f>
        <v>51717.299999999996</v>
      </c>
      <c r="I7" s="18">
        <f>H7/G7*100</f>
        <v>109.91309781118697</v>
      </c>
      <c r="J7" s="18">
        <f>SUM(J8:J42)</f>
        <v>27986.899999999994</v>
      </c>
      <c r="K7" s="18">
        <f>SUM(K8:K42)</f>
        <v>32119.699999999993</v>
      </c>
      <c r="L7" s="18">
        <f>K7/J7*100</f>
        <v>114.76690880376177</v>
      </c>
      <c r="M7" s="18">
        <f>SUM(M8:M42)</f>
        <v>130601.69999999998</v>
      </c>
      <c r="N7" s="18">
        <f>SUM(N8:N42)</f>
        <v>102128.2</v>
      </c>
      <c r="O7" s="18">
        <f>N7/M7*100</f>
        <v>78.19821640912792</v>
      </c>
      <c r="P7" s="18">
        <f>SUM(P8:P42)</f>
        <v>2170.7999999999997</v>
      </c>
      <c r="Q7" s="18">
        <f>SUM(Q8:Q42)</f>
        <v>11870</v>
      </c>
      <c r="R7" s="18">
        <f>Q7/P7*100</f>
        <v>546.8030219274001</v>
      </c>
      <c r="S7" s="18">
        <f>SUM(S8:S42)</f>
        <v>132772.5</v>
      </c>
      <c r="T7" s="18">
        <f>SUM(T8:T42)</f>
        <v>113998.2</v>
      </c>
      <c r="U7" s="18">
        <f>T7/S7*100</f>
        <v>85.85979777438853</v>
      </c>
      <c r="V7" s="54">
        <f>SUM(V8:V42)</f>
        <v>18774.3</v>
      </c>
      <c r="W7" s="54">
        <f>SUM(W8:W42)</f>
        <v>13263.2</v>
      </c>
      <c r="X7" s="30">
        <f>S7-T7</f>
        <v>18774.300000000003</v>
      </c>
      <c r="Y7" s="30">
        <f>C7+S7-T7</f>
        <v>13263.199999999997</v>
      </c>
    </row>
    <row r="8" spans="1:23" ht="39" customHeight="1">
      <c r="A8" s="6">
        <v>1</v>
      </c>
      <c r="B8" s="1" t="s">
        <v>50</v>
      </c>
      <c r="C8" s="2">
        <v>-445.7</v>
      </c>
      <c r="D8" s="3">
        <v>3670.6</v>
      </c>
      <c r="E8" s="3">
        <f>311.8+1286.9</f>
        <v>1598.7</v>
      </c>
      <c r="F8" s="18">
        <f t="shared" si="0"/>
        <v>43.554187326322676</v>
      </c>
      <c r="G8" s="3">
        <f>670.1+2666.2</f>
        <v>3336.2999999999997</v>
      </c>
      <c r="H8" s="3">
        <f>487+3707.5</f>
        <v>4194.5</v>
      </c>
      <c r="I8" s="18">
        <f>H8/G8*100</f>
        <v>125.72310643527263</v>
      </c>
      <c r="J8" s="3">
        <f>379.6+1308.1</f>
        <v>1687.6999999999998</v>
      </c>
      <c r="K8" s="3">
        <f>442.3+1680.2</f>
        <v>2122.5</v>
      </c>
      <c r="L8" s="18">
        <f>K8/J8*100</f>
        <v>125.76287254843872</v>
      </c>
      <c r="M8" s="3">
        <f>D8+G8+J8</f>
        <v>8694.599999999999</v>
      </c>
      <c r="N8" s="3">
        <f>E8+H8+K8</f>
        <v>7915.7</v>
      </c>
      <c r="O8" s="18">
        <f aca="true" t="shared" si="1" ref="O8:O46">N8/M8*100</f>
        <v>91.04156602948959</v>
      </c>
      <c r="P8" s="3">
        <f>49.2+134.3</f>
        <v>183.5</v>
      </c>
      <c r="Q8" s="3">
        <f>220.8+468.1</f>
        <v>688.9000000000001</v>
      </c>
      <c r="R8" s="18">
        <f>Q8/P8*100</f>
        <v>375.42234332425073</v>
      </c>
      <c r="S8" s="3">
        <f>M8+P8</f>
        <v>8878.099999999999</v>
      </c>
      <c r="T8" s="3">
        <f>N8+Q8</f>
        <v>8604.6</v>
      </c>
      <c r="U8" s="18">
        <f>T8/S8*100</f>
        <v>96.91938590464177</v>
      </c>
      <c r="V8" s="18">
        <f>S8-T8</f>
        <v>273.4999999999982</v>
      </c>
      <c r="W8" s="4">
        <f>C8+S8-T8</f>
        <v>-172.20000000000255</v>
      </c>
    </row>
    <row r="9" spans="1:23" ht="36.75" customHeight="1">
      <c r="A9" s="6">
        <v>2</v>
      </c>
      <c r="B9" s="44" t="s">
        <v>81</v>
      </c>
      <c r="C9" s="2">
        <v>-1037.6</v>
      </c>
      <c r="D9" s="3">
        <v>1127.1</v>
      </c>
      <c r="E9" s="3">
        <v>82.1</v>
      </c>
      <c r="F9" s="18">
        <f t="shared" si="0"/>
        <v>7.284180640582025</v>
      </c>
      <c r="G9" s="3">
        <v>916.4</v>
      </c>
      <c r="H9" s="3">
        <v>932</v>
      </c>
      <c r="I9" s="18">
        <f aca="true" t="shared" si="2" ref="I9:I22">H9/G9*100</f>
        <v>101.7023134002619</v>
      </c>
      <c r="J9" s="3">
        <v>430.3</v>
      </c>
      <c r="K9" s="3">
        <v>443.5</v>
      </c>
      <c r="L9" s="18">
        <f aca="true" t="shared" si="3" ref="L9:L19">K9/J9*100</f>
        <v>103.06762723681153</v>
      </c>
      <c r="M9" s="3">
        <f aca="true" t="shared" si="4" ref="M9:M42">D9+G9+J9</f>
        <v>2473.8</v>
      </c>
      <c r="N9" s="3">
        <f aca="true" t="shared" si="5" ref="N9:N42">E9+H9+K9</f>
        <v>1457.6</v>
      </c>
      <c r="O9" s="18">
        <f t="shared" si="1"/>
        <v>58.921497291616134</v>
      </c>
      <c r="P9" s="3">
        <v>24.9</v>
      </c>
      <c r="Q9" s="3">
        <v>60.7</v>
      </c>
      <c r="R9" s="18">
        <f aca="true" t="shared" si="6" ref="R9:R20">Q9/P9*100</f>
        <v>243.77510040160644</v>
      </c>
      <c r="S9" s="3">
        <f aca="true" t="shared" si="7" ref="S9:S42">M9+P9</f>
        <v>2498.7000000000003</v>
      </c>
      <c r="T9" s="3">
        <f aca="true" t="shared" si="8" ref="T9:T42">N9+Q9</f>
        <v>1518.3</v>
      </c>
      <c r="U9" s="18">
        <f>T9/S9*100</f>
        <v>60.763597070476635</v>
      </c>
      <c r="V9" s="18">
        <f aca="true" t="shared" si="9" ref="V9:V42">S9-T9</f>
        <v>980.4000000000003</v>
      </c>
      <c r="W9" s="4">
        <f aca="true" t="shared" si="10" ref="W9:W42">C9+S9-T9</f>
        <v>-57.19999999999959</v>
      </c>
    </row>
    <row r="10" spans="1:23" ht="36" customHeight="1">
      <c r="A10" s="6">
        <v>3</v>
      </c>
      <c r="B10" s="20" t="s">
        <v>96</v>
      </c>
      <c r="C10" s="2">
        <v>0</v>
      </c>
      <c r="D10" s="3">
        <v>0.7</v>
      </c>
      <c r="E10" s="3">
        <v>0.7</v>
      </c>
      <c r="F10" s="18">
        <f t="shared" si="0"/>
        <v>100</v>
      </c>
      <c r="G10" s="56">
        <v>61.1</v>
      </c>
      <c r="H10" s="56">
        <v>61.1</v>
      </c>
      <c r="I10" s="18">
        <f t="shared" si="2"/>
        <v>100</v>
      </c>
      <c r="J10" s="56">
        <v>0</v>
      </c>
      <c r="K10" s="56">
        <v>0</v>
      </c>
      <c r="L10" s="40" t="e">
        <f t="shared" si="3"/>
        <v>#DIV/0!</v>
      </c>
      <c r="M10" s="3">
        <f t="shared" si="4"/>
        <v>61.800000000000004</v>
      </c>
      <c r="N10" s="3">
        <f t="shared" si="5"/>
        <v>61.800000000000004</v>
      </c>
      <c r="O10" s="18">
        <f t="shared" si="1"/>
        <v>100</v>
      </c>
      <c r="P10" s="56">
        <v>0</v>
      </c>
      <c r="Q10" s="56">
        <v>0</v>
      </c>
      <c r="R10" s="40" t="e">
        <f t="shared" si="6"/>
        <v>#DIV/0!</v>
      </c>
      <c r="S10" s="3">
        <f t="shared" si="7"/>
        <v>61.800000000000004</v>
      </c>
      <c r="T10" s="3">
        <f t="shared" si="8"/>
        <v>61.800000000000004</v>
      </c>
      <c r="U10" s="18">
        <f>T10/S10*100</f>
        <v>100</v>
      </c>
      <c r="V10" s="18">
        <f t="shared" si="9"/>
        <v>0</v>
      </c>
      <c r="W10" s="4">
        <f t="shared" si="10"/>
        <v>0</v>
      </c>
    </row>
    <row r="11" spans="1:23" ht="24" customHeight="1">
      <c r="A11" s="6">
        <v>4</v>
      </c>
      <c r="B11" s="1" t="s">
        <v>107</v>
      </c>
      <c r="C11" s="2">
        <v>-0.5</v>
      </c>
      <c r="D11" s="3">
        <f>35.7+33.6</f>
        <v>69.30000000000001</v>
      </c>
      <c r="E11" s="3">
        <v>30.1</v>
      </c>
      <c r="F11" s="18">
        <f t="shared" si="0"/>
        <v>43.43434343434343</v>
      </c>
      <c r="G11" s="3">
        <f>54.4+27.4</f>
        <v>81.8</v>
      </c>
      <c r="H11" s="3">
        <f>35.7+3.5</f>
        <v>39.2</v>
      </c>
      <c r="I11" s="18">
        <f t="shared" si="2"/>
        <v>47.92176039119805</v>
      </c>
      <c r="J11" s="3">
        <f>36.6+13.8</f>
        <v>50.400000000000006</v>
      </c>
      <c r="K11" s="3">
        <f>54.3+46.1</f>
        <v>100.4</v>
      </c>
      <c r="L11" s="18">
        <f t="shared" si="3"/>
        <v>199.2063492063492</v>
      </c>
      <c r="M11" s="3">
        <f t="shared" si="4"/>
        <v>201.50000000000003</v>
      </c>
      <c r="N11" s="3">
        <f t="shared" si="5"/>
        <v>169.70000000000002</v>
      </c>
      <c r="O11" s="18">
        <f t="shared" si="1"/>
        <v>84.21836228287842</v>
      </c>
      <c r="P11" s="3">
        <f>2.2+112.2</f>
        <v>114.4</v>
      </c>
      <c r="Q11" s="3">
        <f>36.6+113.9</f>
        <v>150.5</v>
      </c>
      <c r="R11" s="18">
        <f t="shared" si="6"/>
        <v>131.55594405594405</v>
      </c>
      <c r="S11" s="3">
        <f t="shared" si="7"/>
        <v>315.90000000000003</v>
      </c>
      <c r="T11" s="3">
        <f t="shared" si="8"/>
        <v>320.20000000000005</v>
      </c>
      <c r="U11" s="18">
        <f aca="true" t="shared" si="11" ref="U11:U22">T11/S11*100</f>
        <v>101.36119025007915</v>
      </c>
      <c r="V11" s="18">
        <f t="shared" si="9"/>
        <v>-4.300000000000011</v>
      </c>
      <c r="W11" s="4">
        <f t="shared" si="10"/>
        <v>-4.800000000000011</v>
      </c>
    </row>
    <row r="12" spans="1:23" s="55" customFormat="1" ht="24" customHeight="1">
      <c r="A12" s="6">
        <v>5</v>
      </c>
      <c r="B12" s="1" t="s">
        <v>79</v>
      </c>
      <c r="C12" s="2">
        <f>79.3-724</f>
        <v>-644.7</v>
      </c>
      <c r="D12" s="3">
        <f>204.2+1318.3</f>
        <v>1522.5</v>
      </c>
      <c r="E12" s="3">
        <v>0</v>
      </c>
      <c r="F12" s="18">
        <f t="shared" si="0"/>
        <v>0</v>
      </c>
      <c r="G12" s="3">
        <f>165.4+1133.6</f>
        <v>1299</v>
      </c>
      <c r="H12" s="3">
        <f>29.5+21</f>
        <v>50.5</v>
      </c>
      <c r="I12" s="18">
        <f t="shared" si="2"/>
        <v>3.8876058506543494</v>
      </c>
      <c r="J12" s="3">
        <f>114.3+745.1</f>
        <v>859.4</v>
      </c>
      <c r="K12" s="3">
        <f>400.6+1706.9</f>
        <v>2107.5</v>
      </c>
      <c r="L12" s="18">
        <f t="shared" si="3"/>
        <v>245.22922969513615</v>
      </c>
      <c r="M12" s="3">
        <f t="shared" si="4"/>
        <v>3680.9</v>
      </c>
      <c r="N12" s="3">
        <f t="shared" si="5"/>
        <v>2158</v>
      </c>
      <c r="O12" s="18">
        <f t="shared" si="1"/>
        <v>58.626966231084786</v>
      </c>
      <c r="P12" s="3">
        <f>4.6+24.4</f>
        <v>29</v>
      </c>
      <c r="Q12" s="3">
        <f>137.8+624.9</f>
        <v>762.7</v>
      </c>
      <c r="R12" s="18">
        <f t="shared" si="6"/>
        <v>2630</v>
      </c>
      <c r="S12" s="3">
        <f t="shared" si="7"/>
        <v>3709.9</v>
      </c>
      <c r="T12" s="3">
        <f t="shared" si="8"/>
        <v>2920.7</v>
      </c>
      <c r="U12" s="18">
        <f t="shared" si="11"/>
        <v>78.72718941211353</v>
      </c>
      <c r="V12" s="18">
        <f t="shared" si="9"/>
        <v>789.2000000000003</v>
      </c>
      <c r="W12" s="4">
        <f t="shared" si="10"/>
        <v>144.5</v>
      </c>
    </row>
    <row r="13" spans="1:23" s="55" customFormat="1" ht="24" customHeight="1">
      <c r="A13" s="6">
        <v>6</v>
      </c>
      <c r="B13" s="1" t="s">
        <v>51</v>
      </c>
      <c r="C13" s="2">
        <v>17.3</v>
      </c>
      <c r="D13" s="3">
        <v>866.7</v>
      </c>
      <c r="E13" s="3">
        <v>36.8</v>
      </c>
      <c r="F13" s="18">
        <f t="shared" si="0"/>
        <v>4.245990538825429</v>
      </c>
      <c r="G13" s="3">
        <v>690.5</v>
      </c>
      <c r="H13" s="3">
        <v>319.3</v>
      </c>
      <c r="I13" s="18">
        <f t="shared" si="2"/>
        <v>46.241853729181756</v>
      </c>
      <c r="J13" s="3">
        <v>349.1</v>
      </c>
      <c r="K13" s="3">
        <v>275.2</v>
      </c>
      <c r="L13" s="18">
        <f t="shared" si="3"/>
        <v>78.83128043540532</v>
      </c>
      <c r="M13" s="3">
        <f t="shared" si="4"/>
        <v>1906.3000000000002</v>
      </c>
      <c r="N13" s="3">
        <f t="shared" si="5"/>
        <v>631.3</v>
      </c>
      <c r="O13" s="18">
        <f t="shared" si="1"/>
        <v>33.116508419451286</v>
      </c>
      <c r="P13" s="3">
        <v>17.9</v>
      </c>
      <c r="Q13" s="3">
        <v>420.2</v>
      </c>
      <c r="R13" s="18">
        <f t="shared" si="6"/>
        <v>2347.4860335195535</v>
      </c>
      <c r="S13" s="3">
        <f t="shared" si="7"/>
        <v>1924.2000000000003</v>
      </c>
      <c r="T13" s="3">
        <f t="shared" si="8"/>
        <v>1051.5</v>
      </c>
      <c r="U13" s="18">
        <f t="shared" si="11"/>
        <v>54.64608668537573</v>
      </c>
      <c r="V13" s="18">
        <f t="shared" si="9"/>
        <v>872.7000000000003</v>
      </c>
      <c r="W13" s="4">
        <f t="shared" si="10"/>
        <v>890.0000000000002</v>
      </c>
    </row>
    <row r="14" spans="1:23" ht="24" customHeight="1">
      <c r="A14" s="6">
        <v>7</v>
      </c>
      <c r="B14" s="1" t="s">
        <v>52</v>
      </c>
      <c r="C14" s="2">
        <v>0.3</v>
      </c>
      <c r="D14" s="3">
        <v>622</v>
      </c>
      <c r="E14" s="3">
        <v>413</v>
      </c>
      <c r="F14" s="18">
        <f t="shared" si="0"/>
        <v>66.39871382636656</v>
      </c>
      <c r="G14" s="56">
        <v>702.7</v>
      </c>
      <c r="H14" s="56">
        <v>513.3</v>
      </c>
      <c r="I14" s="18">
        <f t="shared" si="2"/>
        <v>73.04681941084388</v>
      </c>
      <c r="J14" s="56">
        <v>473.5</v>
      </c>
      <c r="K14" s="56">
        <v>243</v>
      </c>
      <c r="L14" s="18">
        <f t="shared" si="3"/>
        <v>51.319957761351645</v>
      </c>
      <c r="M14" s="3">
        <f t="shared" si="4"/>
        <v>1798.2</v>
      </c>
      <c r="N14" s="3">
        <f t="shared" si="5"/>
        <v>1169.3</v>
      </c>
      <c r="O14" s="18">
        <f t="shared" si="1"/>
        <v>65.02613724835946</v>
      </c>
      <c r="P14" s="56">
        <v>70.1</v>
      </c>
      <c r="Q14" s="56">
        <v>271.4</v>
      </c>
      <c r="R14" s="18">
        <f t="shared" si="6"/>
        <v>387.16119828815977</v>
      </c>
      <c r="S14" s="3">
        <f t="shared" si="7"/>
        <v>1868.3</v>
      </c>
      <c r="T14" s="3">
        <f t="shared" si="8"/>
        <v>1440.6999999999998</v>
      </c>
      <c r="U14" s="18">
        <f t="shared" si="11"/>
        <v>77.11288336990847</v>
      </c>
      <c r="V14" s="18">
        <f t="shared" si="9"/>
        <v>427.60000000000014</v>
      </c>
      <c r="W14" s="4">
        <f t="shared" si="10"/>
        <v>427.9000000000001</v>
      </c>
    </row>
    <row r="15" spans="1:23" s="55" customFormat="1" ht="24" customHeight="1">
      <c r="A15" s="6">
        <v>8</v>
      </c>
      <c r="B15" s="1" t="s">
        <v>53</v>
      </c>
      <c r="C15" s="2">
        <f>-134.5+3.7</f>
        <v>-130.8</v>
      </c>
      <c r="D15" s="3">
        <f>188.5+2072.3</f>
        <v>2260.8</v>
      </c>
      <c r="E15" s="3">
        <v>426.2</v>
      </c>
      <c r="F15" s="18">
        <f t="shared" si="0"/>
        <v>18.851733899504598</v>
      </c>
      <c r="G15" s="3">
        <f>147.3+1634.9</f>
        <v>1782.2</v>
      </c>
      <c r="H15" s="3">
        <f>192.1+2129.6</f>
        <v>2321.7</v>
      </c>
      <c r="I15" s="18">
        <f t="shared" si="2"/>
        <v>130.2715744585344</v>
      </c>
      <c r="J15" s="3">
        <f>109.6+983.9</f>
        <v>1093.5</v>
      </c>
      <c r="K15" s="3">
        <f>147.3+1761</f>
        <v>1908.3</v>
      </c>
      <c r="L15" s="18">
        <f t="shared" si="3"/>
        <v>174.51303155006858</v>
      </c>
      <c r="M15" s="3">
        <f t="shared" si="4"/>
        <v>5136.5</v>
      </c>
      <c r="N15" s="3">
        <f t="shared" si="5"/>
        <v>4656.2</v>
      </c>
      <c r="O15" s="18">
        <f t="shared" si="1"/>
        <v>90.64927479801422</v>
      </c>
      <c r="P15" s="3">
        <f>95.1+97.1</f>
        <v>192.2</v>
      </c>
      <c r="Q15" s="3">
        <f>204.8+141.6</f>
        <v>346.4</v>
      </c>
      <c r="R15" s="18">
        <f t="shared" si="6"/>
        <v>180.22892819979188</v>
      </c>
      <c r="S15" s="3">
        <f t="shared" si="7"/>
        <v>5328.7</v>
      </c>
      <c r="T15" s="3">
        <f t="shared" si="8"/>
        <v>5002.599999999999</v>
      </c>
      <c r="U15" s="18">
        <f t="shared" si="11"/>
        <v>93.88030851802502</v>
      </c>
      <c r="V15" s="18">
        <f t="shared" si="9"/>
        <v>326.10000000000036</v>
      </c>
      <c r="W15" s="4">
        <f t="shared" si="10"/>
        <v>195.30000000000018</v>
      </c>
    </row>
    <row r="16" spans="1:23" s="55" customFormat="1" ht="24" customHeight="1">
      <c r="A16" s="6">
        <v>9</v>
      </c>
      <c r="B16" s="1" t="s">
        <v>54</v>
      </c>
      <c r="C16" s="2">
        <f>-51.7+(-105.7)</f>
        <v>-157.4</v>
      </c>
      <c r="D16" s="3">
        <v>1693.9</v>
      </c>
      <c r="E16" s="3">
        <v>206.2</v>
      </c>
      <c r="F16" s="18">
        <f t="shared" si="0"/>
        <v>12.173091681917466</v>
      </c>
      <c r="G16" s="56">
        <v>1632.1</v>
      </c>
      <c r="H16" s="56">
        <v>1049.1</v>
      </c>
      <c r="I16" s="18">
        <f t="shared" si="2"/>
        <v>64.2791495619141</v>
      </c>
      <c r="J16" s="56">
        <v>838.2</v>
      </c>
      <c r="K16" s="56">
        <v>657.4</v>
      </c>
      <c r="L16" s="18">
        <f t="shared" si="3"/>
        <v>78.42996898115008</v>
      </c>
      <c r="M16" s="3">
        <f t="shared" si="4"/>
        <v>4164.2</v>
      </c>
      <c r="N16" s="3">
        <f t="shared" si="5"/>
        <v>1912.6999999999998</v>
      </c>
      <c r="O16" s="18">
        <f t="shared" si="1"/>
        <v>45.93199173910955</v>
      </c>
      <c r="P16" s="56">
        <v>19.4</v>
      </c>
      <c r="Q16" s="56">
        <v>420.3</v>
      </c>
      <c r="R16" s="18">
        <f t="shared" si="6"/>
        <v>2166.494845360825</v>
      </c>
      <c r="S16" s="3">
        <f t="shared" si="7"/>
        <v>4183.599999999999</v>
      </c>
      <c r="T16" s="3">
        <f t="shared" si="8"/>
        <v>2333</v>
      </c>
      <c r="U16" s="18">
        <f t="shared" si="11"/>
        <v>55.76536953819677</v>
      </c>
      <c r="V16" s="18">
        <f t="shared" si="9"/>
        <v>1850.5999999999995</v>
      </c>
      <c r="W16" s="4">
        <f t="shared" si="10"/>
        <v>1693.1999999999994</v>
      </c>
    </row>
    <row r="17" spans="1:23" ht="24" customHeight="1">
      <c r="A17" s="6">
        <v>10</v>
      </c>
      <c r="B17" s="20" t="s">
        <v>55</v>
      </c>
      <c r="C17" s="2">
        <v>17.2</v>
      </c>
      <c r="D17" s="3">
        <v>876.7</v>
      </c>
      <c r="E17" s="3">
        <v>0</v>
      </c>
      <c r="F17" s="18">
        <f t="shared" si="0"/>
        <v>0</v>
      </c>
      <c r="G17" s="3">
        <v>692.9</v>
      </c>
      <c r="H17" s="3">
        <v>1031.1</v>
      </c>
      <c r="I17" s="18">
        <f t="shared" si="2"/>
        <v>148.80935199884541</v>
      </c>
      <c r="J17" s="3">
        <v>390.5</v>
      </c>
      <c r="K17" s="3">
        <v>789.7</v>
      </c>
      <c r="L17" s="18">
        <f t="shared" si="3"/>
        <v>202.2279129321383</v>
      </c>
      <c r="M17" s="3">
        <f t="shared" si="4"/>
        <v>1960.1</v>
      </c>
      <c r="N17" s="3">
        <f t="shared" si="5"/>
        <v>1820.8</v>
      </c>
      <c r="O17" s="18">
        <f t="shared" si="1"/>
        <v>92.89321973368706</v>
      </c>
      <c r="P17" s="3">
        <v>38.6</v>
      </c>
      <c r="Q17" s="3">
        <v>234.6</v>
      </c>
      <c r="R17" s="18">
        <f t="shared" si="6"/>
        <v>607.7720207253885</v>
      </c>
      <c r="S17" s="3">
        <f t="shared" si="7"/>
        <v>1998.6999999999998</v>
      </c>
      <c r="T17" s="3">
        <f t="shared" si="8"/>
        <v>2055.4</v>
      </c>
      <c r="U17" s="18">
        <f t="shared" si="11"/>
        <v>102.83684394856658</v>
      </c>
      <c r="V17" s="18">
        <f t="shared" si="9"/>
        <v>-56.70000000000027</v>
      </c>
      <c r="W17" s="4">
        <f t="shared" si="10"/>
        <v>-39.50000000000023</v>
      </c>
    </row>
    <row r="18" spans="1:23" ht="24" customHeight="1">
      <c r="A18" s="6">
        <v>11</v>
      </c>
      <c r="B18" s="20" t="s">
        <v>56</v>
      </c>
      <c r="C18" s="2">
        <v>0</v>
      </c>
      <c r="D18" s="3">
        <v>509.7</v>
      </c>
      <c r="E18" s="3">
        <v>268.6</v>
      </c>
      <c r="F18" s="18">
        <f t="shared" si="0"/>
        <v>52.69766529330979</v>
      </c>
      <c r="G18" s="3">
        <v>554</v>
      </c>
      <c r="H18" s="3">
        <v>773.7</v>
      </c>
      <c r="I18" s="18">
        <f t="shared" si="2"/>
        <v>139.65703971119135</v>
      </c>
      <c r="J18" s="3">
        <v>282.7</v>
      </c>
      <c r="K18" s="3">
        <v>297.3</v>
      </c>
      <c r="L18" s="18">
        <f t="shared" si="3"/>
        <v>105.16448532012734</v>
      </c>
      <c r="M18" s="3">
        <f t="shared" si="4"/>
        <v>1346.4</v>
      </c>
      <c r="N18" s="3">
        <f t="shared" si="5"/>
        <v>1339.6000000000001</v>
      </c>
      <c r="O18" s="18">
        <f t="shared" si="1"/>
        <v>99.49494949494951</v>
      </c>
      <c r="P18" s="3">
        <v>0</v>
      </c>
      <c r="Q18" s="3">
        <v>0</v>
      </c>
      <c r="R18" s="40" t="e">
        <f t="shared" si="6"/>
        <v>#DIV/0!</v>
      </c>
      <c r="S18" s="3">
        <f t="shared" si="7"/>
        <v>1346.4</v>
      </c>
      <c r="T18" s="3">
        <f t="shared" si="8"/>
        <v>1339.6000000000001</v>
      </c>
      <c r="U18" s="18">
        <f t="shared" si="11"/>
        <v>99.49494949494951</v>
      </c>
      <c r="V18" s="18">
        <f t="shared" si="9"/>
        <v>6.7999999999999545</v>
      </c>
      <c r="W18" s="4">
        <f t="shared" si="10"/>
        <v>6.7999999999999545</v>
      </c>
    </row>
    <row r="19" spans="1:23" ht="24" customHeight="1">
      <c r="A19" s="6">
        <v>12</v>
      </c>
      <c r="B19" s="1" t="s">
        <v>80</v>
      </c>
      <c r="C19" s="2">
        <f>-111.4+342.8</f>
        <v>231.4</v>
      </c>
      <c r="D19" s="3">
        <f>4.4+1599.7+57.4</f>
        <v>1661.5000000000002</v>
      </c>
      <c r="E19" s="3">
        <f>32</f>
        <v>32</v>
      </c>
      <c r="F19" s="18">
        <f t="shared" si="0"/>
        <v>1.9259705085765872</v>
      </c>
      <c r="G19" s="3">
        <f>11.7+84.9+1604.2</f>
        <v>1700.8</v>
      </c>
      <c r="H19" s="3">
        <f>12+114.7+2087.9</f>
        <v>2214.6</v>
      </c>
      <c r="I19" s="18">
        <f t="shared" si="2"/>
        <v>130.2093132643462</v>
      </c>
      <c r="J19" s="3">
        <f>7.7+45.2+748.6</f>
        <v>801.5</v>
      </c>
      <c r="K19" s="3">
        <f>12+73.6+2341.7</f>
        <v>2427.2999999999997</v>
      </c>
      <c r="L19" s="18">
        <f t="shared" si="3"/>
        <v>302.84466625077977</v>
      </c>
      <c r="M19" s="3">
        <f t="shared" si="4"/>
        <v>4163.8</v>
      </c>
      <c r="N19" s="3">
        <f t="shared" si="5"/>
        <v>4673.9</v>
      </c>
      <c r="O19" s="18">
        <f t="shared" si="1"/>
        <v>112.2508285700562</v>
      </c>
      <c r="P19" s="3">
        <v>0</v>
      </c>
      <c r="Q19" s="3">
        <v>0</v>
      </c>
      <c r="R19" s="40" t="e">
        <f t="shared" si="6"/>
        <v>#DIV/0!</v>
      </c>
      <c r="S19" s="3">
        <f t="shared" si="7"/>
        <v>4163.8</v>
      </c>
      <c r="T19" s="3">
        <f t="shared" si="8"/>
        <v>4673.9</v>
      </c>
      <c r="U19" s="18">
        <f t="shared" si="11"/>
        <v>112.2508285700562</v>
      </c>
      <c r="V19" s="18">
        <f t="shared" si="9"/>
        <v>-510.09999999999945</v>
      </c>
      <c r="W19" s="4">
        <f t="shared" si="10"/>
        <v>-278.6999999999998</v>
      </c>
    </row>
    <row r="20" spans="1:23" ht="24" customHeight="1">
      <c r="A20" s="6">
        <v>13</v>
      </c>
      <c r="B20" s="20" t="s">
        <v>57</v>
      </c>
      <c r="C20" s="2">
        <v>-0.1</v>
      </c>
      <c r="D20" s="3"/>
      <c r="E20" s="3"/>
      <c r="F20" s="40"/>
      <c r="G20" s="32"/>
      <c r="H20" s="32"/>
      <c r="I20" s="18"/>
      <c r="J20" s="32"/>
      <c r="K20" s="32"/>
      <c r="L20" s="18"/>
      <c r="M20" s="3"/>
      <c r="N20" s="3"/>
      <c r="O20" s="40" t="e">
        <f t="shared" si="1"/>
        <v>#DIV/0!</v>
      </c>
      <c r="P20" s="56"/>
      <c r="Q20" s="56"/>
      <c r="R20" s="40" t="e">
        <f t="shared" si="6"/>
        <v>#DIV/0!</v>
      </c>
      <c r="S20" s="3"/>
      <c r="T20" s="3"/>
      <c r="U20" s="18"/>
      <c r="V20" s="18">
        <f t="shared" si="9"/>
        <v>0</v>
      </c>
      <c r="W20" s="4">
        <f t="shared" si="10"/>
        <v>-0.1</v>
      </c>
    </row>
    <row r="21" spans="1:23" ht="24" customHeight="1">
      <c r="A21" s="6">
        <v>14</v>
      </c>
      <c r="B21" s="20" t="s">
        <v>58</v>
      </c>
      <c r="C21" s="2">
        <v>22.4</v>
      </c>
      <c r="D21" s="3">
        <v>128.2</v>
      </c>
      <c r="E21" s="3">
        <v>102.6</v>
      </c>
      <c r="F21" s="18">
        <f t="shared" si="0"/>
        <v>80.03120124804992</v>
      </c>
      <c r="G21" s="56">
        <v>101.9</v>
      </c>
      <c r="H21" s="56">
        <v>48</v>
      </c>
      <c r="I21" s="18">
        <f t="shared" si="2"/>
        <v>47.10500490677134</v>
      </c>
      <c r="J21" s="56">
        <v>73.1</v>
      </c>
      <c r="K21" s="56">
        <v>101.9</v>
      </c>
      <c r="L21" s="18">
        <f>K21/J21*100</f>
        <v>139.3980848153215</v>
      </c>
      <c r="M21" s="3">
        <f t="shared" si="4"/>
        <v>303.2</v>
      </c>
      <c r="N21" s="3">
        <f t="shared" si="5"/>
        <v>252.5</v>
      </c>
      <c r="O21" s="18">
        <f t="shared" si="1"/>
        <v>83.27836411609499</v>
      </c>
      <c r="P21" s="56">
        <v>0</v>
      </c>
      <c r="Q21" s="56">
        <v>73.1</v>
      </c>
      <c r="R21" s="40" t="e">
        <f>Q21/P21*100</f>
        <v>#DIV/0!</v>
      </c>
      <c r="S21" s="3">
        <f t="shared" si="7"/>
        <v>303.2</v>
      </c>
      <c r="T21" s="3">
        <f t="shared" si="8"/>
        <v>325.6</v>
      </c>
      <c r="U21" s="18">
        <f t="shared" si="11"/>
        <v>107.38786279683379</v>
      </c>
      <c r="V21" s="18">
        <f t="shared" si="9"/>
        <v>-22.400000000000034</v>
      </c>
      <c r="W21" s="4">
        <f t="shared" si="10"/>
        <v>0</v>
      </c>
    </row>
    <row r="22" spans="1:23" ht="31.5" customHeight="1">
      <c r="A22" s="6">
        <v>15</v>
      </c>
      <c r="B22" s="20" t="s">
        <v>59</v>
      </c>
      <c r="C22" s="2">
        <v>-4.3</v>
      </c>
      <c r="D22" s="3">
        <v>1436.3</v>
      </c>
      <c r="E22" s="3">
        <v>1435.7</v>
      </c>
      <c r="F22" s="18">
        <f t="shared" si="0"/>
        <v>99.95822599735432</v>
      </c>
      <c r="G22" s="56">
        <v>1425.7</v>
      </c>
      <c r="H22" s="56">
        <v>1425.7</v>
      </c>
      <c r="I22" s="18">
        <f t="shared" si="2"/>
        <v>100</v>
      </c>
      <c r="J22" s="56">
        <v>980.3</v>
      </c>
      <c r="K22" s="56">
        <v>977.3</v>
      </c>
      <c r="L22" s="18">
        <f>K22/J22*100</f>
        <v>99.69397123329593</v>
      </c>
      <c r="M22" s="3">
        <f t="shared" si="4"/>
        <v>3842.3</v>
      </c>
      <c r="N22" s="3">
        <f t="shared" si="5"/>
        <v>3838.7</v>
      </c>
      <c r="O22" s="18">
        <f t="shared" si="1"/>
        <v>99.90630611873095</v>
      </c>
      <c r="P22" s="56">
        <v>160.9</v>
      </c>
      <c r="Q22" s="56">
        <v>160.2</v>
      </c>
      <c r="R22" s="18">
        <f>Q22/P22*100</f>
        <v>99.56494717215661</v>
      </c>
      <c r="S22" s="3">
        <f t="shared" si="7"/>
        <v>4003.2000000000003</v>
      </c>
      <c r="T22" s="3">
        <f t="shared" si="8"/>
        <v>3998.8999999999996</v>
      </c>
      <c r="U22" s="18">
        <f t="shared" si="11"/>
        <v>99.89258593125498</v>
      </c>
      <c r="V22" s="18">
        <f t="shared" si="9"/>
        <v>4.300000000000637</v>
      </c>
      <c r="W22" s="4">
        <f t="shared" si="10"/>
        <v>0</v>
      </c>
    </row>
    <row r="23" spans="1:23" ht="24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1"/>
        <v>#DIV/0!</v>
      </c>
      <c r="P23" s="57"/>
      <c r="Q23" s="57"/>
      <c r="R23" s="57"/>
      <c r="S23" s="3"/>
      <c r="T23" s="3"/>
      <c r="U23" s="57"/>
      <c r="V23" s="18">
        <f t="shared" si="9"/>
        <v>0</v>
      </c>
      <c r="W23" s="4">
        <f t="shared" si="10"/>
        <v>0</v>
      </c>
    </row>
    <row r="24" spans="1:23" ht="36" customHeight="1">
      <c r="A24" s="6">
        <v>17</v>
      </c>
      <c r="B24" s="20" t="s">
        <v>61</v>
      </c>
      <c r="C24" s="2">
        <v>0</v>
      </c>
      <c r="D24" s="3">
        <v>2474.6</v>
      </c>
      <c r="E24" s="3">
        <v>1994.1</v>
      </c>
      <c r="F24" s="18">
        <f t="shared" si="0"/>
        <v>80.58272043966703</v>
      </c>
      <c r="G24" s="3">
        <v>1946.3</v>
      </c>
      <c r="H24" s="3">
        <v>2991.3</v>
      </c>
      <c r="I24" s="18">
        <f>H24/G24*100</f>
        <v>153.69161999691724</v>
      </c>
      <c r="J24" s="3">
        <v>1109</v>
      </c>
      <c r="K24" s="3">
        <v>643.6</v>
      </c>
      <c r="L24" s="18">
        <f>K24/J24*100</f>
        <v>58.034265103697024</v>
      </c>
      <c r="M24" s="3">
        <f t="shared" si="4"/>
        <v>5529.9</v>
      </c>
      <c r="N24" s="3">
        <f t="shared" si="5"/>
        <v>5629</v>
      </c>
      <c r="O24" s="18">
        <f t="shared" si="1"/>
        <v>101.79207580607246</v>
      </c>
      <c r="P24" s="3">
        <v>0</v>
      </c>
      <c r="Q24" s="3">
        <v>33.8</v>
      </c>
      <c r="R24" s="40" t="e">
        <f>Q24/P24*100</f>
        <v>#DIV/0!</v>
      </c>
      <c r="S24" s="3">
        <f t="shared" si="7"/>
        <v>5529.9</v>
      </c>
      <c r="T24" s="3">
        <f t="shared" si="8"/>
        <v>5662.8</v>
      </c>
      <c r="U24" s="18">
        <f>T24/S24*100</f>
        <v>102.40329843215972</v>
      </c>
      <c r="V24" s="18">
        <f t="shared" si="9"/>
        <v>-132.90000000000055</v>
      </c>
      <c r="W24" s="4">
        <f t="shared" si="10"/>
        <v>-132.90000000000055</v>
      </c>
    </row>
    <row r="25" spans="1:23" ht="24" customHeight="1">
      <c r="A25" s="6">
        <v>18</v>
      </c>
      <c r="B25" s="1" t="s">
        <v>62</v>
      </c>
      <c r="C25" s="2">
        <v>-266.9</v>
      </c>
      <c r="D25" s="3">
        <v>737.7</v>
      </c>
      <c r="E25" s="3">
        <v>236</v>
      </c>
      <c r="F25" s="18">
        <f t="shared" si="0"/>
        <v>31.99132438660702</v>
      </c>
      <c r="G25" s="56">
        <v>613.8</v>
      </c>
      <c r="H25" s="56">
        <v>211.5</v>
      </c>
      <c r="I25" s="18">
        <f>H25/G25*100</f>
        <v>34.457478005865106</v>
      </c>
      <c r="J25" s="56">
        <v>316.7</v>
      </c>
      <c r="K25" s="56">
        <v>530.5</v>
      </c>
      <c r="L25" s="18">
        <f>K25/J25*100</f>
        <v>167.50868329649512</v>
      </c>
      <c r="M25" s="3">
        <f t="shared" si="4"/>
        <v>1668.2</v>
      </c>
      <c r="N25" s="3">
        <f t="shared" si="5"/>
        <v>978</v>
      </c>
      <c r="O25" s="18">
        <f t="shared" si="1"/>
        <v>58.62606402110059</v>
      </c>
      <c r="P25" s="56">
        <v>24.8</v>
      </c>
      <c r="Q25" s="56">
        <v>149.7</v>
      </c>
      <c r="R25" s="18">
        <f>Q25/P25*100</f>
        <v>603.6290322580644</v>
      </c>
      <c r="S25" s="3">
        <f t="shared" si="7"/>
        <v>1693</v>
      </c>
      <c r="T25" s="3">
        <f t="shared" si="8"/>
        <v>1127.7</v>
      </c>
      <c r="U25" s="18">
        <f>T25/S25*100</f>
        <v>66.60956881275843</v>
      </c>
      <c r="V25" s="18">
        <f t="shared" si="9"/>
        <v>565.3</v>
      </c>
      <c r="W25" s="4">
        <f t="shared" si="10"/>
        <v>298.39999999999986</v>
      </c>
    </row>
    <row r="26" spans="1:23" s="55" customFormat="1" ht="24" customHeight="1">
      <c r="A26" s="6">
        <v>19</v>
      </c>
      <c r="B26" s="20" t="s">
        <v>63</v>
      </c>
      <c r="C26" s="2">
        <v>-265.7</v>
      </c>
      <c r="D26" s="3">
        <v>1052.7</v>
      </c>
      <c r="E26" s="3">
        <v>0.1</v>
      </c>
      <c r="F26" s="18">
        <f t="shared" si="0"/>
        <v>0.009499382540134892</v>
      </c>
      <c r="G26" s="3">
        <v>798.8</v>
      </c>
      <c r="H26" s="3">
        <v>1639.1</v>
      </c>
      <c r="I26" s="18">
        <f>H26/G26*100</f>
        <v>205.19529293940911</v>
      </c>
      <c r="J26" s="3">
        <v>406.5</v>
      </c>
      <c r="K26" s="3">
        <v>422.5</v>
      </c>
      <c r="L26" s="18">
        <f>K26/J26*100</f>
        <v>103.9360393603936</v>
      </c>
      <c r="M26" s="3">
        <f t="shared" si="4"/>
        <v>2258</v>
      </c>
      <c r="N26" s="3">
        <f t="shared" si="5"/>
        <v>2061.7</v>
      </c>
      <c r="O26" s="18">
        <f t="shared" si="1"/>
        <v>91.30646589902568</v>
      </c>
      <c r="P26" s="3">
        <v>27.7</v>
      </c>
      <c r="Q26" s="3">
        <v>23.6</v>
      </c>
      <c r="R26" s="18">
        <f>Q26/P26*100</f>
        <v>85.19855595667872</v>
      </c>
      <c r="S26" s="3">
        <f t="shared" si="7"/>
        <v>2285.7</v>
      </c>
      <c r="T26" s="3">
        <f t="shared" si="8"/>
        <v>2085.2999999999997</v>
      </c>
      <c r="U26" s="18">
        <f>T26/S26*100</f>
        <v>91.23244520278251</v>
      </c>
      <c r="V26" s="18">
        <f t="shared" si="9"/>
        <v>200.4000000000001</v>
      </c>
      <c r="W26" s="4">
        <f t="shared" si="10"/>
        <v>-65.29999999999995</v>
      </c>
    </row>
    <row r="27" spans="1:23" ht="39" customHeight="1">
      <c r="A27" s="6">
        <v>20</v>
      </c>
      <c r="B27" s="20" t="s">
        <v>93</v>
      </c>
      <c r="C27" s="2">
        <v>0</v>
      </c>
      <c r="D27" s="3">
        <v>1867.4</v>
      </c>
      <c r="E27" s="3">
        <v>721.9</v>
      </c>
      <c r="F27" s="18">
        <f t="shared" si="0"/>
        <v>38.658027203598586</v>
      </c>
      <c r="G27" s="3">
        <v>1373.9</v>
      </c>
      <c r="H27" s="3">
        <v>1245.5</v>
      </c>
      <c r="I27" s="18">
        <f>H27/G27*100</f>
        <v>90.65434165514229</v>
      </c>
      <c r="J27" s="3">
        <v>826.4</v>
      </c>
      <c r="K27" s="3">
        <v>1058.3</v>
      </c>
      <c r="L27" s="18">
        <f>K27/J27*100</f>
        <v>128.06147144240077</v>
      </c>
      <c r="M27" s="3">
        <f t="shared" si="4"/>
        <v>4067.7000000000003</v>
      </c>
      <c r="N27" s="3">
        <f t="shared" si="5"/>
        <v>3025.7</v>
      </c>
      <c r="O27" s="18">
        <f t="shared" si="1"/>
        <v>74.38355827617572</v>
      </c>
      <c r="P27" s="3">
        <v>47</v>
      </c>
      <c r="Q27" s="3">
        <v>530.9</v>
      </c>
      <c r="R27" s="18">
        <f>Q27/P27*100</f>
        <v>1129.5744680851064</v>
      </c>
      <c r="S27" s="3">
        <f t="shared" si="7"/>
        <v>4114.700000000001</v>
      </c>
      <c r="T27" s="3">
        <f t="shared" si="8"/>
        <v>3556.6</v>
      </c>
      <c r="U27" s="18">
        <f>T27/S27*100</f>
        <v>86.43643522006464</v>
      </c>
      <c r="V27" s="18">
        <f t="shared" si="9"/>
        <v>558.1000000000008</v>
      </c>
      <c r="W27" s="4">
        <f t="shared" si="10"/>
        <v>558.1000000000008</v>
      </c>
    </row>
    <row r="28" spans="1:23" ht="39" customHeight="1">
      <c r="A28" s="6">
        <v>21</v>
      </c>
      <c r="B28" s="1" t="s">
        <v>64</v>
      </c>
      <c r="C28" s="2">
        <f>39.2+11.9</f>
        <v>51.1</v>
      </c>
      <c r="D28" s="3">
        <f>75.4+3297.3</f>
        <v>3372.7000000000003</v>
      </c>
      <c r="E28" s="3">
        <v>2429.3</v>
      </c>
      <c r="F28" s="18">
        <f t="shared" si="0"/>
        <v>72.0283452426839</v>
      </c>
      <c r="G28" s="56">
        <f>112+1760</f>
        <v>1872</v>
      </c>
      <c r="H28" s="56">
        <f>199.9+2413.4</f>
        <v>2613.3</v>
      </c>
      <c r="I28" s="18">
        <f>H28/G28*100</f>
        <v>139.59935897435898</v>
      </c>
      <c r="J28" s="56">
        <f>76.2+1014.6</f>
        <v>1090.8</v>
      </c>
      <c r="K28" s="56">
        <f>1260.2</f>
        <v>1260.2</v>
      </c>
      <c r="L28" s="18">
        <f>K28/J28*100</f>
        <v>115.52988632196555</v>
      </c>
      <c r="M28" s="3">
        <f t="shared" si="4"/>
        <v>6335.500000000001</v>
      </c>
      <c r="N28" s="3">
        <f t="shared" si="5"/>
        <v>6302.8</v>
      </c>
      <c r="O28" s="18">
        <f t="shared" si="1"/>
        <v>99.48386078446846</v>
      </c>
      <c r="P28" s="56">
        <f>3.1+109.3</f>
        <v>112.39999999999999</v>
      </c>
      <c r="Q28" s="56">
        <f>79.4+2.9</f>
        <v>82.30000000000001</v>
      </c>
      <c r="R28" s="18">
        <f>Q28/P28*100</f>
        <v>73.22064056939503</v>
      </c>
      <c r="S28" s="3">
        <f t="shared" si="7"/>
        <v>6447.900000000001</v>
      </c>
      <c r="T28" s="3">
        <f t="shared" si="8"/>
        <v>6385.1</v>
      </c>
      <c r="U28" s="18">
        <f>T28/S28*100</f>
        <v>99.02603948572403</v>
      </c>
      <c r="V28" s="18">
        <f t="shared" si="9"/>
        <v>62.80000000000018</v>
      </c>
      <c r="W28" s="4">
        <f t="shared" si="10"/>
        <v>113.90000000000055</v>
      </c>
    </row>
    <row r="29" spans="1:23" ht="24" customHeight="1">
      <c r="A29" s="6">
        <v>22</v>
      </c>
      <c r="B29" s="1" t="s">
        <v>65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"/>
      <c r="N29" s="3"/>
      <c r="O29" s="40" t="e">
        <f t="shared" si="1"/>
        <v>#DIV/0!</v>
      </c>
      <c r="P29" s="47"/>
      <c r="Q29" s="47"/>
      <c r="R29" s="47"/>
      <c r="S29" s="3"/>
      <c r="T29" s="3"/>
      <c r="U29" s="47"/>
      <c r="V29" s="18"/>
      <c r="W29" s="4"/>
    </row>
    <row r="30" spans="1:23" ht="24" customHeight="1">
      <c r="A30" s="6">
        <v>23</v>
      </c>
      <c r="B30" s="20" t="s">
        <v>66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40" t="e">
        <f t="shared" si="1"/>
        <v>#DIV/0!</v>
      </c>
      <c r="P30" s="47"/>
      <c r="Q30" s="47"/>
      <c r="R30" s="47"/>
      <c r="S30" s="3"/>
      <c r="T30" s="3"/>
      <c r="U30" s="47"/>
      <c r="V30" s="18"/>
      <c r="W30" s="4"/>
    </row>
    <row r="31" spans="1:23" ht="24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40" t="e">
        <f t="shared" si="1"/>
        <v>#DIV/0!</v>
      </c>
      <c r="P31" s="58"/>
      <c r="Q31" s="58"/>
      <c r="R31" s="58"/>
      <c r="S31" s="3"/>
      <c r="T31" s="3"/>
      <c r="U31" s="58"/>
      <c r="V31" s="18"/>
      <c r="W31" s="4"/>
    </row>
    <row r="32" spans="1:23" ht="24" customHeight="1">
      <c r="A32" s="6">
        <v>25</v>
      </c>
      <c r="B32" s="20" t="s">
        <v>87</v>
      </c>
      <c r="C32" s="2"/>
      <c r="D32" s="81"/>
      <c r="E32" s="81"/>
      <c r="F32" s="48"/>
      <c r="G32" s="32"/>
      <c r="H32" s="32"/>
      <c r="I32" s="48"/>
      <c r="J32" s="32"/>
      <c r="K32" s="32"/>
      <c r="L32" s="48"/>
      <c r="M32" s="3"/>
      <c r="N32" s="3"/>
      <c r="O32" s="40" t="e">
        <f t="shared" si="1"/>
        <v>#DIV/0!</v>
      </c>
      <c r="P32" s="32"/>
      <c r="Q32" s="32"/>
      <c r="R32" s="48"/>
      <c r="S32" s="3"/>
      <c r="T32" s="3"/>
      <c r="U32" s="48"/>
      <c r="V32" s="18"/>
      <c r="W32" s="4"/>
    </row>
    <row r="33" spans="1:23" ht="24" customHeight="1">
      <c r="A33" s="6"/>
      <c r="B33" s="20" t="s">
        <v>102</v>
      </c>
      <c r="C33" s="2">
        <f>-87.1+(-262.8)</f>
        <v>-349.9</v>
      </c>
      <c r="D33" s="3">
        <f>1169.7+62.4+1960.4+7161.9</f>
        <v>10354.4</v>
      </c>
      <c r="E33" s="3">
        <f>-11.4+162.4+5131.3</f>
        <v>5282.3</v>
      </c>
      <c r="F33" s="18">
        <f aca="true" t="shared" si="12" ref="F33:F47">E33/D33*100</f>
        <v>51.01502742795334</v>
      </c>
      <c r="G33" s="3">
        <f>764.1+47.7+1677.7+5318.4</f>
        <v>7807.9</v>
      </c>
      <c r="H33" s="3">
        <f>2507.9+17.9+2845.6+5791.7</f>
        <v>11163.099999999999</v>
      </c>
      <c r="I33" s="18">
        <f aca="true" t="shared" si="13" ref="I33:I45">H33/G33*100</f>
        <v>142.97186183224682</v>
      </c>
      <c r="J33" s="3">
        <f>1410.5+3610.4+357.7+20</f>
        <v>5398.599999999999</v>
      </c>
      <c r="K33" s="3">
        <f>1407.5+4570.5+5+88.3</f>
        <v>6071.3</v>
      </c>
      <c r="L33" s="18">
        <f aca="true" t="shared" si="14" ref="L33:L43">K33/J33*100</f>
        <v>112.46063794317047</v>
      </c>
      <c r="M33" s="3">
        <f t="shared" si="4"/>
        <v>23560.899999999998</v>
      </c>
      <c r="N33" s="3">
        <f t="shared" si="5"/>
        <v>22516.699999999997</v>
      </c>
      <c r="O33" s="18">
        <f t="shared" si="1"/>
        <v>95.5680810155809</v>
      </c>
      <c r="P33" s="3">
        <f>98.7+346.6</f>
        <v>445.3</v>
      </c>
      <c r="Q33" s="3">
        <f>251.7+492.1</f>
        <v>743.8</v>
      </c>
      <c r="R33" s="18">
        <f aca="true" t="shared" si="15" ref="R33:R42">Q33/P33*100</f>
        <v>167.03346058836738</v>
      </c>
      <c r="S33" s="3">
        <f t="shared" si="7"/>
        <v>24006.199999999997</v>
      </c>
      <c r="T33" s="3">
        <f t="shared" si="8"/>
        <v>23260.499999999996</v>
      </c>
      <c r="U33" s="18">
        <f>T33/S33*100</f>
        <v>96.89371912256</v>
      </c>
      <c r="V33" s="18">
        <f t="shared" si="9"/>
        <v>745.7000000000007</v>
      </c>
      <c r="W33" s="4">
        <f t="shared" si="10"/>
        <v>395.7999999999993</v>
      </c>
    </row>
    <row r="34" spans="1:23" ht="24.75" customHeight="1">
      <c r="A34" s="28"/>
      <c r="B34" s="20" t="s">
        <v>69</v>
      </c>
      <c r="C34" s="2">
        <v>-63.9</v>
      </c>
      <c r="D34" s="3">
        <v>156.7</v>
      </c>
      <c r="E34" s="3">
        <v>0</v>
      </c>
      <c r="F34" s="18">
        <f t="shared" si="12"/>
        <v>0</v>
      </c>
      <c r="G34" s="3">
        <v>155.6</v>
      </c>
      <c r="H34" s="3">
        <v>100.7</v>
      </c>
      <c r="I34" s="18">
        <f t="shared" si="13"/>
        <v>64.71722365038562</v>
      </c>
      <c r="J34" s="3">
        <v>86.6</v>
      </c>
      <c r="K34" s="3">
        <v>219.1</v>
      </c>
      <c r="L34" s="18">
        <f t="shared" si="14"/>
        <v>253.00230946882215</v>
      </c>
      <c r="M34" s="3">
        <f t="shared" si="4"/>
        <v>398.9</v>
      </c>
      <c r="N34" s="3">
        <f t="shared" si="5"/>
        <v>319.8</v>
      </c>
      <c r="O34" s="18">
        <f t="shared" si="1"/>
        <v>80.17046878917023</v>
      </c>
      <c r="P34" s="3">
        <v>12.1</v>
      </c>
      <c r="Q34" s="3">
        <v>39</v>
      </c>
      <c r="R34" s="18">
        <f t="shared" si="15"/>
        <v>322.31404958677683</v>
      </c>
      <c r="S34" s="3">
        <f t="shared" si="7"/>
        <v>411</v>
      </c>
      <c r="T34" s="3">
        <f t="shared" si="8"/>
        <v>358.8</v>
      </c>
      <c r="U34" s="18">
        <f aca="true" t="shared" si="16" ref="U34:U42">T34/S34*100</f>
        <v>87.29927007299271</v>
      </c>
      <c r="V34" s="18">
        <f t="shared" si="9"/>
        <v>52.19999999999999</v>
      </c>
      <c r="W34" s="4">
        <f t="shared" si="10"/>
        <v>-11.699999999999989</v>
      </c>
    </row>
    <row r="35" spans="1:23" ht="27" customHeight="1">
      <c r="A35" s="6">
        <v>26</v>
      </c>
      <c r="B35" s="20" t="s">
        <v>94</v>
      </c>
      <c r="C35" s="2">
        <v>-143.3</v>
      </c>
      <c r="D35" s="3">
        <f>143.4+730</f>
        <v>873.4</v>
      </c>
      <c r="E35" s="3">
        <v>17.4</v>
      </c>
      <c r="F35" s="18">
        <f t="shared" si="12"/>
        <v>1.992214334783604</v>
      </c>
      <c r="G35" s="3">
        <f>195.2+544.8</f>
        <v>740</v>
      </c>
      <c r="H35" s="3">
        <f>163+686.3</f>
        <v>849.3</v>
      </c>
      <c r="I35" s="18">
        <f t="shared" si="13"/>
        <v>114.77027027027027</v>
      </c>
      <c r="J35" s="3">
        <v>477.8</v>
      </c>
      <c r="K35" s="3">
        <v>303.8</v>
      </c>
      <c r="L35" s="18">
        <f t="shared" si="14"/>
        <v>63.58308915864378</v>
      </c>
      <c r="M35" s="3">
        <f t="shared" si="4"/>
        <v>2091.2000000000003</v>
      </c>
      <c r="N35" s="3">
        <f t="shared" si="5"/>
        <v>1170.5</v>
      </c>
      <c r="O35" s="18">
        <f t="shared" si="1"/>
        <v>55.97264728385615</v>
      </c>
      <c r="P35" s="3">
        <v>33.2</v>
      </c>
      <c r="Q35" s="3">
        <v>381.2</v>
      </c>
      <c r="R35" s="18">
        <f t="shared" si="15"/>
        <v>1148.1927710843372</v>
      </c>
      <c r="S35" s="3">
        <f t="shared" si="7"/>
        <v>2124.4</v>
      </c>
      <c r="T35" s="3">
        <f t="shared" si="8"/>
        <v>1551.7</v>
      </c>
      <c r="U35" s="18">
        <f t="shared" si="16"/>
        <v>73.0418000376577</v>
      </c>
      <c r="V35" s="18">
        <f t="shared" si="9"/>
        <v>572.7</v>
      </c>
      <c r="W35" s="4">
        <f t="shared" si="10"/>
        <v>429.4000000000001</v>
      </c>
    </row>
    <row r="36" spans="1:23" ht="24" customHeight="1">
      <c r="A36" s="6">
        <v>27</v>
      </c>
      <c r="B36" s="1" t="s">
        <v>70</v>
      </c>
      <c r="C36" s="2">
        <v>-229.6</v>
      </c>
      <c r="D36" s="3">
        <v>1257.1</v>
      </c>
      <c r="E36" s="3">
        <v>383.2</v>
      </c>
      <c r="F36" s="18">
        <f t="shared" si="12"/>
        <v>30.482857370137616</v>
      </c>
      <c r="G36" s="3">
        <v>1042.7</v>
      </c>
      <c r="H36" s="3">
        <v>581.9</v>
      </c>
      <c r="I36" s="18">
        <f t="shared" si="13"/>
        <v>55.80703941689843</v>
      </c>
      <c r="J36" s="3">
        <v>506.8</v>
      </c>
      <c r="K36" s="3">
        <v>492.3</v>
      </c>
      <c r="L36" s="18">
        <f t="shared" si="14"/>
        <v>97.13891081294396</v>
      </c>
      <c r="M36" s="3">
        <f t="shared" si="4"/>
        <v>2806.6000000000004</v>
      </c>
      <c r="N36" s="3">
        <f t="shared" si="5"/>
        <v>1457.3999999999999</v>
      </c>
      <c r="O36" s="18">
        <f t="shared" si="1"/>
        <v>51.92759923038551</v>
      </c>
      <c r="P36" s="3">
        <v>51.2</v>
      </c>
      <c r="Q36" s="3">
        <v>498</v>
      </c>
      <c r="R36" s="18">
        <f t="shared" si="15"/>
        <v>972.65625</v>
      </c>
      <c r="S36" s="3">
        <f t="shared" si="7"/>
        <v>2857.8</v>
      </c>
      <c r="T36" s="3">
        <f t="shared" si="8"/>
        <v>1955.3999999999999</v>
      </c>
      <c r="U36" s="18">
        <f t="shared" si="16"/>
        <v>68.42326264959058</v>
      </c>
      <c r="V36" s="18">
        <f t="shared" si="9"/>
        <v>902.4000000000003</v>
      </c>
      <c r="W36" s="4">
        <f t="shared" si="10"/>
        <v>672.8000000000004</v>
      </c>
    </row>
    <row r="37" spans="1:23" ht="24" customHeight="1">
      <c r="A37" s="6">
        <v>28</v>
      </c>
      <c r="B37" s="20" t="s">
        <v>71</v>
      </c>
      <c r="C37" s="2">
        <v>-484.4</v>
      </c>
      <c r="D37" s="3">
        <v>3699.6</v>
      </c>
      <c r="E37" s="3">
        <v>0</v>
      </c>
      <c r="F37" s="18">
        <f t="shared" si="12"/>
        <v>0</v>
      </c>
      <c r="G37" s="3">
        <v>3050.5</v>
      </c>
      <c r="H37" s="3">
        <v>3236.4</v>
      </c>
      <c r="I37" s="18">
        <f t="shared" si="13"/>
        <v>106.0940829372234</v>
      </c>
      <c r="J37" s="3">
        <v>1762.4</v>
      </c>
      <c r="K37" s="3">
        <v>2601.1</v>
      </c>
      <c r="L37" s="18">
        <f t="shared" si="14"/>
        <v>147.58851566046297</v>
      </c>
      <c r="M37" s="3">
        <f t="shared" si="4"/>
        <v>8512.5</v>
      </c>
      <c r="N37" s="3">
        <f t="shared" si="5"/>
        <v>5837.5</v>
      </c>
      <c r="O37" s="18">
        <f t="shared" si="1"/>
        <v>68.57562408223201</v>
      </c>
      <c r="P37" s="3">
        <v>137.6</v>
      </c>
      <c r="Q37" s="3">
        <v>846.8</v>
      </c>
      <c r="R37" s="18">
        <f t="shared" si="15"/>
        <v>615.406976744186</v>
      </c>
      <c r="S37" s="3">
        <f t="shared" si="7"/>
        <v>8650.1</v>
      </c>
      <c r="T37" s="3">
        <f t="shared" si="8"/>
        <v>6684.3</v>
      </c>
      <c r="U37" s="18">
        <f t="shared" si="16"/>
        <v>77.27425116472642</v>
      </c>
      <c r="V37" s="18">
        <f t="shared" si="9"/>
        <v>1965.8000000000002</v>
      </c>
      <c r="W37" s="4">
        <f t="shared" si="10"/>
        <v>1481.4000000000005</v>
      </c>
    </row>
    <row r="38" spans="1:23" ht="24" customHeight="1">
      <c r="A38" s="6">
        <v>29</v>
      </c>
      <c r="B38" s="20" t="s">
        <v>72</v>
      </c>
      <c r="C38" s="2">
        <v>-1665</v>
      </c>
      <c r="D38" s="3">
        <v>2068.7</v>
      </c>
      <c r="E38" s="3">
        <v>4.6</v>
      </c>
      <c r="F38" s="18">
        <f t="shared" si="12"/>
        <v>0.2223618697732876</v>
      </c>
      <c r="G38" s="3">
        <v>3253.4</v>
      </c>
      <c r="H38" s="3">
        <v>4183</v>
      </c>
      <c r="I38" s="18">
        <f t="shared" si="13"/>
        <v>128.5731849757177</v>
      </c>
      <c r="J38" s="3">
        <v>2081.1</v>
      </c>
      <c r="K38" s="3">
        <v>852.9</v>
      </c>
      <c r="L38" s="18">
        <f t="shared" si="14"/>
        <v>40.98313391956177</v>
      </c>
      <c r="M38" s="3">
        <f t="shared" si="4"/>
        <v>7403.200000000001</v>
      </c>
      <c r="N38" s="3">
        <f t="shared" si="5"/>
        <v>5040.5</v>
      </c>
      <c r="O38" s="18">
        <f t="shared" si="1"/>
        <v>68.08542251999134</v>
      </c>
      <c r="P38" s="3">
        <v>333.6</v>
      </c>
      <c r="Q38" s="3">
        <v>1031.8</v>
      </c>
      <c r="R38" s="18">
        <f t="shared" si="15"/>
        <v>309.29256594724217</v>
      </c>
      <c r="S38" s="3">
        <f t="shared" si="7"/>
        <v>7736.800000000001</v>
      </c>
      <c r="T38" s="3">
        <f t="shared" si="8"/>
        <v>6072.3</v>
      </c>
      <c r="U38" s="18">
        <f t="shared" si="16"/>
        <v>78.48593733843448</v>
      </c>
      <c r="V38" s="18">
        <f t="shared" si="9"/>
        <v>1664.500000000001</v>
      </c>
      <c r="W38" s="4">
        <f t="shared" si="10"/>
        <v>-0.4999999999990905</v>
      </c>
    </row>
    <row r="39" spans="1:23" s="55" customFormat="1" ht="26.25" customHeight="1">
      <c r="A39" s="6">
        <v>30</v>
      </c>
      <c r="B39" s="20" t="s">
        <v>95</v>
      </c>
      <c r="C39" s="2">
        <f>-510.9+24.6</f>
        <v>-486.29999999999995</v>
      </c>
      <c r="D39" s="3">
        <f>6001.2+97.2</f>
        <v>6098.4</v>
      </c>
      <c r="E39" s="3">
        <v>0</v>
      </c>
      <c r="F39" s="18">
        <f t="shared" si="12"/>
        <v>0</v>
      </c>
      <c r="G39" s="3">
        <f>5149.7+51.1</f>
        <v>5200.8</v>
      </c>
      <c r="H39" s="3">
        <f>4356.8+121.8</f>
        <v>4478.6</v>
      </c>
      <c r="I39" s="18">
        <f t="shared" si="13"/>
        <v>86.11367481925858</v>
      </c>
      <c r="J39" s="3">
        <f>3000.9+34.9</f>
        <v>3035.8</v>
      </c>
      <c r="K39" s="3">
        <f>1750.6+51.1</f>
        <v>1801.6999999999998</v>
      </c>
      <c r="L39" s="18">
        <f t="shared" si="14"/>
        <v>59.34844192634559</v>
      </c>
      <c r="M39" s="3">
        <f t="shared" si="4"/>
        <v>14335</v>
      </c>
      <c r="N39" s="3">
        <f t="shared" si="5"/>
        <v>6280.3</v>
      </c>
      <c r="O39" s="18">
        <f t="shared" si="1"/>
        <v>43.81095221485874</v>
      </c>
      <c r="P39" s="3">
        <v>0</v>
      </c>
      <c r="Q39" s="3">
        <f>1633.9+34.9</f>
        <v>1668.8000000000002</v>
      </c>
      <c r="R39" s="40" t="e">
        <f t="shared" si="15"/>
        <v>#DIV/0!</v>
      </c>
      <c r="S39" s="3">
        <f t="shared" si="7"/>
        <v>14335</v>
      </c>
      <c r="T39" s="3">
        <f t="shared" si="8"/>
        <v>7949.1</v>
      </c>
      <c r="U39" s="18">
        <f t="shared" si="16"/>
        <v>55.45238925706314</v>
      </c>
      <c r="V39" s="18">
        <f t="shared" si="9"/>
        <v>6385.9</v>
      </c>
      <c r="W39" s="4">
        <f t="shared" si="10"/>
        <v>5899.6</v>
      </c>
    </row>
    <row r="40" spans="1:23" ht="24.75" customHeight="1">
      <c r="A40" s="6">
        <v>31</v>
      </c>
      <c r="B40" s="20" t="s">
        <v>73</v>
      </c>
      <c r="C40" s="2">
        <v>-82.8</v>
      </c>
      <c r="D40" s="3">
        <v>467.9</v>
      </c>
      <c r="E40" s="3">
        <v>72.3</v>
      </c>
      <c r="F40" s="18">
        <f t="shared" si="12"/>
        <v>15.452019662321009</v>
      </c>
      <c r="G40" s="3">
        <v>351.8</v>
      </c>
      <c r="H40" s="3">
        <v>123.2</v>
      </c>
      <c r="I40" s="18">
        <f t="shared" si="13"/>
        <v>35.01989766913019</v>
      </c>
      <c r="J40" s="3">
        <v>198.9</v>
      </c>
      <c r="K40" s="3">
        <v>613.7</v>
      </c>
      <c r="L40" s="18">
        <f t="shared" si="14"/>
        <v>308.54700854700855</v>
      </c>
      <c r="M40" s="3">
        <f t="shared" si="4"/>
        <v>1018.6</v>
      </c>
      <c r="N40" s="3">
        <f t="shared" si="5"/>
        <v>809.2</v>
      </c>
      <c r="O40" s="18">
        <f t="shared" si="1"/>
        <v>79.44237188297663</v>
      </c>
      <c r="P40" s="3">
        <v>24.2</v>
      </c>
      <c r="Q40" s="3">
        <v>151.3</v>
      </c>
      <c r="R40" s="18">
        <f t="shared" si="15"/>
        <v>625.206611570248</v>
      </c>
      <c r="S40" s="3">
        <f t="shared" si="7"/>
        <v>1042.8</v>
      </c>
      <c r="T40" s="3">
        <f t="shared" si="8"/>
        <v>960.5</v>
      </c>
      <c r="U40" s="18">
        <f t="shared" si="16"/>
        <v>92.1077867280399</v>
      </c>
      <c r="V40" s="18">
        <f t="shared" si="9"/>
        <v>82.29999999999995</v>
      </c>
      <c r="W40" s="4">
        <f t="shared" si="10"/>
        <v>-0.5</v>
      </c>
    </row>
    <row r="41" spans="1:23" s="55" customFormat="1" ht="36.75" customHeight="1">
      <c r="A41" s="6">
        <v>32</v>
      </c>
      <c r="B41" s="1" t="s">
        <v>74</v>
      </c>
      <c r="C41" s="2">
        <f>365+(-93.3)</f>
        <v>271.7</v>
      </c>
      <c r="D41" s="3">
        <f>2230.5+113.8</f>
        <v>2344.3</v>
      </c>
      <c r="E41" s="3">
        <f>71.4-13.7</f>
        <v>57.7</v>
      </c>
      <c r="F41" s="18">
        <f t="shared" si="12"/>
        <v>2.4612890841615833</v>
      </c>
      <c r="G41" s="3">
        <f>1740.5+84.4</f>
        <v>1824.9</v>
      </c>
      <c r="H41" s="3">
        <f>2541.7+61.8</f>
        <v>2603.5</v>
      </c>
      <c r="I41" s="18">
        <f t="shared" si="13"/>
        <v>142.665351526111</v>
      </c>
      <c r="J41" s="3">
        <f>1083.8+50.2</f>
        <v>1134</v>
      </c>
      <c r="K41" s="3">
        <f>1704.2+83.6</f>
        <v>1787.8</v>
      </c>
      <c r="L41" s="18">
        <f t="shared" si="14"/>
        <v>157.6543209876543</v>
      </c>
      <c r="M41" s="3">
        <f t="shared" si="4"/>
        <v>5303.200000000001</v>
      </c>
      <c r="N41" s="3">
        <f t="shared" si="5"/>
        <v>4449</v>
      </c>
      <c r="O41" s="18">
        <f t="shared" si="1"/>
        <v>83.89274400362045</v>
      </c>
      <c r="P41" s="3">
        <f>0</f>
        <v>0</v>
      </c>
      <c r="Q41" s="3">
        <f>1051.8+52</f>
        <v>1103.8</v>
      </c>
      <c r="R41" s="40" t="e">
        <f t="shared" si="15"/>
        <v>#DIV/0!</v>
      </c>
      <c r="S41" s="3">
        <f t="shared" si="7"/>
        <v>5303.200000000001</v>
      </c>
      <c r="T41" s="3">
        <f t="shared" si="8"/>
        <v>5552.8</v>
      </c>
      <c r="U41" s="18">
        <f t="shared" si="16"/>
        <v>104.70659224619097</v>
      </c>
      <c r="V41" s="18">
        <f t="shared" si="9"/>
        <v>-249.59999999999945</v>
      </c>
      <c r="W41" s="4">
        <f t="shared" si="10"/>
        <v>22.100000000000364</v>
      </c>
    </row>
    <row r="42" spans="1:23" s="55" customFormat="1" ht="23.25" customHeight="1">
      <c r="A42" s="6">
        <v>33</v>
      </c>
      <c r="B42" s="20" t="s">
        <v>75</v>
      </c>
      <c r="C42" s="2">
        <f>161.4+175</f>
        <v>336.4</v>
      </c>
      <c r="D42" s="3">
        <f>1364.5+925.8</f>
        <v>2290.3</v>
      </c>
      <c r="E42" s="3">
        <f>2068.3+391.3</f>
        <v>2459.6000000000004</v>
      </c>
      <c r="F42" s="18">
        <f t="shared" si="12"/>
        <v>107.39204471029997</v>
      </c>
      <c r="G42" s="3">
        <f>1238.6+804.5</f>
        <v>2043.1</v>
      </c>
      <c r="H42" s="3">
        <f>206.4+516.7</f>
        <v>723.1</v>
      </c>
      <c r="I42" s="18">
        <f t="shared" si="13"/>
        <v>35.39229602075278</v>
      </c>
      <c r="J42" s="3">
        <f>796.6+448.7</f>
        <v>1245.3</v>
      </c>
      <c r="K42" s="3">
        <f>491.3+518.3</f>
        <v>1009.5999999999999</v>
      </c>
      <c r="L42" s="18">
        <f t="shared" si="14"/>
        <v>81.07283385529591</v>
      </c>
      <c r="M42" s="3">
        <f t="shared" si="4"/>
        <v>5578.7</v>
      </c>
      <c r="N42" s="3">
        <f t="shared" si="5"/>
        <v>4192.3</v>
      </c>
      <c r="O42" s="18">
        <f t="shared" si="1"/>
        <v>75.14833204868519</v>
      </c>
      <c r="P42" s="3">
        <f>26.1+44.7</f>
        <v>70.80000000000001</v>
      </c>
      <c r="Q42" s="3">
        <f>795.8+200.4</f>
        <v>996.1999999999999</v>
      </c>
      <c r="R42" s="18">
        <f t="shared" si="15"/>
        <v>1407.062146892655</v>
      </c>
      <c r="S42" s="3">
        <f t="shared" si="7"/>
        <v>5649.5</v>
      </c>
      <c r="T42" s="3">
        <f t="shared" si="8"/>
        <v>5188.5</v>
      </c>
      <c r="U42" s="18">
        <f t="shared" si="16"/>
        <v>91.83998583945481</v>
      </c>
      <c r="V42" s="18">
        <f t="shared" si="9"/>
        <v>461</v>
      </c>
      <c r="W42" s="4">
        <f t="shared" si="10"/>
        <v>797.3999999999996</v>
      </c>
    </row>
    <row r="43" spans="1:23" s="9" customFormat="1" ht="24.75" customHeight="1">
      <c r="A43" s="50">
        <v>34</v>
      </c>
      <c r="B43" s="22" t="s">
        <v>76</v>
      </c>
      <c r="C43" s="60">
        <f>C44+C45</f>
        <v>201076.9</v>
      </c>
      <c r="D43" s="60">
        <f>D44+D45</f>
        <v>78842.2</v>
      </c>
      <c r="E43" s="60">
        <f>E44+E45</f>
        <v>10915</v>
      </c>
      <c r="F43" s="18">
        <f t="shared" si="12"/>
        <v>13.84410886555677</v>
      </c>
      <c r="G43" s="60">
        <f>G44+G45</f>
        <v>74697.7</v>
      </c>
      <c r="H43" s="60">
        <f>H44+H45</f>
        <v>60428.1</v>
      </c>
      <c r="I43" s="18">
        <f>H43/G43*100</f>
        <v>80.896868310537</v>
      </c>
      <c r="J43" s="60">
        <f>J44+J45</f>
        <v>47012.2</v>
      </c>
      <c r="K43" s="60">
        <f>K44+K45</f>
        <v>126951.9</v>
      </c>
      <c r="L43" s="18">
        <f t="shared" si="14"/>
        <v>270.04032995690477</v>
      </c>
      <c r="M43" s="60">
        <f>M44+M45</f>
        <v>200552.1</v>
      </c>
      <c r="N43" s="60">
        <f>N44+N45</f>
        <v>198295</v>
      </c>
      <c r="O43" s="18">
        <f t="shared" si="1"/>
        <v>98.87455678599227</v>
      </c>
      <c r="P43" s="60">
        <f>P44+P45</f>
        <v>14469.1</v>
      </c>
      <c r="Q43" s="60">
        <f>Q44+Q45</f>
        <v>9051.4</v>
      </c>
      <c r="R43" s="18">
        <f>Q43/P43*100</f>
        <v>62.55675888617813</v>
      </c>
      <c r="S43" s="60">
        <f>S44+S45</f>
        <v>215021.2</v>
      </c>
      <c r="T43" s="60">
        <f>T44+T45</f>
        <v>207346.4</v>
      </c>
      <c r="U43" s="18">
        <f>T43/S43*100</f>
        <v>96.43067753319207</v>
      </c>
      <c r="V43" s="61">
        <f>V44+V45</f>
        <v>7674.800000000001</v>
      </c>
      <c r="W43" s="61">
        <f>W44+W45</f>
        <v>208751.7</v>
      </c>
    </row>
    <row r="44" spans="1:23" s="9" customFormat="1" ht="24.75" customHeight="1">
      <c r="A44" s="50"/>
      <c r="B44" s="1" t="s">
        <v>77</v>
      </c>
      <c r="C44" s="2">
        <f>3448+197629</f>
        <v>201077</v>
      </c>
      <c r="D44" s="3">
        <v>76848</v>
      </c>
      <c r="E44" s="3">
        <v>10915</v>
      </c>
      <c r="F44" s="18">
        <f t="shared" si="12"/>
        <v>14.20336248178222</v>
      </c>
      <c r="G44" s="3">
        <f>17073+55611</f>
        <v>72684</v>
      </c>
      <c r="H44" s="3">
        <f>16895+41539</f>
        <v>58434</v>
      </c>
      <c r="I44" s="18">
        <f t="shared" si="13"/>
        <v>80.39458477794288</v>
      </c>
      <c r="J44" s="3">
        <f>11885+33390</f>
        <v>45275</v>
      </c>
      <c r="K44" s="3">
        <f>27619+95582</f>
        <v>123201</v>
      </c>
      <c r="L44" s="18">
        <f>K44/J44*100</f>
        <v>272.11706239646605</v>
      </c>
      <c r="M44" s="3">
        <f>D44+G44+J44</f>
        <v>194807</v>
      </c>
      <c r="N44" s="3">
        <f>E44+H44+K44</f>
        <v>192550</v>
      </c>
      <c r="O44" s="18">
        <f t="shared" si="1"/>
        <v>98.84141740286539</v>
      </c>
      <c r="P44" s="3">
        <f>4150+9852</f>
        <v>14002</v>
      </c>
      <c r="Q44" s="3">
        <f>4009+4654</f>
        <v>8663</v>
      </c>
      <c r="R44" s="18">
        <f>Q44/P44*100</f>
        <v>61.869732895300665</v>
      </c>
      <c r="S44" s="3">
        <f>M44+P44</f>
        <v>208809</v>
      </c>
      <c r="T44" s="3">
        <f>N44+Q44</f>
        <v>201213</v>
      </c>
      <c r="U44" s="18">
        <f>T44/S44*100</f>
        <v>96.36222576613078</v>
      </c>
      <c r="V44" s="18">
        <f>S44-T44</f>
        <v>7596</v>
      </c>
      <c r="W44" s="4">
        <f>C44+S44-T44</f>
        <v>208673</v>
      </c>
    </row>
    <row r="45" spans="1:23" s="9" customFormat="1" ht="24.75" customHeight="1">
      <c r="A45" s="50"/>
      <c r="B45" s="1" t="s">
        <v>69</v>
      </c>
      <c r="C45" s="2">
        <v>-0.1</v>
      </c>
      <c r="D45" s="3">
        <v>1994.2</v>
      </c>
      <c r="E45" s="3">
        <v>0</v>
      </c>
      <c r="F45" s="18">
        <f t="shared" si="12"/>
        <v>0</v>
      </c>
      <c r="G45" s="56">
        <v>2013.7</v>
      </c>
      <c r="H45" s="56">
        <v>1994.1</v>
      </c>
      <c r="I45" s="18">
        <f t="shared" si="13"/>
        <v>99.02666732879773</v>
      </c>
      <c r="J45" s="56">
        <v>1737.2</v>
      </c>
      <c r="K45" s="56">
        <v>3750.9</v>
      </c>
      <c r="L45" s="18">
        <f>K45/J45*100</f>
        <v>215.91641722311766</v>
      </c>
      <c r="M45" s="3">
        <f>D45+G45+J45</f>
        <v>5745.1</v>
      </c>
      <c r="N45" s="3">
        <f>E45+H45+K45</f>
        <v>5745</v>
      </c>
      <c r="O45" s="18">
        <f t="shared" si="1"/>
        <v>99.99825938625959</v>
      </c>
      <c r="P45" s="56">
        <v>467.1</v>
      </c>
      <c r="Q45" s="56">
        <v>388.4</v>
      </c>
      <c r="R45" s="18">
        <f>Q45/P45*100</f>
        <v>83.15135945193748</v>
      </c>
      <c r="S45" s="3">
        <f>M45+P45</f>
        <v>6212.200000000001</v>
      </c>
      <c r="T45" s="3">
        <f>N45+Q45</f>
        <v>6133.4</v>
      </c>
      <c r="U45" s="18">
        <f>T45/S45*100</f>
        <v>98.73152828305591</v>
      </c>
      <c r="V45" s="18">
        <f>S45-T45</f>
        <v>78.80000000000109</v>
      </c>
      <c r="W45" s="4">
        <f>C45+S45-T45</f>
        <v>78.70000000000073</v>
      </c>
    </row>
    <row r="46" spans="1:25" s="9" customFormat="1" ht="24.75" customHeight="1">
      <c r="A46" s="50"/>
      <c r="B46" s="22" t="s">
        <v>78</v>
      </c>
      <c r="C46" s="60">
        <f>C7+C43</f>
        <v>195565.8</v>
      </c>
      <c r="D46" s="4">
        <f>D43+D7</f>
        <v>134404.1</v>
      </c>
      <c r="E46" s="4">
        <f>E43+E7</f>
        <v>29206.199999999997</v>
      </c>
      <c r="F46" s="18">
        <f t="shared" si="12"/>
        <v>21.730140672791972</v>
      </c>
      <c r="G46" s="4">
        <f>G7+G43</f>
        <v>121750.6</v>
      </c>
      <c r="H46" s="4">
        <f>H7+H43</f>
        <v>112145.4</v>
      </c>
      <c r="I46" s="18">
        <f>H46/G46*100</f>
        <v>92.11075756505511</v>
      </c>
      <c r="J46" s="4">
        <f>J7+J43</f>
        <v>74999.09999999999</v>
      </c>
      <c r="K46" s="4">
        <f>K7+K43</f>
        <v>159071.59999999998</v>
      </c>
      <c r="L46" s="18">
        <f>K46/J46*100</f>
        <v>212.09801184280877</v>
      </c>
      <c r="M46" s="4">
        <f>M7+M43</f>
        <v>331153.8</v>
      </c>
      <c r="N46" s="4">
        <f>N7+N43</f>
        <v>300423.2</v>
      </c>
      <c r="O46" s="18">
        <f t="shared" si="1"/>
        <v>90.72014272522316</v>
      </c>
      <c r="P46" s="4">
        <f>P7+P43</f>
        <v>16639.9</v>
      </c>
      <c r="Q46" s="4">
        <f>Q7+Q43</f>
        <v>20921.4</v>
      </c>
      <c r="R46" s="18">
        <f>Q46/P46*100</f>
        <v>125.73032289857511</v>
      </c>
      <c r="S46" s="4">
        <f>S7+S43</f>
        <v>347793.7</v>
      </c>
      <c r="T46" s="4">
        <f>T7+T43</f>
        <v>321344.6</v>
      </c>
      <c r="U46" s="18">
        <f>T46/S46*100</f>
        <v>92.3951756457923</v>
      </c>
      <c r="V46" s="61">
        <f>V7+V43</f>
        <v>26449.1</v>
      </c>
      <c r="W46" s="61">
        <f>W7+W43</f>
        <v>222014.90000000002</v>
      </c>
      <c r="X46" s="30">
        <f>S46-T46</f>
        <v>26449.100000000035</v>
      </c>
      <c r="Y46" s="24">
        <f>C46+S46-T46</f>
        <v>222014.90000000002</v>
      </c>
    </row>
    <row r="47" spans="2:23" ht="37.5" customHeight="1">
      <c r="B47" s="82"/>
      <c r="C47" s="83"/>
      <c r="D47" s="84"/>
      <c r="E47" s="84"/>
      <c r="F47" s="85" t="e">
        <f t="shared" si="12"/>
        <v>#DIV/0!</v>
      </c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39"/>
      <c r="W47" s="39"/>
    </row>
    <row r="48" spans="2:23" ht="33.75" customHeight="1">
      <c r="B48" s="143"/>
      <c r="C48" s="143"/>
      <c r="D48" s="143"/>
      <c r="E48" s="143"/>
      <c r="F48" s="143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39"/>
      <c r="W48" s="39"/>
    </row>
    <row r="49" spans="1:23" ht="18.75" customHeight="1" hidden="1">
      <c r="A49" s="6"/>
      <c r="B49" s="9" t="s">
        <v>82</v>
      </c>
      <c r="C49" s="83"/>
      <c r="D49" s="86"/>
      <c r="E49" s="86"/>
      <c r="F49" s="87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4"/>
    </row>
    <row r="50" spans="2:23" ht="6.75" customHeight="1" hidden="1">
      <c r="B50" s="9"/>
      <c r="C50" s="83"/>
      <c r="D50" s="88"/>
      <c r="E50" s="88"/>
      <c r="F50" s="87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4"/>
    </row>
    <row r="51" spans="1:23" ht="18.75" customHeight="1" hidden="1">
      <c r="A51" s="6"/>
      <c r="B51" s="9" t="s">
        <v>83</v>
      </c>
      <c r="C51" s="83"/>
      <c r="D51" s="86"/>
      <c r="E51" s="86"/>
      <c r="F51" s="8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68"/>
      <c r="T51" s="68"/>
      <c r="U51" s="67"/>
      <c r="V51" s="43"/>
      <c r="W51" s="69" t="s">
        <v>97</v>
      </c>
    </row>
    <row r="52" spans="2:23" ht="24.75" customHeight="1">
      <c r="B52" s="9"/>
      <c r="C52" s="83"/>
      <c r="D52" s="84"/>
      <c r="E52" s="84"/>
      <c r="F52" s="8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43"/>
      <c r="W52" s="43"/>
    </row>
    <row r="53" spans="1:23" s="76" customFormat="1" ht="48.75" customHeight="1">
      <c r="A53" s="71"/>
      <c r="B53" s="135" t="s">
        <v>101</v>
      </c>
      <c r="C53" s="135"/>
      <c r="D53" s="135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2"/>
      <c r="T53" s="72"/>
      <c r="U53" s="73"/>
      <c r="V53" s="74"/>
      <c r="W53" s="75" t="s">
        <v>100</v>
      </c>
    </row>
    <row r="54" spans="2:23" ht="46.5" customHeight="1" hidden="1">
      <c r="B54" s="144" t="s">
        <v>37</v>
      </c>
      <c r="C54" s="144"/>
      <c r="D54" s="9"/>
      <c r="E54" s="9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39"/>
      <c r="W54" s="39"/>
    </row>
    <row r="55" spans="1:26" ht="73.5" customHeight="1">
      <c r="A55" s="136" t="s">
        <v>99</v>
      </c>
      <c r="B55" s="136"/>
      <c r="C55" s="136"/>
      <c r="D55" s="68"/>
      <c r="E55" s="68"/>
      <c r="F55" s="6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1154.2</v>
      </c>
      <c r="T55" s="3">
        <v>1213.3</v>
      </c>
      <c r="U55" s="18"/>
      <c r="V55" s="3"/>
      <c r="W55" s="4">
        <f>C55+D55-E55</f>
        <v>0</v>
      </c>
      <c r="X55" s="43"/>
      <c r="Y55" s="67"/>
      <c r="Z55" s="69" t="s">
        <v>97</v>
      </c>
    </row>
    <row r="56" spans="2:23" ht="18.75">
      <c r="B56" s="5" t="s">
        <v>39</v>
      </c>
      <c r="C56" s="89">
        <v>278.9</v>
      </c>
      <c r="D56" s="3">
        <v>761.9</v>
      </c>
      <c r="E56" s="3">
        <v>1041</v>
      </c>
      <c r="F56" s="18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>
        <v>1415.7</v>
      </c>
      <c r="T56" s="39">
        <v>1436.1</v>
      </c>
      <c r="U56" s="77"/>
      <c r="V56" s="39"/>
      <c r="W56" s="4">
        <f>C56+D56-E56</f>
        <v>-0.20000000000004547</v>
      </c>
    </row>
    <row r="57" spans="2:23" ht="18.75">
      <c r="B57" s="5" t="s">
        <v>40</v>
      </c>
      <c r="C57" s="78">
        <v>923.4</v>
      </c>
      <c r="D57" s="43">
        <v>2513</v>
      </c>
      <c r="E57" s="43">
        <v>3352.9</v>
      </c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39"/>
      <c r="W57" s="39"/>
    </row>
    <row r="58" spans="3:23" ht="24.75" customHeight="1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39"/>
      <c r="W58" s="39"/>
    </row>
    <row r="59" spans="3:23" ht="24.75" customHeight="1">
      <c r="C59" s="78"/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39"/>
      <c r="W59" s="39">
        <f>W9+W17+W20+W26+W36+W38+W40</f>
        <v>509.7000000000015</v>
      </c>
    </row>
    <row r="60" spans="2:23" ht="18.75">
      <c r="B60" s="5" t="s">
        <v>41</v>
      </c>
      <c r="C60" s="78">
        <f>C9+C17+C20+C26+C36+C38+C40</f>
        <v>-3263.6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39"/>
      <c r="W60" s="39">
        <f>W11+W13+W14+W16+W18+W19+W25</f>
        <v>3032.7999999999993</v>
      </c>
    </row>
    <row r="61" spans="2:23" ht="18.75">
      <c r="B61" s="5" t="s">
        <v>42</v>
      </c>
      <c r="C61" s="78">
        <f>C11+C13+C14+C16+C18+C19+C25</f>
        <v>-175.79999999999998</v>
      </c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39"/>
      <c r="W61" s="39"/>
    </row>
    <row r="62" spans="7:23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39"/>
      <c r="W62" s="39"/>
    </row>
    <row r="63" spans="7:23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39"/>
      <c r="W63" s="39"/>
    </row>
    <row r="64" spans="7:23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39"/>
      <c r="W64" s="39"/>
    </row>
    <row r="65" spans="7:23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39"/>
      <c r="W65" s="39"/>
    </row>
    <row r="66" spans="7:23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39"/>
      <c r="W66" s="39"/>
    </row>
    <row r="67" spans="7:23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39"/>
      <c r="W67" s="39"/>
    </row>
    <row r="68" spans="7:23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39"/>
      <c r="W68" s="39"/>
    </row>
    <row r="69" spans="7:23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39"/>
      <c r="W69" s="39"/>
    </row>
    <row r="70" spans="7:23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39"/>
      <c r="W70" s="39"/>
    </row>
    <row r="71" spans="7:23" ht="24.75" customHeight="1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39"/>
      <c r="W71" s="39"/>
    </row>
    <row r="72" spans="7:23" ht="24.75" customHeight="1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39"/>
      <c r="W72" s="39"/>
    </row>
    <row r="73" spans="7:23" ht="24.75" customHeight="1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39"/>
      <c r="W73" s="39"/>
    </row>
    <row r="74" spans="7:23" ht="24.75" customHeight="1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39"/>
      <c r="W74" s="39"/>
    </row>
    <row r="75" spans="7:23" ht="24.75" customHeight="1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39"/>
      <c r="W75" s="39"/>
    </row>
    <row r="76" spans="7:23" ht="24.75" customHeight="1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39"/>
      <c r="W76" s="39"/>
    </row>
    <row r="77" spans="7:23" ht="24.75" customHeight="1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39"/>
      <c r="W77" s="39"/>
    </row>
    <row r="78" spans="7:23" ht="24.75" customHeight="1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39"/>
      <c r="W78" s="39"/>
    </row>
    <row r="79" spans="7:23" ht="24.75" customHeight="1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39"/>
      <c r="W79" s="39"/>
    </row>
    <row r="80" spans="7:23" ht="24.75" customHeight="1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39"/>
      <c r="W80" s="39"/>
    </row>
    <row r="81" spans="7:23" ht="24.75" customHeight="1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39"/>
      <c r="W81" s="39"/>
    </row>
    <row r="82" spans="7:23" ht="24.75" customHeight="1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39"/>
      <c r="W82" s="39"/>
    </row>
    <row r="83" spans="7:23" ht="24.75" customHeight="1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39"/>
      <c r="W83" s="39"/>
    </row>
    <row r="84" spans="7:23" ht="24.75" customHeight="1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39"/>
      <c r="W84" s="39"/>
    </row>
    <row r="85" spans="7:23" ht="24.75" customHeight="1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39"/>
      <c r="W85" s="39"/>
    </row>
    <row r="86" spans="7:23" ht="24.75" customHeight="1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39"/>
      <c r="W86" s="39"/>
    </row>
    <row r="87" spans="7:23" ht="24.75" customHeight="1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39"/>
      <c r="W87" s="39"/>
    </row>
    <row r="88" spans="7:23" ht="24.75" customHeight="1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39"/>
      <c r="W88" s="39"/>
    </row>
    <row r="89" spans="7:23" ht="24.75" customHeight="1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39"/>
      <c r="W89" s="39"/>
    </row>
    <row r="90" spans="7:23" ht="24.75" customHeight="1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39"/>
      <c r="W90" s="39"/>
    </row>
    <row r="91" spans="7:23" ht="24.75" customHeight="1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39"/>
      <c r="W91" s="39"/>
    </row>
    <row r="92" spans="7:23" ht="24.75" customHeight="1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39"/>
      <c r="W92" s="39"/>
    </row>
    <row r="93" spans="7:23" ht="24.75" customHeight="1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39"/>
      <c r="W93" s="39"/>
    </row>
    <row r="94" spans="7:23" ht="24.75" customHeight="1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39"/>
      <c r="W94" s="39"/>
    </row>
    <row r="95" spans="7:23" ht="24.75" customHeight="1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39"/>
      <c r="W95" s="39"/>
    </row>
    <row r="96" spans="7:23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39"/>
      <c r="W96" s="39"/>
    </row>
    <row r="97" spans="7:23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39"/>
      <c r="W97" s="39"/>
    </row>
    <row r="98" spans="7:23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39"/>
      <c r="W98" s="39"/>
    </row>
    <row r="99" spans="7:23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39"/>
      <c r="W99" s="39"/>
    </row>
    <row r="100" spans="7:23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39"/>
      <c r="W100" s="39"/>
    </row>
    <row r="101" spans="7:23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39"/>
      <c r="W101" s="39"/>
    </row>
    <row r="102" spans="7:23" ht="18.75"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39"/>
      <c r="W102" s="39"/>
    </row>
  </sheetData>
  <sheetProtection/>
  <autoFilter ref="F1:F103"/>
  <mergeCells count="14">
    <mergeCell ref="A55:C55"/>
    <mergeCell ref="D1:W1"/>
    <mergeCell ref="B2:W2"/>
    <mergeCell ref="B3:W3"/>
    <mergeCell ref="G5:I5"/>
    <mergeCell ref="S5:U5"/>
    <mergeCell ref="W5:W6"/>
    <mergeCell ref="P5:R5"/>
    <mergeCell ref="V5:V6"/>
    <mergeCell ref="J5:L5"/>
    <mergeCell ref="B48:F48"/>
    <mergeCell ref="B54:C54"/>
    <mergeCell ref="B53:D53"/>
    <mergeCell ref="D5:F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44" r:id="rId1"/>
  <rowBreaks count="1" manualBreakCount="1">
    <brk id="53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A101"/>
  <sheetViews>
    <sheetView view="pageBreakPreview" zoomScale="70" zoomScaleNormal="75" zoomScaleSheetLayoutView="70" zoomScalePageLayoutView="0" workbookViewId="0" topLeftCell="A1">
      <pane xSplit="7" ySplit="8" topLeftCell="M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Y11" sqref="Y11"/>
    </sheetView>
  </sheetViews>
  <sheetFormatPr defaultColWidth="7.875" defaultRowHeight="12.75"/>
  <cols>
    <col min="1" max="1" width="6.625" style="7" customWidth="1"/>
    <col min="2" max="2" width="56.875" style="5" customWidth="1"/>
    <col min="3" max="3" width="16.875" style="51" customWidth="1"/>
    <col min="4" max="5" width="13.25390625" style="5" hidden="1" customWidth="1"/>
    <col min="6" max="6" width="12.125" style="9" hidden="1" customWidth="1"/>
    <col min="7" max="8" width="12.375" style="5" hidden="1" customWidth="1"/>
    <col min="9" max="9" width="11.875" style="9" hidden="1" customWidth="1"/>
    <col min="10" max="11" width="12.375" style="5" hidden="1" customWidth="1"/>
    <col min="12" max="12" width="11.875" style="9" hidden="1" customWidth="1"/>
    <col min="13" max="13" width="13.75390625" style="9" customWidth="1"/>
    <col min="14" max="15" width="11.875" style="9" customWidth="1"/>
    <col min="16" max="17" width="12.375" style="5" customWidth="1"/>
    <col min="18" max="18" width="11.875" style="9" customWidth="1"/>
    <col min="19" max="19" width="14.125" style="5" customWidth="1"/>
    <col min="20" max="20" width="13.75390625" style="5" customWidth="1"/>
    <col min="21" max="21" width="12.75390625" style="9" customWidth="1"/>
    <col min="22" max="22" width="22.25390625" style="5" customWidth="1"/>
    <col min="23" max="23" width="22.625" style="5" customWidth="1"/>
    <col min="24" max="24" width="14.125" style="5" customWidth="1"/>
    <col min="25" max="25" width="15.375" style="5" customWidth="1"/>
    <col min="26" max="16384" width="7.875" style="5" customWidth="1"/>
  </cols>
  <sheetData>
    <row r="1" spans="4:23" ht="18.75"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s="42" customFormat="1" ht="42" customHeight="1">
      <c r="A2" s="41"/>
      <c r="B2" s="127" t="s">
        <v>86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1:23" s="42" customFormat="1" ht="42" customHeight="1">
      <c r="A3" s="41"/>
      <c r="B3" s="127" t="s">
        <v>118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2:23" ht="18.75">
      <c r="B4" s="128"/>
      <c r="C4" s="128"/>
      <c r="W4" s="13" t="s">
        <v>48</v>
      </c>
    </row>
    <row r="5" spans="1:23" ht="36.75" customHeight="1">
      <c r="A5" s="33" t="s">
        <v>36</v>
      </c>
      <c r="B5" s="34"/>
      <c r="C5" s="35" t="s">
        <v>1</v>
      </c>
      <c r="D5" s="129" t="s">
        <v>111</v>
      </c>
      <c r="E5" s="130"/>
      <c r="F5" s="131"/>
      <c r="G5" s="132" t="s">
        <v>113</v>
      </c>
      <c r="H5" s="133"/>
      <c r="I5" s="134"/>
      <c r="J5" s="132" t="s">
        <v>117</v>
      </c>
      <c r="K5" s="133"/>
      <c r="L5" s="134"/>
      <c r="M5" s="121"/>
      <c r="N5" s="121" t="s">
        <v>122</v>
      </c>
      <c r="O5" s="121"/>
      <c r="P5" s="132" t="s">
        <v>119</v>
      </c>
      <c r="Q5" s="133"/>
      <c r="R5" s="134"/>
      <c r="S5" s="129" t="s">
        <v>114</v>
      </c>
      <c r="T5" s="130"/>
      <c r="U5" s="131"/>
      <c r="V5" s="125" t="s">
        <v>116</v>
      </c>
      <c r="W5" s="125" t="s">
        <v>121</v>
      </c>
    </row>
    <row r="6" spans="1:23" ht="67.5" customHeight="1">
      <c r="A6" s="36" t="s">
        <v>9</v>
      </c>
      <c r="B6" s="52" t="s">
        <v>46</v>
      </c>
      <c r="C6" s="29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126"/>
      <c r="W6" s="126"/>
    </row>
    <row r="7" spans="1:25" s="9" customFormat="1" ht="36" customHeight="1">
      <c r="A7" s="15"/>
      <c r="B7" s="16" t="s">
        <v>49</v>
      </c>
      <c r="C7" s="80">
        <f>SUM(C8:C42)</f>
        <v>-2529.8999999999996</v>
      </c>
      <c r="D7" s="18">
        <f>SUM(D8:D42)</f>
        <v>6895.9</v>
      </c>
      <c r="E7" s="18">
        <f>SUM(E8:E42)</f>
        <v>804.9</v>
      </c>
      <c r="F7" s="18">
        <f aca="true" t="shared" si="0" ref="F7:F44">E7/D7*100</f>
        <v>11.672153018460245</v>
      </c>
      <c r="G7" s="18">
        <f>SUM(G8:G42)</f>
        <v>6788.799999999999</v>
      </c>
      <c r="H7" s="18">
        <f>SUM(H8:H42)</f>
        <v>6289.2</v>
      </c>
      <c r="I7" s="18">
        <f>H7/G7*100</f>
        <v>92.64082017440491</v>
      </c>
      <c r="J7" s="18">
        <f>SUM(J8:J42)</f>
        <v>4422.3</v>
      </c>
      <c r="K7" s="18">
        <f>SUM(K8:K42)</f>
        <v>8766.599999999999</v>
      </c>
      <c r="L7" s="18">
        <f>K7/J7*100</f>
        <v>198.23621192592086</v>
      </c>
      <c r="M7" s="18">
        <f>SUM(M8:M42)</f>
        <v>18107</v>
      </c>
      <c r="N7" s="18">
        <f>SUM(N8:N42)</f>
        <v>15860.7</v>
      </c>
      <c r="O7" s="18"/>
      <c r="P7" s="18">
        <f>SUM(P8:P42)</f>
        <v>602.1999999999999</v>
      </c>
      <c r="Q7" s="18">
        <f>SUM(Q8:Q42)</f>
        <v>1194.5</v>
      </c>
      <c r="R7" s="18">
        <f>Q7/P7*100</f>
        <v>198.35602789770843</v>
      </c>
      <c r="S7" s="18">
        <f>SUM(S8:S42)</f>
        <v>18709.2</v>
      </c>
      <c r="T7" s="18">
        <f>SUM(T8:T42)</f>
        <v>17055.2</v>
      </c>
      <c r="U7" s="18">
        <f>T7/S7*100</f>
        <v>91.1594295854446</v>
      </c>
      <c r="V7" s="54">
        <f>SUM(V8:V42)</f>
        <v>1653.999999999999</v>
      </c>
      <c r="W7" s="54">
        <f>SUM(W8:W42)</f>
        <v>-875.9000000000003</v>
      </c>
      <c r="X7" s="30">
        <f>S7-T7</f>
        <v>1654</v>
      </c>
      <c r="Y7" s="30">
        <f>C7+S7-T7</f>
        <v>-875.8999999999996</v>
      </c>
    </row>
    <row r="8" spans="1:23" ht="37.5" customHeight="1">
      <c r="A8" s="6">
        <v>1</v>
      </c>
      <c r="B8" s="1" t="s">
        <v>50</v>
      </c>
      <c r="C8" s="2">
        <v>0</v>
      </c>
      <c r="D8" s="3">
        <v>353.2</v>
      </c>
      <c r="E8" s="3">
        <v>0</v>
      </c>
      <c r="F8" s="18">
        <f t="shared" si="0"/>
        <v>0</v>
      </c>
      <c r="G8" s="3">
        <v>341</v>
      </c>
      <c r="H8" s="3">
        <v>405.9</v>
      </c>
      <c r="I8" s="18">
        <f>H8/G8*100</f>
        <v>119.03225806451611</v>
      </c>
      <c r="J8" s="3">
        <v>186.1</v>
      </c>
      <c r="K8" s="3">
        <v>437.1</v>
      </c>
      <c r="L8" s="18">
        <f>K8/J8*100</f>
        <v>234.87372380440627</v>
      </c>
      <c r="M8" s="3">
        <f>D8+G8+J8</f>
        <v>880.3000000000001</v>
      </c>
      <c r="N8" s="3">
        <f>E8+H8+K8</f>
        <v>843</v>
      </c>
      <c r="O8" s="18">
        <f>N8/M8*100</f>
        <v>95.76280813359081</v>
      </c>
      <c r="P8" s="3">
        <v>7</v>
      </c>
      <c r="Q8" s="3">
        <v>44.3</v>
      </c>
      <c r="R8" s="18">
        <f>Q8/P8*100</f>
        <v>632.8571428571428</v>
      </c>
      <c r="S8" s="3">
        <f>M8+P8</f>
        <v>887.3000000000001</v>
      </c>
      <c r="T8" s="3">
        <f>N8+Q8</f>
        <v>887.3</v>
      </c>
      <c r="U8" s="18">
        <f>T8/S8*100</f>
        <v>99.99999999999999</v>
      </c>
      <c r="V8" s="18">
        <f>S8-T8</f>
        <v>0</v>
      </c>
      <c r="W8" s="4">
        <f>C8+S8-T8</f>
        <v>0</v>
      </c>
    </row>
    <row r="9" spans="1:23" ht="36.75" customHeight="1">
      <c r="A9" s="6">
        <v>2</v>
      </c>
      <c r="B9" s="44" t="s">
        <v>81</v>
      </c>
      <c r="C9" s="2">
        <v>-120.5</v>
      </c>
      <c r="D9" s="3">
        <v>191.9</v>
      </c>
      <c r="E9" s="3">
        <v>0</v>
      </c>
      <c r="F9" s="18">
        <f t="shared" si="0"/>
        <v>0</v>
      </c>
      <c r="G9" s="3">
        <v>154</v>
      </c>
      <c r="H9" s="3">
        <v>160.5</v>
      </c>
      <c r="I9" s="18">
        <f aca="true" t="shared" si="1" ref="I9:I21">H9/G9*100</f>
        <v>104.2207792207792</v>
      </c>
      <c r="J9" s="3">
        <v>48.4</v>
      </c>
      <c r="K9" s="3">
        <v>91.2</v>
      </c>
      <c r="L9" s="18">
        <f>K9/J9*100</f>
        <v>188.42975206611573</v>
      </c>
      <c r="M9" s="3">
        <f>D9+G9+J9</f>
        <v>394.29999999999995</v>
      </c>
      <c r="N9" s="3">
        <f>E9+H9+K9</f>
        <v>251.7</v>
      </c>
      <c r="O9" s="18">
        <f aca="true" t="shared" si="2" ref="O9:O46">N9/M9*100</f>
        <v>63.834643672330714</v>
      </c>
      <c r="P9" s="3">
        <v>0</v>
      </c>
      <c r="Q9" s="3">
        <v>22.1</v>
      </c>
      <c r="R9" s="40" t="e">
        <f>Q9/P9*100</f>
        <v>#DIV/0!</v>
      </c>
      <c r="S9" s="3">
        <f>M9+P9</f>
        <v>394.29999999999995</v>
      </c>
      <c r="T9" s="3">
        <f>N9+Q9</f>
        <v>273.8</v>
      </c>
      <c r="U9" s="18">
        <f>T9/S9*100</f>
        <v>69.43951306112098</v>
      </c>
      <c r="V9" s="18">
        <f aca="true" t="shared" si="3" ref="V9:V42">S9-T9</f>
        <v>120.49999999999994</v>
      </c>
      <c r="W9" s="4">
        <f aca="true" t="shared" si="4" ref="W9:W42">C9+S9-T9</f>
        <v>0</v>
      </c>
    </row>
    <row r="10" spans="1:23" ht="36" customHeight="1">
      <c r="A10" s="6">
        <v>3</v>
      </c>
      <c r="B10" s="20" t="s">
        <v>96</v>
      </c>
      <c r="C10" s="90">
        <v>0</v>
      </c>
      <c r="D10" s="32"/>
      <c r="E10" s="32"/>
      <c r="F10" s="48" t="e">
        <f t="shared" si="0"/>
        <v>#DIV/0!</v>
      </c>
      <c r="G10" s="32"/>
      <c r="H10" s="32"/>
      <c r="I10" s="48" t="e">
        <f t="shared" si="1"/>
        <v>#DIV/0!</v>
      </c>
      <c r="J10" s="32"/>
      <c r="K10" s="32"/>
      <c r="L10" s="48" t="e">
        <f>K10/J10*100</f>
        <v>#DIV/0!</v>
      </c>
      <c r="M10" s="3"/>
      <c r="N10" s="3"/>
      <c r="O10" s="18"/>
      <c r="P10" s="32"/>
      <c r="Q10" s="32"/>
      <c r="R10" s="48" t="e">
        <f>Q10/P10*100</f>
        <v>#DIV/0!</v>
      </c>
      <c r="S10" s="3"/>
      <c r="T10" s="3"/>
      <c r="U10" s="48" t="e">
        <f>T10/S10*100</f>
        <v>#DIV/0!</v>
      </c>
      <c r="V10" s="18">
        <f t="shared" si="3"/>
        <v>0</v>
      </c>
      <c r="W10" s="4">
        <f t="shared" si="4"/>
        <v>0</v>
      </c>
    </row>
    <row r="11" spans="1:23" ht="24" customHeight="1">
      <c r="A11" s="6">
        <v>4</v>
      </c>
      <c r="B11" s="1" t="s">
        <v>107</v>
      </c>
      <c r="C11" s="2"/>
      <c r="D11" s="3"/>
      <c r="E11" s="3"/>
      <c r="F11" s="18"/>
      <c r="G11" s="3"/>
      <c r="H11" s="3"/>
      <c r="I11" s="48" t="e">
        <f t="shared" si="1"/>
        <v>#DIV/0!</v>
      </c>
      <c r="J11" s="3"/>
      <c r="K11" s="3"/>
      <c r="L11" s="48" t="e">
        <f>K11/J11*100</f>
        <v>#DIV/0!</v>
      </c>
      <c r="M11" s="3"/>
      <c r="N11" s="3"/>
      <c r="O11" s="18"/>
      <c r="P11" s="3"/>
      <c r="Q11" s="3"/>
      <c r="R11" s="48" t="e">
        <f>Q11/P11*100</f>
        <v>#DIV/0!</v>
      </c>
      <c r="S11" s="3"/>
      <c r="T11" s="3"/>
      <c r="U11" s="48"/>
      <c r="V11" s="18">
        <f t="shared" si="3"/>
        <v>0</v>
      </c>
      <c r="W11" s="4">
        <f t="shared" si="4"/>
        <v>0</v>
      </c>
    </row>
    <row r="12" spans="1:23" s="55" customFormat="1" ht="24" customHeight="1">
      <c r="A12" s="6">
        <v>5</v>
      </c>
      <c r="B12" s="1" t="s">
        <v>79</v>
      </c>
      <c r="C12" s="90">
        <v>0</v>
      </c>
      <c r="D12" s="32"/>
      <c r="E12" s="32"/>
      <c r="F12" s="48" t="e">
        <f t="shared" si="0"/>
        <v>#DIV/0!</v>
      </c>
      <c r="G12" s="3"/>
      <c r="H12" s="3"/>
      <c r="I12" s="18"/>
      <c r="J12" s="3"/>
      <c r="K12" s="3"/>
      <c r="L12" s="18"/>
      <c r="M12" s="3"/>
      <c r="N12" s="3"/>
      <c r="O12" s="18"/>
      <c r="P12" s="3"/>
      <c r="Q12" s="3"/>
      <c r="R12" s="18"/>
      <c r="S12" s="3"/>
      <c r="T12" s="3"/>
      <c r="U12" s="18"/>
      <c r="V12" s="18">
        <f t="shared" si="3"/>
        <v>0</v>
      </c>
      <c r="W12" s="4">
        <f t="shared" si="4"/>
        <v>0</v>
      </c>
    </row>
    <row r="13" spans="1:23" s="55" customFormat="1" ht="24" customHeight="1">
      <c r="A13" s="6">
        <v>6</v>
      </c>
      <c r="B13" s="1" t="s">
        <v>51</v>
      </c>
      <c r="C13" s="2">
        <v>-10.4</v>
      </c>
      <c r="D13" s="3">
        <v>41</v>
      </c>
      <c r="E13" s="3">
        <v>0</v>
      </c>
      <c r="F13" s="18">
        <v>0</v>
      </c>
      <c r="G13" s="3">
        <v>36.3</v>
      </c>
      <c r="H13" s="3">
        <v>30.6</v>
      </c>
      <c r="I13" s="18">
        <f t="shared" si="1"/>
        <v>84.29752066115704</v>
      </c>
      <c r="J13" s="3">
        <v>25.4</v>
      </c>
      <c r="K13" s="3">
        <v>36.3</v>
      </c>
      <c r="L13" s="18">
        <f>K13/J13*100</f>
        <v>142.91338582677164</v>
      </c>
      <c r="M13" s="3">
        <f>D13+G13+J13</f>
        <v>102.69999999999999</v>
      </c>
      <c r="N13" s="3">
        <f>E13+H13+K13</f>
        <v>66.9</v>
      </c>
      <c r="O13" s="18">
        <f t="shared" si="2"/>
        <v>65.14118792599807</v>
      </c>
      <c r="P13" s="3">
        <v>0</v>
      </c>
      <c r="Q13" s="3">
        <v>25.4</v>
      </c>
      <c r="R13" s="40" t="e">
        <f>Q13/P13*100</f>
        <v>#DIV/0!</v>
      </c>
      <c r="S13" s="3">
        <f>M13+P13</f>
        <v>102.69999999999999</v>
      </c>
      <c r="T13" s="3">
        <f>N13+Q13</f>
        <v>92.30000000000001</v>
      </c>
      <c r="U13" s="18">
        <f aca="true" t="shared" si="5" ref="U13:U22">T13/S13*100</f>
        <v>89.873417721519</v>
      </c>
      <c r="V13" s="18">
        <f t="shared" si="3"/>
        <v>10.399999999999977</v>
      </c>
      <c r="W13" s="4">
        <f t="shared" si="4"/>
        <v>0</v>
      </c>
    </row>
    <row r="14" spans="1:23" ht="24" customHeight="1">
      <c r="A14" s="6">
        <v>7</v>
      </c>
      <c r="B14" s="1" t="s">
        <v>52</v>
      </c>
      <c r="C14" s="90">
        <v>0</v>
      </c>
      <c r="D14" s="32"/>
      <c r="E14" s="32"/>
      <c r="F14" s="48" t="e">
        <f t="shared" si="0"/>
        <v>#DIV/0!</v>
      </c>
      <c r="G14" s="32"/>
      <c r="H14" s="32"/>
      <c r="I14" s="48" t="e">
        <f t="shared" si="1"/>
        <v>#DIV/0!</v>
      </c>
      <c r="J14" s="32"/>
      <c r="K14" s="32"/>
      <c r="L14" s="48" t="e">
        <f>K14/J14*100</f>
        <v>#DIV/0!</v>
      </c>
      <c r="M14" s="3"/>
      <c r="N14" s="3"/>
      <c r="O14" s="18"/>
      <c r="P14" s="32"/>
      <c r="Q14" s="32"/>
      <c r="R14" s="48" t="e">
        <f>Q14/P14*100</f>
        <v>#DIV/0!</v>
      </c>
      <c r="S14" s="3"/>
      <c r="T14" s="3"/>
      <c r="U14" s="48" t="e">
        <f t="shared" si="5"/>
        <v>#DIV/0!</v>
      </c>
      <c r="V14" s="18">
        <f t="shared" si="3"/>
        <v>0</v>
      </c>
      <c r="W14" s="4">
        <f t="shared" si="4"/>
        <v>0</v>
      </c>
    </row>
    <row r="15" spans="1:23" s="55" customFormat="1" ht="24" customHeight="1">
      <c r="A15" s="6">
        <v>8</v>
      </c>
      <c r="B15" s="1" t="s">
        <v>53</v>
      </c>
      <c r="C15" s="2">
        <v>-61.6</v>
      </c>
      <c r="D15" s="3">
        <v>449</v>
      </c>
      <c r="E15" s="3">
        <v>68.6</v>
      </c>
      <c r="F15" s="18">
        <f t="shared" si="0"/>
        <v>15.278396436525613</v>
      </c>
      <c r="G15" s="3">
        <v>441.2</v>
      </c>
      <c r="H15" s="3">
        <v>74</v>
      </c>
      <c r="I15" s="18">
        <f t="shared" si="1"/>
        <v>16.772438803263825</v>
      </c>
      <c r="J15" s="3">
        <v>324.3</v>
      </c>
      <c r="K15" s="3">
        <v>1024.3</v>
      </c>
      <c r="L15" s="18">
        <f>K15/J15*100</f>
        <v>315.84952204748686</v>
      </c>
      <c r="M15" s="3">
        <f>D15+G15+J15</f>
        <v>1214.5</v>
      </c>
      <c r="N15" s="3">
        <f>E15+H15+K15</f>
        <v>1166.8999999999999</v>
      </c>
      <c r="O15" s="18">
        <f t="shared" si="2"/>
        <v>96.08069164265129</v>
      </c>
      <c r="P15" s="3">
        <v>23.4</v>
      </c>
      <c r="Q15" s="3">
        <v>11.6</v>
      </c>
      <c r="R15" s="18">
        <f>Q15/P15*100</f>
        <v>49.572649572649574</v>
      </c>
      <c r="S15" s="3">
        <f>M15+P15</f>
        <v>1237.9</v>
      </c>
      <c r="T15" s="3">
        <f>N15+Q15</f>
        <v>1178.4999999999998</v>
      </c>
      <c r="U15" s="18">
        <f t="shared" si="5"/>
        <v>95.20155101381368</v>
      </c>
      <c r="V15" s="18">
        <f t="shared" si="3"/>
        <v>59.40000000000032</v>
      </c>
      <c r="W15" s="4">
        <f t="shared" si="4"/>
        <v>-2.1999999999995907</v>
      </c>
    </row>
    <row r="16" spans="1:23" s="55" customFormat="1" ht="24" customHeight="1">
      <c r="A16" s="6">
        <v>9</v>
      </c>
      <c r="B16" s="1" t="s">
        <v>54</v>
      </c>
      <c r="C16" s="90">
        <v>0</v>
      </c>
      <c r="D16" s="32"/>
      <c r="E16" s="32"/>
      <c r="F16" s="48" t="e">
        <f t="shared" si="0"/>
        <v>#DIV/0!</v>
      </c>
      <c r="G16" s="32"/>
      <c r="H16" s="32"/>
      <c r="I16" s="48" t="e">
        <f t="shared" si="1"/>
        <v>#DIV/0!</v>
      </c>
      <c r="J16" s="32"/>
      <c r="K16" s="32"/>
      <c r="L16" s="48" t="e">
        <f>K16/J16*100</f>
        <v>#DIV/0!</v>
      </c>
      <c r="M16" s="3"/>
      <c r="N16" s="3"/>
      <c r="O16" s="18"/>
      <c r="P16" s="32"/>
      <c r="Q16" s="32"/>
      <c r="R16" s="48" t="e">
        <f>Q16/P16*100</f>
        <v>#DIV/0!</v>
      </c>
      <c r="S16" s="3"/>
      <c r="T16" s="3"/>
      <c r="U16" s="48" t="e">
        <f t="shared" si="5"/>
        <v>#DIV/0!</v>
      </c>
      <c r="V16" s="18">
        <f t="shared" si="3"/>
        <v>0</v>
      </c>
      <c r="W16" s="4">
        <f t="shared" si="4"/>
        <v>0</v>
      </c>
    </row>
    <row r="17" spans="1:23" ht="24" customHeight="1">
      <c r="A17" s="6">
        <v>10</v>
      </c>
      <c r="B17" s="20" t="s">
        <v>55</v>
      </c>
      <c r="C17" s="90">
        <v>0</v>
      </c>
      <c r="D17" s="32"/>
      <c r="E17" s="32"/>
      <c r="F17" s="48" t="e">
        <f t="shared" si="0"/>
        <v>#DIV/0!</v>
      </c>
      <c r="G17" s="3"/>
      <c r="H17" s="3"/>
      <c r="I17" s="18"/>
      <c r="J17" s="3"/>
      <c r="K17" s="3"/>
      <c r="L17" s="18"/>
      <c r="M17" s="3"/>
      <c r="N17" s="3"/>
      <c r="O17" s="18"/>
      <c r="P17" s="3"/>
      <c r="Q17" s="3"/>
      <c r="R17" s="18"/>
      <c r="S17" s="3"/>
      <c r="T17" s="3"/>
      <c r="U17" s="18"/>
      <c r="V17" s="18">
        <f t="shared" si="3"/>
        <v>0</v>
      </c>
      <c r="W17" s="4">
        <f t="shared" si="4"/>
        <v>0</v>
      </c>
    </row>
    <row r="18" spans="1:23" ht="24" customHeight="1">
      <c r="A18" s="6">
        <v>11</v>
      </c>
      <c r="B18" s="20" t="s">
        <v>56</v>
      </c>
      <c r="C18" s="90">
        <v>0</v>
      </c>
      <c r="D18" s="32"/>
      <c r="E18" s="32"/>
      <c r="F18" s="48" t="e">
        <f t="shared" si="0"/>
        <v>#DIV/0!</v>
      </c>
      <c r="G18" s="3"/>
      <c r="H18" s="3"/>
      <c r="I18" s="18"/>
      <c r="J18" s="3"/>
      <c r="K18" s="3"/>
      <c r="L18" s="18"/>
      <c r="M18" s="3"/>
      <c r="N18" s="3"/>
      <c r="O18" s="18"/>
      <c r="P18" s="3"/>
      <c r="Q18" s="3"/>
      <c r="R18" s="18"/>
      <c r="S18" s="3"/>
      <c r="T18" s="3"/>
      <c r="U18" s="18"/>
      <c r="V18" s="18">
        <f t="shared" si="3"/>
        <v>0</v>
      </c>
      <c r="W18" s="4">
        <f t="shared" si="4"/>
        <v>0</v>
      </c>
    </row>
    <row r="19" spans="1:23" ht="24" customHeight="1">
      <c r="A19" s="6">
        <v>12</v>
      </c>
      <c r="B19" s="1" t="s">
        <v>80</v>
      </c>
      <c r="C19" s="2">
        <f>-0.1+(-375)</f>
        <v>-375.1</v>
      </c>
      <c r="D19" s="3">
        <f>96.1+394.7</f>
        <v>490.79999999999995</v>
      </c>
      <c r="E19" s="3">
        <v>0</v>
      </c>
      <c r="F19" s="18">
        <f t="shared" si="0"/>
        <v>0</v>
      </c>
      <c r="G19" s="3">
        <f>66.9+702.5</f>
        <v>769.4</v>
      </c>
      <c r="H19" s="3">
        <f>96+1033.5</f>
        <v>1129.5</v>
      </c>
      <c r="I19" s="18">
        <f t="shared" si="1"/>
        <v>146.80270340525087</v>
      </c>
      <c r="J19" s="3">
        <f>44.2+428.5</f>
        <v>472.7</v>
      </c>
      <c r="K19" s="3">
        <v>200</v>
      </c>
      <c r="L19" s="18">
        <f>K19/J19*100</f>
        <v>42.31013327691983</v>
      </c>
      <c r="M19" s="3">
        <f>D19+G19+J19</f>
        <v>1732.8999999999999</v>
      </c>
      <c r="N19" s="3">
        <f>E19+H19+K19</f>
        <v>1329.5</v>
      </c>
      <c r="O19" s="18">
        <f t="shared" si="2"/>
        <v>76.72110335276128</v>
      </c>
      <c r="P19" s="3">
        <v>0</v>
      </c>
      <c r="Q19" s="3">
        <v>0</v>
      </c>
      <c r="R19" s="40" t="e">
        <f>Q19/P19*100</f>
        <v>#DIV/0!</v>
      </c>
      <c r="S19" s="3">
        <f>M19+P19</f>
        <v>1732.8999999999999</v>
      </c>
      <c r="T19" s="3">
        <f>N19+Q19</f>
        <v>1329.5</v>
      </c>
      <c r="U19" s="18">
        <f t="shared" si="5"/>
        <v>76.72110335276128</v>
      </c>
      <c r="V19" s="18">
        <f t="shared" si="3"/>
        <v>403.39999999999986</v>
      </c>
      <c r="W19" s="4">
        <f t="shared" si="4"/>
        <v>28.299999999999727</v>
      </c>
    </row>
    <row r="20" spans="1:23" ht="24" customHeight="1">
      <c r="A20" s="6">
        <v>13</v>
      </c>
      <c r="B20" s="20" t="s">
        <v>57</v>
      </c>
      <c r="C20" s="2">
        <v>-1.7</v>
      </c>
      <c r="D20" s="3"/>
      <c r="E20" s="3"/>
      <c r="F20" s="40"/>
      <c r="G20" s="32"/>
      <c r="H20" s="32"/>
      <c r="I20" s="18"/>
      <c r="J20" s="32"/>
      <c r="K20" s="32"/>
      <c r="L20" s="18"/>
      <c r="M20" s="3"/>
      <c r="N20" s="3"/>
      <c r="O20" s="18"/>
      <c r="P20" s="32"/>
      <c r="Q20" s="32"/>
      <c r="R20" s="18"/>
      <c r="S20" s="3"/>
      <c r="T20" s="3"/>
      <c r="U20" s="18"/>
      <c r="V20" s="18">
        <f t="shared" si="3"/>
        <v>0</v>
      </c>
      <c r="W20" s="4">
        <f t="shared" si="4"/>
        <v>-1.7</v>
      </c>
    </row>
    <row r="21" spans="1:23" ht="24" customHeight="1">
      <c r="A21" s="6">
        <v>14</v>
      </c>
      <c r="B21" s="20" t="s">
        <v>58</v>
      </c>
      <c r="C21" s="2">
        <v>-438</v>
      </c>
      <c r="D21" s="3">
        <v>565.3</v>
      </c>
      <c r="E21" s="3">
        <v>0</v>
      </c>
      <c r="F21" s="18">
        <f t="shared" si="0"/>
        <v>0</v>
      </c>
      <c r="G21" s="56">
        <v>463.5</v>
      </c>
      <c r="H21" s="56">
        <v>580</v>
      </c>
      <c r="I21" s="18">
        <f t="shared" si="1"/>
        <v>125.13484358144554</v>
      </c>
      <c r="J21" s="56">
        <v>328.2</v>
      </c>
      <c r="K21" s="56">
        <v>390</v>
      </c>
      <c r="L21" s="18">
        <f>K21/J21*100</f>
        <v>118.82998171846435</v>
      </c>
      <c r="M21" s="3">
        <f>D21+G21+J21</f>
        <v>1357</v>
      </c>
      <c r="N21" s="3">
        <f>E21+H21+K21</f>
        <v>970</v>
      </c>
      <c r="O21" s="18">
        <f t="shared" si="2"/>
        <v>71.48120854826824</v>
      </c>
      <c r="P21" s="56">
        <v>134.8</v>
      </c>
      <c r="Q21" s="56">
        <v>126.3</v>
      </c>
      <c r="R21" s="18">
        <f>Q21/P21*100</f>
        <v>93.69436201780414</v>
      </c>
      <c r="S21" s="3">
        <f>M21+P21</f>
        <v>1491.8</v>
      </c>
      <c r="T21" s="3">
        <f>N21+Q21</f>
        <v>1096.3</v>
      </c>
      <c r="U21" s="18">
        <f>T21/S21*100</f>
        <v>73.48840327121599</v>
      </c>
      <c r="V21" s="18">
        <f t="shared" si="3"/>
        <v>395.5</v>
      </c>
      <c r="W21" s="4">
        <f t="shared" si="4"/>
        <v>-42.5</v>
      </c>
    </row>
    <row r="22" spans="1:23" ht="27" customHeight="1">
      <c r="A22" s="6">
        <v>15</v>
      </c>
      <c r="B22" s="20" t="s">
        <v>59</v>
      </c>
      <c r="C22" s="90">
        <v>0</v>
      </c>
      <c r="D22" s="32"/>
      <c r="E22" s="32"/>
      <c r="F22" s="48" t="e">
        <f t="shared" si="0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 t="e">
        <f>Q22/P22*100</f>
        <v>#DIV/0!</v>
      </c>
      <c r="S22" s="3"/>
      <c r="T22" s="3"/>
      <c r="U22" s="48" t="e">
        <f t="shared" si="5"/>
        <v>#DIV/0!</v>
      </c>
      <c r="V22" s="18">
        <f t="shared" si="3"/>
        <v>0</v>
      </c>
      <c r="W22" s="4">
        <f t="shared" si="4"/>
        <v>0</v>
      </c>
    </row>
    <row r="23" spans="1:23" ht="24" customHeight="1">
      <c r="A23" s="6">
        <v>16</v>
      </c>
      <c r="B23" s="20" t="s">
        <v>60</v>
      </c>
      <c r="C23" s="2"/>
      <c r="D23" s="119"/>
      <c r="E23" s="120"/>
      <c r="F23" s="120"/>
      <c r="G23" s="120"/>
      <c r="H23" s="120"/>
      <c r="I23" s="120"/>
      <c r="J23" s="120"/>
      <c r="K23" s="120"/>
      <c r="L23" s="120"/>
      <c r="M23" s="3"/>
      <c r="N23" s="3"/>
      <c r="O23" s="18"/>
      <c r="P23" s="120"/>
      <c r="Q23" s="120"/>
      <c r="R23" s="120"/>
      <c r="S23" s="3"/>
      <c r="T23" s="3"/>
      <c r="U23" s="120"/>
      <c r="V23" s="18">
        <f t="shared" si="3"/>
        <v>0</v>
      </c>
      <c r="W23" s="4">
        <f t="shared" si="4"/>
        <v>0</v>
      </c>
    </row>
    <row r="24" spans="1:23" ht="29.25" customHeight="1">
      <c r="A24" s="6">
        <v>17</v>
      </c>
      <c r="B24" s="20" t="s">
        <v>61</v>
      </c>
      <c r="C24" s="2">
        <v>-19.9</v>
      </c>
      <c r="D24" s="3">
        <v>468.9</v>
      </c>
      <c r="E24" s="3">
        <v>0</v>
      </c>
      <c r="F24" s="18">
        <f t="shared" si="0"/>
        <v>0</v>
      </c>
      <c r="G24" s="3">
        <v>443.2</v>
      </c>
      <c r="H24" s="3">
        <v>807.7</v>
      </c>
      <c r="I24" s="18">
        <f>H24/G24*100</f>
        <v>182.24277978339353</v>
      </c>
      <c r="J24" s="3">
        <v>251.9</v>
      </c>
      <c r="K24" s="3">
        <v>296.1</v>
      </c>
      <c r="L24" s="18">
        <f>K24/J24*100</f>
        <v>117.54664549424376</v>
      </c>
      <c r="M24" s="3">
        <f>D24+G24+J24</f>
        <v>1164</v>
      </c>
      <c r="N24" s="3">
        <f>E24+H24+K24</f>
        <v>1103.8000000000002</v>
      </c>
      <c r="O24" s="18">
        <f t="shared" si="2"/>
        <v>94.8281786941581</v>
      </c>
      <c r="P24" s="3">
        <v>0</v>
      </c>
      <c r="Q24" s="3">
        <v>40.7</v>
      </c>
      <c r="R24" s="40" t="e">
        <f>Q24/P24*100</f>
        <v>#DIV/0!</v>
      </c>
      <c r="S24" s="3">
        <f>M24+P24</f>
        <v>1164</v>
      </c>
      <c r="T24" s="3">
        <f>N24+Q24</f>
        <v>1144.5000000000002</v>
      </c>
      <c r="U24" s="18">
        <f>T24/S24*100</f>
        <v>98.32474226804125</v>
      </c>
      <c r="V24" s="18">
        <f t="shared" si="3"/>
        <v>19.499999999999773</v>
      </c>
      <c r="W24" s="4">
        <f t="shared" si="4"/>
        <v>-0.4000000000003183</v>
      </c>
    </row>
    <row r="25" spans="1:23" ht="24" customHeight="1">
      <c r="A25" s="6">
        <v>18</v>
      </c>
      <c r="B25" s="1" t="s">
        <v>62</v>
      </c>
      <c r="C25" s="2">
        <v>-42.5</v>
      </c>
      <c r="D25" s="3">
        <v>199.4</v>
      </c>
      <c r="E25" s="3">
        <v>33.6</v>
      </c>
      <c r="F25" s="18">
        <f t="shared" si="0"/>
        <v>16.850551654964896</v>
      </c>
      <c r="G25" s="56">
        <v>183.7</v>
      </c>
      <c r="H25" s="56">
        <v>369.6</v>
      </c>
      <c r="I25" s="45">
        <f>H25/G25*100</f>
        <v>201.1976047904192</v>
      </c>
      <c r="J25" s="56">
        <v>125.4</v>
      </c>
      <c r="K25" s="56">
        <v>125.4</v>
      </c>
      <c r="L25" s="45">
        <f>K25/J25*100</f>
        <v>100</v>
      </c>
      <c r="M25" s="3">
        <f>D25+G25+J25</f>
        <v>508.5</v>
      </c>
      <c r="N25" s="3">
        <f>E25+H25+K25</f>
        <v>528.6</v>
      </c>
      <c r="O25" s="18">
        <f t="shared" si="2"/>
        <v>103.952802359882</v>
      </c>
      <c r="P25" s="56">
        <v>62.7</v>
      </c>
      <c r="Q25" s="56">
        <v>0</v>
      </c>
      <c r="R25" s="45">
        <f>Q25/P25*100</f>
        <v>0</v>
      </c>
      <c r="S25" s="3">
        <f>M25+P25</f>
        <v>571.2</v>
      </c>
      <c r="T25" s="3">
        <f>N25+Q25</f>
        <v>528.6</v>
      </c>
      <c r="U25" s="18">
        <f>T25/S25*100</f>
        <v>92.54201680672269</v>
      </c>
      <c r="V25" s="18">
        <f t="shared" si="3"/>
        <v>42.60000000000002</v>
      </c>
      <c r="W25" s="4">
        <f t="shared" si="4"/>
        <v>0.10000000000002274</v>
      </c>
    </row>
    <row r="26" spans="1:23" s="55" customFormat="1" ht="24" customHeight="1">
      <c r="A26" s="6">
        <v>19</v>
      </c>
      <c r="B26" s="20" t="s">
        <v>63</v>
      </c>
      <c r="C26" s="90">
        <v>0</v>
      </c>
      <c r="D26" s="32"/>
      <c r="E26" s="32"/>
      <c r="F26" s="48" t="e">
        <f t="shared" si="0"/>
        <v>#DIV/0!</v>
      </c>
      <c r="G26" s="3"/>
      <c r="H26" s="3"/>
      <c r="I26" s="18"/>
      <c r="J26" s="3"/>
      <c r="K26" s="3"/>
      <c r="L26" s="18"/>
      <c r="M26" s="3"/>
      <c r="N26" s="3"/>
      <c r="O26" s="18"/>
      <c r="P26" s="3"/>
      <c r="Q26" s="3"/>
      <c r="R26" s="18"/>
      <c r="S26" s="3"/>
      <c r="T26" s="3"/>
      <c r="U26" s="18"/>
      <c r="V26" s="18">
        <f t="shared" si="3"/>
        <v>0</v>
      </c>
      <c r="W26" s="4">
        <f t="shared" si="4"/>
        <v>0</v>
      </c>
    </row>
    <row r="27" spans="1:23" ht="39" customHeight="1">
      <c r="A27" s="6">
        <v>20</v>
      </c>
      <c r="B27" s="20" t="s">
        <v>93</v>
      </c>
      <c r="C27" s="90">
        <v>0</v>
      </c>
      <c r="D27" s="3"/>
      <c r="E27" s="3"/>
      <c r="F27" s="18"/>
      <c r="G27" s="3"/>
      <c r="H27" s="3"/>
      <c r="I27" s="18"/>
      <c r="J27" s="3"/>
      <c r="K27" s="3"/>
      <c r="L27" s="18"/>
      <c r="M27" s="3"/>
      <c r="N27" s="3"/>
      <c r="O27" s="18"/>
      <c r="P27" s="3"/>
      <c r="Q27" s="3"/>
      <c r="R27" s="18"/>
      <c r="S27" s="3"/>
      <c r="T27" s="3"/>
      <c r="U27" s="18"/>
      <c r="V27" s="18">
        <f t="shared" si="3"/>
        <v>0</v>
      </c>
      <c r="W27" s="4">
        <f t="shared" si="4"/>
        <v>0</v>
      </c>
    </row>
    <row r="28" spans="1:23" ht="31.5" customHeight="1">
      <c r="A28" s="6">
        <v>21</v>
      </c>
      <c r="B28" s="1" t="s">
        <v>64</v>
      </c>
      <c r="C28" s="90">
        <v>0</v>
      </c>
      <c r="D28" s="32"/>
      <c r="E28" s="32"/>
      <c r="F28" s="48" t="e">
        <f t="shared" si="0"/>
        <v>#DIV/0!</v>
      </c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 t="e">
        <f>Q28/P28*100</f>
        <v>#DIV/0!</v>
      </c>
      <c r="S28" s="3"/>
      <c r="T28" s="3"/>
      <c r="U28" s="18"/>
      <c r="V28" s="18">
        <f t="shared" si="3"/>
        <v>0</v>
      </c>
      <c r="W28" s="4">
        <f t="shared" si="4"/>
        <v>0</v>
      </c>
    </row>
    <row r="29" spans="1:23" ht="24" customHeight="1">
      <c r="A29" s="6">
        <v>22</v>
      </c>
      <c r="B29" s="1" t="s">
        <v>65</v>
      </c>
      <c r="C29" s="58"/>
      <c r="D29" s="47"/>
      <c r="E29" s="47"/>
      <c r="F29" s="47"/>
      <c r="G29" s="47"/>
      <c r="H29" s="47"/>
      <c r="I29" s="47"/>
      <c r="J29" s="47"/>
      <c r="K29" s="47"/>
      <c r="L29" s="47"/>
      <c r="M29" s="3"/>
      <c r="N29" s="3"/>
      <c r="O29" s="18"/>
      <c r="P29" s="47"/>
      <c r="Q29" s="47"/>
      <c r="R29" s="47"/>
      <c r="S29" s="3"/>
      <c r="T29" s="3"/>
      <c r="U29" s="47"/>
      <c r="V29" s="18">
        <f t="shared" si="3"/>
        <v>0</v>
      </c>
      <c r="W29" s="4">
        <f t="shared" si="4"/>
        <v>0</v>
      </c>
    </row>
    <row r="30" spans="1:23" ht="24" customHeight="1">
      <c r="A30" s="6">
        <v>23</v>
      </c>
      <c r="B30" s="20" t="s">
        <v>66</v>
      </c>
      <c r="C30" s="59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18"/>
      <c r="P30" s="47"/>
      <c r="Q30" s="47"/>
      <c r="R30" s="47"/>
      <c r="S30" s="3"/>
      <c r="T30" s="3"/>
      <c r="U30" s="47"/>
      <c r="V30" s="18">
        <f t="shared" si="3"/>
        <v>0</v>
      </c>
      <c r="W30" s="4">
        <f t="shared" si="4"/>
        <v>0</v>
      </c>
    </row>
    <row r="31" spans="1:23" ht="24" customHeight="1">
      <c r="A31" s="6">
        <v>24</v>
      </c>
      <c r="B31" s="20" t="s">
        <v>67</v>
      </c>
      <c r="C31" s="59"/>
      <c r="D31" s="47"/>
      <c r="E31" s="47"/>
      <c r="F31" s="47"/>
      <c r="G31" s="47"/>
      <c r="H31" s="47"/>
      <c r="I31" s="47"/>
      <c r="J31" s="47"/>
      <c r="K31" s="47"/>
      <c r="L31" s="47"/>
      <c r="M31" s="3"/>
      <c r="N31" s="3"/>
      <c r="O31" s="18"/>
      <c r="P31" s="47"/>
      <c r="Q31" s="47"/>
      <c r="R31" s="47"/>
      <c r="S31" s="3"/>
      <c r="T31" s="3"/>
      <c r="U31" s="47"/>
      <c r="V31" s="18">
        <f t="shared" si="3"/>
        <v>0</v>
      </c>
      <c r="W31" s="4">
        <f t="shared" si="4"/>
        <v>0</v>
      </c>
    </row>
    <row r="32" spans="1:23" ht="24" customHeight="1">
      <c r="A32" s="6">
        <v>25</v>
      </c>
      <c r="B32" s="20" t="s">
        <v>87</v>
      </c>
      <c r="C32" s="2"/>
      <c r="D32" s="32"/>
      <c r="E32" s="32"/>
      <c r="F32" s="48" t="e">
        <f t="shared" si="0"/>
        <v>#DIV/0!</v>
      </c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"/>
      <c r="T32" s="3"/>
      <c r="U32" s="48"/>
      <c r="V32" s="18">
        <f t="shared" si="3"/>
        <v>0</v>
      </c>
      <c r="W32" s="4">
        <f t="shared" si="4"/>
        <v>0</v>
      </c>
    </row>
    <row r="33" spans="1:23" ht="24" customHeight="1">
      <c r="A33" s="6"/>
      <c r="B33" s="20" t="s">
        <v>105</v>
      </c>
      <c r="C33" s="2">
        <v>-672.5</v>
      </c>
      <c r="D33" s="3">
        <v>766.8</v>
      </c>
      <c r="E33" s="3">
        <v>535.8</v>
      </c>
      <c r="F33" s="18">
        <v>0</v>
      </c>
      <c r="G33" s="3">
        <v>546.8</v>
      </c>
      <c r="H33" s="3">
        <v>528.8</v>
      </c>
      <c r="I33" s="18">
        <f aca="true" t="shared" si="6" ref="I33:I45">H33/G33*100</f>
        <v>96.70811997073885</v>
      </c>
      <c r="J33" s="3">
        <v>412.1</v>
      </c>
      <c r="K33" s="3">
        <v>31.5</v>
      </c>
      <c r="L33" s="18">
        <f aca="true" t="shared" si="7" ref="L33:L40">K33/J33*100</f>
        <v>7.643775782577043</v>
      </c>
      <c r="M33" s="3">
        <f aca="true" t="shared" si="8" ref="M33:N39">D33+G33+J33</f>
        <v>1725.6999999999998</v>
      </c>
      <c r="N33" s="3">
        <f t="shared" si="8"/>
        <v>1096.1</v>
      </c>
      <c r="O33" s="18">
        <f t="shared" si="2"/>
        <v>63.51625427362809</v>
      </c>
      <c r="P33" s="3">
        <v>215.1</v>
      </c>
      <c r="Q33" s="3">
        <v>373.2</v>
      </c>
      <c r="R33" s="18">
        <f aca="true" t="shared" si="9" ref="R33:R40">Q33/P33*100</f>
        <v>173.50069735006974</v>
      </c>
      <c r="S33" s="3">
        <f aca="true" t="shared" si="10" ref="S33:T39">M33+P33</f>
        <v>1940.7999999999997</v>
      </c>
      <c r="T33" s="3">
        <f t="shared" si="10"/>
        <v>1469.3</v>
      </c>
      <c r="U33" s="18">
        <f>T33/S33*100</f>
        <v>75.70589447650454</v>
      </c>
      <c r="V33" s="18">
        <f t="shared" si="3"/>
        <v>471.4999999999998</v>
      </c>
      <c r="W33" s="4">
        <f t="shared" si="4"/>
        <v>-201.00000000000023</v>
      </c>
    </row>
    <row r="34" spans="1:23" ht="24.75" customHeight="1">
      <c r="A34" s="28"/>
      <c r="B34" s="20" t="s">
        <v>69</v>
      </c>
      <c r="C34" s="2">
        <v>0</v>
      </c>
      <c r="D34" s="3">
        <v>459.7</v>
      </c>
      <c r="E34" s="3">
        <v>0</v>
      </c>
      <c r="F34" s="18">
        <f t="shared" si="0"/>
        <v>0</v>
      </c>
      <c r="G34" s="3">
        <v>752.8</v>
      </c>
      <c r="H34" s="3">
        <v>0</v>
      </c>
      <c r="I34" s="18">
        <f t="shared" si="6"/>
        <v>0</v>
      </c>
      <c r="J34" s="3">
        <v>583.4</v>
      </c>
      <c r="K34" s="3">
        <v>1796</v>
      </c>
      <c r="L34" s="18">
        <f t="shared" si="7"/>
        <v>307.8505313678437</v>
      </c>
      <c r="M34" s="3">
        <f t="shared" si="8"/>
        <v>1795.9</v>
      </c>
      <c r="N34" s="3">
        <f t="shared" si="8"/>
        <v>1796</v>
      </c>
      <c r="O34" s="18">
        <f t="shared" si="2"/>
        <v>100.00556823876607</v>
      </c>
      <c r="P34" s="3">
        <v>68.3</v>
      </c>
      <c r="Q34" s="3">
        <v>68.3</v>
      </c>
      <c r="R34" s="18">
        <f t="shared" si="9"/>
        <v>100</v>
      </c>
      <c r="S34" s="3">
        <f t="shared" si="10"/>
        <v>1864.2</v>
      </c>
      <c r="T34" s="3">
        <f t="shared" si="10"/>
        <v>1864.3</v>
      </c>
      <c r="U34" s="18">
        <f>T34/S34*100</f>
        <v>100.00536423130566</v>
      </c>
      <c r="V34" s="18">
        <f t="shared" si="3"/>
        <v>-0.09999999999990905</v>
      </c>
      <c r="W34" s="4">
        <f t="shared" si="4"/>
        <v>-0.09999999999990905</v>
      </c>
    </row>
    <row r="35" spans="1:23" ht="30.75" customHeight="1">
      <c r="A35" s="6">
        <v>26</v>
      </c>
      <c r="B35" s="20" t="s">
        <v>94</v>
      </c>
      <c r="C35" s="2">
        <v>0.1</v>
      </c>
      <c r="D35" s="3">
        <v>95.2</v>
      </c>
      <c r="E35" s="3">
        <v>166.9</v>
      </c>
      <c r="F35" s="18">
        <f t="shared" si="0"/>
        <v>175.31512605042016</v>
      </c>
      <c r="G35" s="3">
        <v>306.5</v>
      </c>
      <c r="H35" s="3">
        <v>341.1</v>
      </c>
      <c r="I35" s="18">
        <f t="shared" si="6"/>
        <v>111.28874388254486</v>
      </c>
      <c r="J35" s="3">
        <v>184</v>
      </c>
      <c r="K35" s="3">
        <v>0</v>
      </c>
      <c r="L35" s="18">
        <f t="shared" si="7"/>
        <v>0</v>
      </c>
      <c r="M35" s="3">
        <f t="shared" si="8"/>
        <v>585.7</v>
      </c>
      <c r="N35" s="3">
        <f t="shared" si="8"/>
        <v>508</v>
      </c>
      <c r="O35" s="18">
        <f t="shared" si="2"/>
        <v>86.73382277616527</v>
      </c>
      <c r="P35" s="3">
        <v>0</v>
      </c>
      <c r="Q35" s="3">
        <v>78.2</v>
      </c>
      <c r="R35" s="40" t="e">
        <f t="shared" si="9"/>
        <v>#DIV/0!</v>
      </c>
      <c r="S35" s="3">
        <f t="shared" si="10"/>
        <v>585.7</v>
      </c>
      <c r="T35" s="3">
        <f t="shared" si="10"/>
        <v>586.2</v>
      </c>
      <c r="U35" s="18">
        <f aca="true" t="shared" si="11" ref="U35:U44">T35/S35*100</f>
        <v>100.08536793580332</v>
      </c>
      <c r="V35" s="18">
        <f t="shared" si="3"/>
        <v>-0.5</v>
      </c>
      <c r="W35" s="4">
        <f t="shared" si="4"/>
        <v>-0.39999999999997726</v>
      </c>
    </row>
    <row r="36" spans="1:23" ht="24" customHeight="1">
      <c r="A36" s="6">
        <v>27</v>
      </c>
      <c r="B36" s="1" t="s">
        <v>70</v>
      </c>
      <c r="C36" s="2">
        <v>-428.2</v>
      </c>
      <c r="D36" s="3">
        <v>450.5</v>
      </c>
      <c r="E36" s="3">
        <v>0</v>
      </c>
      <c r="F36" s="18">
        <f t="shared" si="0"/>
        <v>0</v>
      </c>
      <c r="G36" s="3">
        <v>376.9</v>
      </c>
      <c r="H36" s="3">
        <v>636.9</v>
      </c>
      <c r="I36" s="18">
        <f t="shared" si="6"/>
        <v>168.9838153356328</v>
      </c>
      <c r="J36" s="3">
        <v>256.6</v>
      </c>
      <c r="K36" s="3">
        <v>159.7</v>
      </c>
      <c r="L36" s="18">
        <f t="shared" si="7"/>
        <v>62.23694466095089</v>
      </c>
      <c r="M36" s="3">
        <f t="shared" si="8"/>
        <v>1084</v>
      </c>
      <c r="N36" s="3">
        <f t="shared" si="8"/>
        <v>796.5999999999999</v>
      </c>
      <c r="O36" s="18">
        <f t="shared" si="2"/>
        <v>73.48708487084869</v>
      </c>
      <c r="P36" s="3">
        <v>28</v>
      </c>
      <c r="Q36" s="3">
        <v>0</v>
      </c>
      <c r="R36" s="18">
        <f t="shared" si="9"/>
        <v>0</v>
      </c>
      <c r="S36" s="3">
        <f t="shared" si="10"/>
        <v>1112</v>
      </c>
      <c r="T36" s="3">
        <f t="shared" si="10"/>
        <v>796.5999999999999</v>
      </c>
      <c r="U36" s="18">
        <f t="shared" si="11"/>
        <v>71.636690647482</v>
      </c>
      <c r="V36" s="18">
        <f t="shared" si="3"/>
        <v>315.4000000000001</v>
      </c>
      <c r="W36" s="4">
        <f t="shared" si="4"/>
        <v>-112.79999999999995</v>
      </c>
    </row>
    <row r="37" spans="1:23" ht="24" customHeight="1">
      <c r="A37" s="6">
        <v>28</v>
      </c>
      <c r="B37" s="20" t="s">
        <v>71</v>
      </c>
      <c r="C37" s="2">
        <f>-515.1-(-438)</f>
        <v>-77.10000000000002</v>
      </c>
      <c r="D37" s="3">
        <f>1120.5-565.3</f>
        <v>555.2</v>
      </c>
      <c r="E37" s="3">
        <v>0</v>
      </c>
      <c r="F37" s="18">
        <f t="shared" si="0"/>
        <v>0</v>
      </c>
      <c r="G37" s="3">
        <f>935-463.5</f>
        <v>471.5</v>
      </c>
      <c r="H37" s="3">
        <f>784.8-580</f>
        <v>204.79999999999995</v>
      </c>
      <c r="I37" s="18">
        <f t="shared" si="6"/>
        <v>43.43584305408271</v>
      </c>
      <c r="J37" s="3">
        <f>604-328.2</f>
        <v>275.8</v>
      </c>
      <c r="K37" s="3">
        <f>1340.7-390</f>
        <v>950.7</v>
      </c>
      <c r="L37" s="18">
        <f t="shared" si="7"/>
        <v>344.7063089195069</v>
      </c>
      <c r="M37" s="3">
        <f t="shared" si="8"/>
        <v>1302.5</v>
      </c>
      <c r="N37" s="3">
        <f t="shared" si="8"/>
        <v>1155.5</v>
      </c>
      <c r="O37" s="18">
        <f t="shared" si="2"/>
        <v>88.71401151631478</v>
      </c>
      <c r="P37" s="3">
        <f>134.8-169.9</f>
        <v>-35.099999999999994</v>
      </c>
      <c r="Q37" s="3">
        <f>126.3-306.4</f>
        <v>-180.09999999999997</v>
      </c>
      <c r="R37" s="18">
        <f t="shared" si="9"/>
        <v>513.105413105413</v>
      </c>
      <c r="S37" s="3">
        <f t="shared" si="10"/>
        <v>1267.4</v>
      </c>
      <c r="T37" s="3">
        <f t="shared" si="10"/>
        <v>975.4000000000001</v>
      </c>
      <c r="U37" s="18">
        <f t="shared" si="11"/>
        <v>76.96070695912893</v>
      </c>
      <c r="V37" s="18">
        <f t="shared" si="3"/>
        <v>292</v>
      </c>
      <c r="W37" s="4">
        <f t="shared" si="4"/>
        <v>214.9000000000001</v>
      </c>
    </row>
    <row r="38" spans="1:23" ht="24" customHeight="1">
      <c r="A38" s="6">
        <v>29</v>
      </c>
      <c r="B38" s="20" t="s">
        <v>72</v>
      </c>
      <c r="C38" s="2">
        <v>-257.6</v>
      </c>
      <c r="D38" s="3">
        <v>419.3</v>
      </c>
      <c r="E38" s="3">
        <v>0</v>
      </c>
      <c r="F38" s="18">
        <f t="shared" si="0"/>
        <v>0</v>
      </c>
      <c r="G38" s="3">
        <v>341.1</v>
      </c>
      <c r="H38" s="3">
        <v>315.7</v>
      </c>
      <c r="I38" s="18">
        <f t="shared" si="6"/>
        <v>92.55350337144532</v>
      </c>
      <c r="J38" s="3">
        <v>217.4</v>
      </c>
      <c r="K38" s="3">
        <v>386.7</v>
      </c>
      <c r="L38" s="18">
        <f t="shared" si="7"/>
        <v>177.8748850045998</v>
      </c>
      <c r="M38" s="3">
        <f t="shared" si="8"/>
        <v>977.8000000000001</v>
      </c>
      <c r="N38" s="3">
        <f t="shared" si="8"/>
        <v>702.4</v>
      </c>
      <c r="O38" s="18">
        <f t="shared" si="2"/>
        <v>71.83473102884025</v>
      </c>
      <c r="P38" s="3">
        <v>18.8</v>
      </c>
      <c r="Q38" s="3">
        <v>76.7</v>
      </c>
      <c r="R38" s="18">
        <f t="shared" si="9"/>
        <v>407.9787234042553</v>
      </c>
      <c r="S38" s="3">
        <f t="shared" si="10"/>
        <v>996.6</v>
      </c>
      <c r="T38" s="3">
        <f t="shared" si="10"/>
        <v>779.1</v>
      </c>
      <c r="U38" s="18">
        <f t="shared" si="11"/>
        <v>78.17579771222155</v>
      </c>
      <c r="V38" s="18">
        <f t="shared" si="3"/>
        <v>217.5</v>
      </c>
      <c r="W38" s="4">
        <f t="shared" si="4"/>
        <v>-40.10000000000002</v>
      </c>
    </row>
    <row r="39" spans="1:23" s="55" customFormat="1" ht="37.5" customHeight="1">
      <c r="A39" s="6">
        <v>30</v>
      </c>
      <c r="B39" s="20" t="s">
        <v>95</v>
      </c>
      <c r="C39" s="2">
        <v>-30.7</v>
      </c>
      <c r="D39" s="3">
        <v>883.9</v>
      </c>
      <c r="E39" s="3">
        <v>0</v>
      </c>
      <c r="F39" s="18">
        <f t="shared" si="0"/>
        <v>0</v>
      </c>
      <c r="G39" s="3">
        <v>693.9</v>
      </c>
      <c r="H39" s="3">
        <v>199.8</v>
      </c>
      <c r="I39" s="18">
        <f t="shared" si="6"/>
        <v>28.793774319066152</v>
      </c>
      <c r="J39" s="3">
        <v>474.2</v>
      </c>
      <c r="K39" s="3">
        <v>2365.2</v>
      </c>
      <c r="L39" s="18">
        <f t="shared" si="7"/>
        <v>498.7768873892872</v>
      </c>
      <c r="M39" s="3">
        <f t="shared" si="8"/>
        <v>2052</v>
      </c>
      <c r="N39" s="3">
        <f t="shared" si="8"/>
        <v>2565</v>
      </c>
      <c r="O39" s="18">
        <f t="shared" si="2"/>
        <v>125</v>
      </c>
      <c r="P39" s="3">
        <v>69.7</v>
      </c>
      <c r="Q39" s="3">
        <v>251.4</v>
      </c>
      <c r="R39" s="18">
        <f t="shared" si="9"/>
        <v>360.6886657101865</v>
      </c>
      <c r="S39" s="3">
        <f t="shared" si="10"/>
        <v>2121.7</v>
      </c>
      <c r="T39" s="3">
        <f t="shared" si="10"/>
        <v>2816.4</v>
      </c>
      <c r="U39" s="18">
        <f t="shared" si="11"/>
        <v>132.7426120563699</v>
      </c>
      <c r="V39" s="18">
        <f t="shared" si="3"/>
        <v>-694.7000000000003</v>
      </c>
      <c r="W39" s="4">
        <f t="shared" si="4"/>
        <v>-725.4000000000001</v>
      </c>
    </row>
    <row r="40" spans="1:23" ht="24.75" customHeight="1">
      <c r="A40" s="6">
        <v>31</v>
      </c>
      <c r="B40" s="20" t="s">
        <v>73</v>
      </c>
      <c r="C40" s="90">
        <v>0</v>
      </c>
      <c r="D40" s="32"/>
      <c r="E40" s="32"/>
      <c r="F40" s="48" t="e">
        <f t="shared" si="0"/>
        <v>#DIV/0!</v>
      </c>
      <c r="G40" s="3"/>
      <c r="H40" s="3"/>
      <c r="I40" s="40" t="e">
        <f t="shared" si="6"/>
        <v>#DIV/0!</v>
      </c>
      <c r="J40" s="3"/>
      <c r="K40" s="3"/>
      <c r="L40" s="40" t="e">
        <f t="shared" si="7"/>
        <v>#DIV/0!</v>
      </c>
      <c r="M40" s="3"/>
      <c r="N40" s="3"/>
      <c r="O40" s="18"/>
      <c r="P40" s="3"/>
      <c r="Q40" s="3"/>
      <c r="R40" s="40" t="e">
        <f t="shared" si="9"/>
        <v>#DIV/0!</v>
      </c>
      <c r="S40" s="3"/>
      <c r="T40" s="3"/>
      <c r="U40" s="18"/>
      <c r="V40" s="18">
        <f t="shared" si="3"/>
        <v>0</v>
      </c>
      <c r="W40" s="4">
        <f t="shared" si="4"/>
        <v>0</v>
      </c>
    </row>
    <row r="41" spans="1:23" s="55" customFormat="1" ht="36.75" customHeight="1">
      <c r="A41" s="6">
        <v>32</v>
      </c>
      <c r="B41" s="1" t="s">
        <v>74</v>
      </c>
      <c r="C41" s="90"/>
      <c r="D41" s="32"/>
      <c r="E41" s="32"/>
      <c r="F41" s="48" t="e">
        <f t="shared" si="0"/>
        <v>#DIV/0!</v>
      </c>
      <c r="G41" s="3"/>
      <c r="H41" s="3"/>
      <c r="I41" s="18"/>
      <c r="J41" s="3"/>
      <c r="K41" s="3"/>
      <c r="L41" s="18"/>
      <c r="M41" s="3"/>
      <c r="N41" s="3"/>
      <c r="O41" s="18"/>
      <c r="P41" s="3"/>
      <c r="Q41" s="3"/>
      <c r="R41" s="18"/>
      <c r="S41" s="3"/>
      <c r="T41" s="3"/>
      <c r="U41" s="18"/>
      <c r="V41" s="18">
        <f t="shared" si="3"/>
        <v>0</v>
      </c>
      <c r="W41" s="4">
        <f t="shared" si="4"/>
        <v>0</v>
      </c>
    </row>
    <row r="42" spans="1:23" s="55" customFormat="1" ht="19.5" customHeight="1">
      <c r="A42" s="6">
        <v>33</v>
      </c>
      <c r="B42" s="20" t="s">
        <v>75</v>
      </c>
      <c r="C42" s="2">
        <v>5.8</v>
      </c>
      <c r="D42" s="3">
        <v>505.8</v>
      </c>
      <c r="E42" s="3">
        <v>0</v>
      </c>
      <c r="F42" s="18">
        <f t="shared" si="0"/>
        <v>0</v>
      </c>
      <c r="G42" s="3">
        <v>467</v>
      </c>
      <c r="H42" s="3">
        <v>504.3</v>
      </c>
      <c r="I42" s="18">
        <f t="shared" si="6"/>
        <v>107.98715203426124</v>
      </c>
      <c r="J42" s="3">
        <v>256.4</v>
      </c>
      <c r="K42" s="3">
        <v>476.4</v>
      </c>
      <c r="L42" s="18">
        <f>K42/J42*100</f>
        <v>185.80343213728548</v>
      </c>
      <c r="M42" s="3">
        <f>D42+G42+J42</f>
        <v>1229.1999999999998</v>
      </c>
      <c r="N42" s="3">
        <f>E42+H42+K42</f>
        <v>980.7</v>
      </c>
      <c r="O42" s="18">
        <f t="shared" si="2"/>
        <v>79.78359908883829</v>
      </c>
      <c r="P42" s="3">
        <v>9.5</v>
      </c>
      <c r="Q42" s="3">
        <v>256.4</v>
      </c>
      <c r="R42" s="18">
        <f>Q42/P42*100</f>
        <v>2698.9473684210525</v>
      </c>
      <c r="S42" s="3">
        <f>M42+P42</f>
        <v>1238.6999999999998</v>
      </c>
      <c r="T42" s="3">
        <f>N42+Q42</f>
        <v>1237.1</v>
      </c>
      <c r="U42" s="18">
        <f t="shared" si="11"/>
        <v>99.87083232421088</v>
      </c>
      <c r="V42" s="18">
        <f t="shared" si="3"/>
        <v>1.599999999999909</v>
      </c>
      <c r="W42" s="4">
        <f t="shared" si="4"/>
        <v>7.399999999999864</v>
      </c>
    </row>
    <row r="43" spans="1:23" s="9" customFormat="1" ht="24.75" customHeight="1">
      <c r="A43" s="50">
        <v>34</v>
      </c>
      <c r="B43" s="22" t="s">
        <v>76</v>
      </c>
      <c r="C43" s="60">
        <f>C44+C45</f>
        <v>-4176</v>
      </c>
      <c r="D43" s="60">
        <f>D44+D45</f>
        <v>18212.7</v>
      </c>
      <c r="E43" s="60">
        <f>E44+E45</f>
        <v>63</v>
      </c>
      <c r="F43" s="18">
        <f t="shared" si="0"/>
        <v>0.34591246767365624</v>
      </c>
      <c r="G43" s="60">
        <f>G44+G45</f>
        <v>16623.8</v>
      </c>
      <c r="H43" s="60">
        <f>H44+H45</f>
        <v>12059.7</v>
      </c>
      <c r="I43" s="18">
        <f>H43/G43*100</f>
        <v>72.54478518750226</v>
      </c>
      <c r="J43" s="60">
        <f>J44+J45</f>
        <v>12335.2</v>
      </c>
      <c r="K43" s="60">
        <f>K44+K45</f>
        <v>23163</v>
      </c>
      <c r="L43" s="18">
        <f>K43/J43*100</f>
        <v>187.77968739866398</v>
      </c>
      <c r="M43" s="60">
        <f>M44+M45</f>
        <v>47171.7</v>
      </c>
      <c r="N43" s="60">
        <f>N44+N45</f>
        <v>35285.7</v>
      </c>
      <c r="O43" s="18">
        <f t="shared" si="2"/>
        <v>74.80268890033643</v>
      </c>
      <c r="P43" s="60">
        <f>P44+P45</f>
        <v>6473.3</v>
      </c>
      <c r="Q43" s="60">
        <f>Q44+Q45</f>
        <v>10126.4</v>
      </c>
      <c r="R43" s="18">
        <f>Q43/P43*100</f>
        <v>156.43334929634034</v>
      </c>
      <c r="S43" s="60">
        <f>S44+S45</f>
        <v>53645</v>
      </c>
      <c r="T43" s="60">
        <f>T44+T45</f>
        <v>45412.1</v>
      </c>
      <c r="U43" s="18">
        <f t="shared" si="11"/>
        <v>84.65299655140274</v>
      </c>
      <c r="V43" s="61">
        <f>V44+V45</f>
        <v>8232.9</v>
      </c>
      <c r="W43" s="61">
        <f>W44+W45</f>
        <v>4056.9</v>
      </c>
    </row>
    <row r="44" spans="1:23" s="9" customFormat="1" ht="24.75" customHeight="1">
      <c r="A44" s="50"/>
      <c r="B44" s="1" t="s">
        <v>77</v>
      </c>
      <c r="C44" s="2">
        <v>-4176</v>
      </c>
      <c r="D44" s="3">
        <v>16995</v>
      </c>
      <c r="E44" s="3">
        <v>63</v>
      </c>
      <c r="F44" s="18">
        <f t="shared" si="0"/>
        <v>0.37069726390114743</v>
      </c>
      <c r="G44" s="3">
        <v>15248</v>
      </c>
      <c r="H44" s="3">
        <v>10842</v>
      </c>
      <c r="I44" s="18">
        <f t="shared" si="6"/>
        <v>71.10440713536201</v>
      </c>
      <c r="J44" s="3">
        <v>11386</v>
      </c>
      <c r="K44" s="3">
        <v>21799</v>
      </c>
      <c r="L44" s="18">
        <f>K44/J44*100</f>
        <v>191.45441770595468</v>
      </c>
      <c r="M44" s="3">
        <f>D44+G44+J44</f>
        <v>43629</v>
      </c>
      <c r="N44" s="3">
        <f>E44+H44+K44</f>
        <v>32704</v>
      </c>
      <c r="O44" s="18">
        <f t="shared" si="2"/>
        <v>74.95931605125031</v>
      </c>
      <c r="P44" s="3">
        <v>6152</v>
      </c>
      <c r="Q44" s="3">
        <v>9098</v>
      </c>
      <c r="R44" s="18">
        <f>Q44/P44*100</f>
        <v>147.88686605981795</v>
      </c>
      <c r="S44" s="3">
        <f>M44+P44</f>
        <v>49781</v>
      </c>
      <c r="T44" s="3">
        <f>N44+Q44</f>
        <v>41802</v>
      </c>
      <c r="U44" s="18">
        <f t="shared" si="11"/>
        <v>83.97179646853216</v>
      </c>
      <c r="V44" s="18">
        <f>S44-T44</f>
        <v>7979</v>
      </c>
      <c r="W44" s="4">
        <f>C44+S44-T44</f>
        <v>3803</v>
      </c>
    </row>
    <row r="45" spans="1:23" s="9" customFormat="1" ht="24.75" customHeight="1">
      <c r="A45" s="50"/>
      <c r="B45" s="1" t="s">
        <v>69</v>
      </c>
      <c r="C45" s="2">
        <v>0</v>
      </c>
      <c r="D45" s="3">
        <v>1217.7</v>
      </c>
      <c r="E45" s="3">
        <v>0</v>
      </c>
      <c r="F45" s="18">
        <f>E45/D45*100</f>
        <v>0</v>
      </c>
      <c r="G45" s="56">
        <v>1375.8</v>
      </c>
      <c r="H45" s="56">
        <v>1217.7</v>
      </c>
      <c r="I45" s="18">
        <f t="shared" si="6"/>
        <v>88.50850414304405</v>
      </c>
      <c r="J45" s="56">
        <v>949.2</v>
      </c>
      <c r="K45" s="56">
        <v>1364</v>
      </c>
      <c r="L45" s="18">
        <f>K45/J45*100</f>
        <v>143.6999578592499</v>
      </c>
      <c r="M45" s="3">
        <f>D45+G45+J45</f>
        <v>3542.7</v>
      </c>
      <c r="N45" s="3">
        <f>E45+H45+K45</f>
        <v>2581.7</v>
      </c>
      <c r="O45" s="18">
        <f t="shared" si="2"/>
        <v>72.87379682163322</v>
      </c>
      <c r="P45" s="56">
        <v>321.3</v>
      </c>
      <c r="Q45" s="56">
        <v>1028.4</v>
      </c>
      <c r="R45" s="18">
        <f>Q45/P45*100</f>
        <v>320.0746965452848</v>
      </c>
      <c r="S45" s="3">
        <f>M45+P45</f>
        <v>3864</v>
      </c>
      <c r="T45" s="3">
        <f>N45+Q45</f>
        <v>3610.1</v>
      </c>
      <c r="U45" s="18">
        <f>T45/S45*100</f>
        <v>93.42908902691511</v>
      </c>
      <c r="V45" s="18">
        <f>S45-T45</f>
        <v>253.9000000000001</v>
      </c>
      <c r="W45" s="4">
        <f>C45+S45-T45</f>
        <v>253.9000000000001</v>
      </c>
    </row>
    <row r="46" spans="1:25" s="9" customFormat="1" ht="24.75" customHeight="1">
      <c r="A46" s="50"/>
      <c r="B46" s="22" t="s">
        <v>78</v>
      </c>
      <c r="C46" s="60">
        <f>C7+C43</f>
        <v>-6705.9</v>
      </c>
      <c r="D46" s="4">
        <f>D7+D43</f>
        <v>25108.6</v>
      </c>
      <c r="E46" s="4">
        <f>E7+E43</f>
        <v>867.9</v>
      </c>
      <c r="F46" s="18">
        <f>E46/D46*100</f>
        <v>3.456584596512749</v>
      </c>
      <c r="G46" s="4">
        <f>G7+G43</f>
        <v>23412.6</v>
      </c>
      <c r="H46" s="4">
        <f>H7+H43</f>
        <v>18348.9</v>
      </c>
      <c r="I46" s="18">
        <f>H46/G46*100</f>
        <v>78.37190230901311</v>
      </c>
      <c r="J46" s="4">
        <f>J7+J43</f>
        <v>16757.5</v>
      </c>
      <c r="K46" s="4">
        <f>K7+K43</f>
        <v>31929.6</v>
      </c>
      <c r="L46" s="18">
        <f>K46/J46*100</f>
        <v>190.5391615694465</v>
      </c>
      <c r="M46" s="4">
        <f>M7+M43</f>
        <v>65278.7</v>
      </c>
      <c r="N46" s="4">
        <f>N7+N43</f>
        <v>51146.399999999994</v>
      </c>
      <c r="O46" s="18">
        <f t="shared" si="2"/>
        <v>78.3508250011106</v>
      </c>
      <c r="P46" s="4">
        <f>P7+P43</f>
        <v>7075.5</v>
      </c>
      <c r="Q46" s="4">
        <f>Q7+Q43</f>
        <v>11320.9</v>
      </c>
      <c r="R46" s="18">
        <f>Q46/P46*100</f>
        <v>160.00141332768</v>
      </c>
      <c r="S46" s="4">
        <f>S7+S43</f>
        <v>72354.2</v>
      </c>
      <c r="T46" s="4">
        <f>T7+T43</f>
        <v>62467.3</v>
      </c>
      <c r="U46" s="18">
        <f>T46/S46*100</f>
        <v>86.3354166033209</v>
      </c>
      <c r="V46" s="61">
        <f>V7+V43</f>
        <v>9886.899999999998</v>
      </c>
      <c r="W46" s="61">
        <f>W7+W43</f>
        <v>3181</v>
      </c>
      <c r="X46" s="30">
        <f>S46-T46</f>
        <v>9886.899999999994</v>
      </c>
      <c r="Y46" s="24">
        <f>C46+S46-T46</f>
        <v>3181</v>
      </c>
    </row>
    <row r="47" spans="1:23" s="9" customFormat="1" ht="24.75" customHeight="1">
      <c r="A47" s="91"/>
      <c r="B47" s="92"/>
      <c r="C47" s="93"/>
      <c r="D47" s="87"/>
      <c r="E47" s="23"/>
      <c r="F47" s="23"/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39"/>
      <c r="W47" s="39"/>
    </row>
    <row r="48" spans="1:23" s="9" customFormat="1" ht="18.75" customHeight="1" hidden="1">
      <c r="A48" s="50"/>
      <c r="B48" s="9" t="s">
        <v>82</v>
      </c>
      <c r="C48" s="93"/>
      <c r="D48" s="23"/>
      <c r="E48" s="23"/>
      <c r="F48" s="23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39"/>
      <c r="W48" s="39"/>
    </row>
    <row r="49" spans="1:23" s="9" customFormat="1" ht="15.75" customHeight="1" hidden="1">
      <c r="A49" s="91"/>
      <c r="C49" s="93"/>
      <c r="D49" s="85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4"/>
    </row>
    <row r="50" spans="1:23" s="9" customFormat="1" ht="18.75" customHeight="1" hidden="1">
      <c r="A50" s="50"/>
      <c r="B50" s="9" t="s">
        <v>83</v>
      </c>
      <c r="C50" s="93"/>
      <c r="D50" s="85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4"/>
    </row>
    <row r="51" spans="1:23" s="76" customFormat="1" ht="43.5" customHeight="1">
      <c r="A51" s="71"/>
      <c r="B51" s="135" t="s">
        <v>101</v>
      </c>
      <c r="C51" s="135"/>
      <c r="D51" s="135"/>
      <c r="E51" s="72"/>
      <c r="F51" s="73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43"/>
      <c r="W51" s="43"/>
    </row>
    <row r="52" spans="2:23" ht="42" customHeight="1" hidden="1">
      <c r="B52" s="144" t="s">
        <v>38</v>
      </c>
      <c r="C52" s="144"/>
      <c r="D52" s="9"/>
      <c r="E52" s="9"/>
      <c r="G52" s="74"/>
      <c r="H52" s="74"/>
      <c r="I52" s="73"/>
      <c r="J52" s="74"/>
      <c r="K52" s="74"/>
      <c r="L52" s="73"/>
      <c r="M52" s="73"/>
      <c r="N52" s="73"/>
      <c r="O52" s="73"/>
      <c r="P52" s="74"/>
      <c r="Q52" s="74"/>
      <c r="R52" s="73"/>
      <c r="S52" s="72"/>
      <c r="T52" s="72"/>
      <c r="U52" s="73"/>
      <c r="V52" s="74"/>
      <c r="W52" s="75" t="s">
        <v>100</v>
      </c>
    </row>
    <row r="53" spans="1:27" ht="73.5" customHeight="1" hidden="1">
      <c r="A53" s="136" t="s">
        <v>99</v>
      </c>
      <c r="B53" s="136"/>
      <c r="C53" s="136"/>
      <c r="D53" s="68"/>
      <c r="E53" s="68"/>
      <c r="F53" s="67"/>
      <c r="G53" s="39"/>
      <c r="H53" s="39"/>
      <c r="I53" s="77"/>
      <c r="J53" s="39"/>
      <c r="K53" s="39"/>
      <c r="L53" s="77"/>
      <c r="M53" s="77"/>
      <c r="N53" s="77"/>
      <c r="O53" s="77"/>
      <c r="P53" s="39"/>
      <c r="Q53" s="39"/>
      <c r="R53" s="77"/>
      <c r="S53" s="39"/>
      <c r="T53" s="39"/>
      <c r="U53" s="77"/>
      <c r="V53" s="39"/>
      <c r="W53" s="39"/>
      <c r="X53" s="43"/>
      <c r="Y53" s="43"/>
      <c r="Z53" s="67"/>
      <c r="AA53" s="69" t="s">
        <v>97</v>
      </c>
    </row>
    <row r="54" spans="3:23" ht="45" customHeight="1">
      <c r="C54" s="94"/>
      <c r="D54" s="95"/>
      <c r="E54" s="95"/>
      <c r="F54" s="96"/>
      <c r="G54" s="3">
        <v>142.7</v>
      </c>
      <c r="H54" s="3">
        <v>103.3</v>
      </c>
      <c r="I54" s="18"/>
      <c r="J54" s="3">
        <v>142.7</v>
      </c>
      <c r="K54" s="3">
        <v>103.3</v>
      </c>
      <c r="L54" s="18"/>
      <c r="M54" s="18"/>
      <c r="N54" s="18"/>
      <c r="O54" s="18"/>
      <c r="P54" s="3">
        <v>142.7</v>
      </c>
      <c r="Q54" s="3">
        <v>103.3</v>
      </c>
      <c r="R54" s="18"/>
      <c r="S54" s="3">
        <v>1154.2</v>
      </c>
      <c r="T54" s="3">
        <v>1213.3</v>
      </c>
      <c r="U54" s="18"/>
      <c r="V54" s="3"/>
      <c r="W54" s="4">
        <f>C54+D54-E54</f>
        <v>0</v>
      </c>
    </row>
    <row r="55" spans="2:23" ht="18.75">
      <c r="B55" s="5" t="s">
        <v>39</v>
      </c>
      <c r="C55" s="89">
        <v>0</v>
      </c>
      <c r="D55" s="3"/>
      <c r="E55" s="3"/>
      <c r="F55" s="18"/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>
        <v>1415.7</v>
      </c>
      <c r="T55" s="39">
        <v>1436.1</v>
      </c>
      <c r="U55" s="77"/>
      <c r="V55" s="39"/>
      <c r="W55" s="4">
        <f>C55+D55-E55</f>
        <v>0</v>
      </c>
    </row>
    <row r="56" spans="2:23" ht="18.75">
      <c r="B56" s="5" t="s">
        <v>40</v>
      </c>
      <c r="C56" s="78">
        <v>-3.7</v>
      </c>
      <c r="D56" s="43">
        <v>552.6</v>
      </c>
      <c r="E56" s="43">
        <v>564.7</v>
      </c>
      <c r="F56" s="6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39"/>
      <c r="W56" s="39"/>
    </row>
    <row r="57" spans="3:23" ht="24.75" customHeight="1">
      <c r="C57" s="78"/>
      <c r="D57" s="43"/>
      <c r="E57" s="43"/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39"/>
      <c r="W57" s="39"/>
    </row>
    <row r="58" spans="3:23" ht="24.75" customHeight="1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39"/>
      <c r="W58" s="39">
        <f>W9+W17+W20+W26+W36+W38+W40</f>
        <v>-154.59999999999997</v>
      </c>
    </row>
    <row r="59" spans="2:23" ht="18.75">
      <c r="B59" s="5" t="s">
        <v>41</v>
      </c>
      <c r="C59" s="78">
        <f>C9+C17+C20+C26+C36+C38+C40</f>
        <v>-808</v>
      </c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39"/>
      <c r="W59" s="39">
        <f>W11+W13+W14+W16+W18+W19+W25</f>
        <v>28.39999999999975</v>
      </c>
    </row>
    <row r="60" spans="2:23" ht="18.75">
      <c r="B60" s="5" t="s">
        <v>42</v>
      </c>
      <c r="C60" s="78">
        <f>C11+C13+C14+C16+C18+C19+C25</f>
        <v>-428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39"/>
      <c r="W60" s="39"/>
    </row>
    <row r="61" spans="7:23" ht="24.75" customHeight="1"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39"/>
      <c r="W61" s="39"/>
    </row>
    <row r="62" spans="7:23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39"/>
      <c r="W62" s="39"/>
    </row>
    <row r="63" spans="7:23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39"/>
      <c r="W63" s="39"/>
    </row>
    <row r="64" spans="7:23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39"/>
      <c r="W64" s="39"/>
    </row>
    <row r="65" spans="7:23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39"/>
      <c r="W65" s="39"/>
    </row>
    <row r="66" spans="7:23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39"/>
      <c r="W66" s="39"/>
    </row>
    <row r="67" spans="7:23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39"/>
      <c r="W67" s="39"/>
    </row>
    <row r="68" spans="7:23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39"/>
      <c r="W68" s="39"/>
    </row>
    <row r="69" spans="7:23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39"/>
      <c r="W69" s="39"/>
    </row>
    <row r="70" spans="7:23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39"/>
      <c r="W70" s="39"/>
    </row>
    <row r="71" spans="7:23" ht="24.75" customHeight="1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39"/>
      <c r="W71" s="39"/>
    </row>
    <row r="72" spans="7:23" ht="24.75" customHeight="1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39"/>
      <c r="W72" s="39"/>
    </row>
    <row r="73" spans="7:23" ht="24.75" customHeight="1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39"/>
      <c r="W73" s="39"/>
    </row>
    <row r="74" spans="7:23" ht="24.75" customHeight="1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39"/>
      <c r="W74" s="39"/>
    </row>
    <row r="75" spans="7:23" ht="24.75" customHeight="1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39"/>
      <c r="W75" s="39"/>
    </row>
    <row r="76" spans="7:23" ht="24.75" customHeight="1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39"/>
      <c r="W76" s="39"/>
    </row>
    <row r="77" spans="7:23" ht="24.75" customHeight="1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39"/>
      <c r="W77" s="39"/>
    </row>
    <row r="78" spans="7:23" ht="24.75" customHeight="1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39"/>
      <c r="W78" s="39"/>
    </row>
    <row r="79" spans="7:23" ht="24.75" customHeight="1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39"/>
      <c r="W79" s="39"/>
    </row>
    <row r="80" spans="7:23" ht="24.75" customHeight="1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39"/>
      <c r="W80" s="39"/>
    </row>
    <row r="81" spans="7:23" ht="24.75" customHeight="1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39"/>
      <c r="W81" s="39"/>
    </row>
    <row r="82" spans="7:23" ht="24.75" customHeight="1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39"/>
      <c r="W82" s="39"/>
    </row>
    <row r="83" spans="7:23" ht="24.75" customHeight="1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39"/>
      <c r="W83" s="39"/>
    </row>
    <row r="84" spans="7:23" ht="24.75" customHeight="1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39"/>
      <c r="W84" s="39"/>
    </row>
    <row r="85" spans="7:23" ht="24.75" customHeight="1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39"/>
      <c r="W85" s="39"/>
    </row>
    <row r="86" spans="7:23" ht="24.75" customHeight="1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39"/>
      <c r="W86" s="39"/>
    </row>
    <row r="87" spans="7:23" ht="24.75" customHeight="1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39"/>
      <c r="W87" s="39"/>
    </row>
    <row r="88" spans="7:23" ht="24.75" customHeight="1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39"/>
      <c r="W88" s="39"/>
    </row>
    <row r="89" spans="7:23" ht="24.75" customHeight="1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39"/>
      <c r="W89" s="39"/>
    </row>
    <row r="90" spans="7:23" ht="24.75" customHeight="1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39"/>
      <c r="W90" s="39"/>
    </row>
    <row r="91" spans="7:23" ht="24.75" customHeight="1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39"/>
      <c r="W91" s="39"/>
    </row>
    <row r="92" spans="7:23" ht="24.75" customHeight="1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39"/>
      <c r="W92" s="39"/>
    </row>
    <row r="93" spans="7:23" ht="24.75" customHeight="1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39"/>
      <c r="W93" s="39"/>
    </row>
    <row r="94" spans="7:23" ht="24.75" customHeight="1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39"/>
      <c r="W94" s="39"/>
    </row>
    <row r="95" spans="7:23" ht="18.75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39"/>
      <c r="W95" s="39"/>
    </row>
    <row r="96" spans="7:23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39"/>
      <c r="W96" s="39"/>
    </row>
    <row r="97" spans="7:23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39"/>
      <c r="W97" s="39"/>
    </row>
    <row r="98" spans="7:23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39"/>
      <c r="W98" s="39"/>
    </row>
    <row r="99" spans="7:23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39"/>
      <c r="W99" s="39"/>
    </row>
    <row r="100" spans="7:23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39"/>
      <c r="W100" s="39"/>
    </row>
    <row r="101" spans="7:23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39"/>
      <c r="W101" s="39"/>
    </row>
  </sheetData>
  <sheetProtection/>
  <mergeCells count="14">
    <mergeCell ref="D1:W1"/>
    <mergeCell ref="B2:W2"/>
    <mergeCell ref="B3:W3"/>
    <mergeCell ref="B4:C4"/>
    <mergeCell ref="D5:F5"/>
    <mergeCell ref="G5:I5"/>
    <mergeCell ref="P5:R5"/>
    <mergeCell ref="A53:C53"/>
    <mergeCell ref="B52:C52"/>
    <mergeCell ref="S5:U5"/>
    <mergeCell ref="W5:W6"/>
    <mergeCell ref="V5:V6"/>
    <mergeCell ref="B51:D51"/>
    <mergeCell ref="J5:L5"/>
  </mergeCells>
  <printOptions horizontalCentered="1"/>
  <pageMargins left="0" right="0" top="0" bottom="0" header="0" footer="0"/>
  <pageSetup fitToWidth="2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89"/>
  <sheetViews>
    <sheetView view="pageBreakPreview" zoomScale="68" zoomScaleNormal="75" zoomScaleSheetLayoutView="68" zoomScalePageLayoutView="0" workbookViewId="0" topLeftCell="A1">
      <pane xSplit="6" ySplit="9" topLeftCell="M3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T8" sqref="T8:T42"/>
    </sheetView>
  </sheetViews>
  <sheetFormatPr defaultColWidth="7.875" defaultRowHeight="12.75"/>
  <cols>
    <col min="1" max="1" width="6.75390625" style="7" customWidth="1"/>
    <col min="2" max="2" width="61.25390625" style="5" customWidth="1"/>
    <col min="3" max="3" width="16.75390625" style="51" customWidth="1"/>
    <col min="4" max="4" width="19.75390625" style="5" hidden="1" customWidth="1"/>
    <col min="5" max="5" width="19.875" style="5" hidden="1" customWidth="1"/>
    <col min="6" max="6" width="16.87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4.125" style="9" customWidth="1"/>
    <col min="14" max="14" width="12.75390625" style="9" customWidth="1"/>
    <col min="15" max="15" width="11.875" style="9" customWidth="1"/>
    <col min="16" max="17" width="14.75390625" style="5" customWidth="1"/>
    <col min="18" max="18" width="11.875" style="9" customWidth="1"/>
    <col min="19" max="19" width="15.25390625" style="5" customWidth="1"/>
    <col min="20" max="20" width="14.875" style="5" customWidth="1"/>
    <col min="21" max="21" width="13.75390625" style="9" customWidth="1"/>
    <col min="22" max="22" width="19.75390625" style="5" customWidth="1"/>
    <col min="23" max="23" width="22.625" style="5" customWidth="1"/>
    <col min="24" max="24" width="12.75390625" style="5" customWidth="1"/>
    <col min="25" max="25" width="18.125" style="5" customWidth="1"/>
    <col min="26" max="16384" width="7.875" style="5" customWidth="1"/>
  </cols>
  <sheetData>
    <row r="1" spans="2:23" ht="42" customHeight="1">
      <c r="B1" s="127" t="s">
        <v>88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2:23" ht="42" customHeight="1">
      <c r="B2" s="127" t="s">
        <v>118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2:23" ht="18.75">
      <c r="B3" s="97"/>
      <c r="C3" s="98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7"/>
    </row>
    <row r="4" spans="2:23" ht="12.75" customHeight="1">
      <c r="B4" s="128"/>
      <c r="C4" s="128"/>
      <c r="W4" s="13" t="s">
        <v>48</v>
      </c>
    </row>
    <row r="5" spans="1:23" ht="36.75" customHeight="1">
      <c r="A5" s="33" t="s">
        <v>36</v>
      </c>
      <c r="B5" s="34"/>
      <c r="C5" s="35" t="s">
        <v>1</v>
      </c>
      <c r="D5" s="129" t="s">
        <v>111</v>
      </c>
      <c r="E5" s="130"/>
      <c r="F5" s="131"/>
      <c r="G5" s="132" t="s">
        <v>113</v>
      </c>
      <c r="H5" s="133"/>
      <c r="I5" s="134"/>
      <c r="J5" s="132" t="s">
        <v>117</v>
      </c>
      <c r="K5" s="133"/>
      <c r="L5" s="134"/>
      <c r="M5" s="121"/>
      <c r="N5" s="121" t="s">
        <v>122</v>
      </c>
      <c r="O5" s="121"/>
      <c r="P5" s="132" t="s">
        <v>119</v>
      </c>
      <c r="Q5" s="133"/>
      <c r="R5" s="134"/>
      <c r="S5" s="129" t="s">
        <v>114</v>
      </c>
      <c r="T5" s="130"/>
      <c r="U5" s="131"/>
      <c r="V5" s="125" t="s">
        <v>120</v>
      </c>
      <c r="W5" s="125" t="s">
        <v>121</v>
      </c>
    </row>
    <row r="6" spans="1:23" ht="55.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126"/>
      <c r="W6" s="126"/>
    </row>
    <row r="7" spans="1:25" s="9" customFormat="1" ht="36" customHeight="1">
      <c r="A7" s="50"/>
      <c r="B7" s="16" t="s">
        <v>49</v>
      </c>
      <c r="C7" s="53">
        <f>SUM(C8:C42)</f>
        <v>7296.700000000002</v>
      </c>
      <c r="D7" s="18">
        <f>SUM(D8:D42)</f>
        <v>6126.600000000001</v>
      </c>
      <c r="E7" s="18">
        <f>SUM(E8:E42)</f>
        <v>4207.9</v>
      </c>
      <c r="F7" s="18">
        <f aca="true" t="shared" si="0" ref="F7:F28">E7/D7*100</f>
        <v>68.6824666209643</v>
      </c>
      <c r="G7" s="18">
        <f>SUM(G8:G42)</f>
        <v>5291.9</v>
      </c>
      <c r="H7" s="18">
        <f>SUM(H8:H42)</f>
        <v>4998.900000000001</v>
      </c>
      <c r="I7" s="18">
        <f>H7/G7*100</f>
        <v>94.4632362667473</v>
      </c>
      <c r="J7" s="18">
        <f>SUM(J8:J42)</f>
        <v>2595</v>
      </c>
      <c r="K7" s="18">
        <f>SUM(K8:K42)</f>
        <v>4022.7999999999997</v>
      </c>
      <c r="L7" s="18">
        <f>K7/J7*100</f>
        <v>155.02119460500964</v>
      </c>
      <c r="M7" s="18">
        <f>SUM(M8:M42)</f>
        <v>14013.499999999998</v>
      </c>
      <c r="N7" s="18">
        <f>SUM(N8:N42)</f>
        <v>13229.6</v>
      </c>
      <c r="O7" s="18">
        <f>N7/M7*100</f>
        <v>94.40610839547581</v>
      </c>
      <c r="P7" s="18">
        <f>SUM(P8:P42)</f>
        <v>119.80000000000001</v>
      </c>
      <c r="Q7" s="18">
        <f>SUM(Q8:Q42)</f>
        <v>2142.8</v>
      </c>
      <c r="R7" s="18">
        <f>Q7/P7*100</f>
        <v>1788.6477462437394</v>
      </c>
      <c r="S7" s="18">
        <f>SUM(S8:S42)</f>
        <v>14133.3</v>
      </c>
      <c r="T7" s="18">
        <f>SUM(T8:T42)</f>
        <v>15372.4</v>
      </c>
      <c r="U7" s="18">
        <f>T7/S7*100</f>
        <v>108.76723765857939</v>
      </c>
      <c r="V7" s="54">
        <f>SUM(V8:V42)</f>
        <v>-1239.0999999999995</v>
      </c>
      <c r="W7" s="54">
        <f>SUM(W8:W42)</f>
        <v>6057.599999999999</v>
      </c>
      <c r="X7" s="30">
        <f>S7-T7</f>
        <v>-1239.1000000000004</v>
      </c>
      <c r="Y7" s="30">
        <f>C7+S7-T7</f>
        <v>6057.6</v>
      </c>
    </row>
    <row r="8" spans="1:23" ht="38.25" customHeight="1">
      <c r="A8" s="6">
        <v>1</v>
      </c>
      <c r="B8" s="1" t="s">
        <v>50</v>
      </c>
      <c r="C8" s="2">
        <v>552.7</v>
      </c>
      <c r="D8" s="3">
        <v>881.2</v>
      </c>
      <c r="E8" s="3">
        <v>600.5</v>
      </c>
      <c r="F8" s="18">
        <f t="shared" si="0"/>
        <v>68.14571039491601</v>
      </c>
      <c r="G8" s="3">
        <v>778.6</v>
      </c>
      <c r="H8" s="3">
        <v>782.3</v>
      </c>
      <c r="I8" s="18">
        <f>H8/G8*100</f>
        <v>100.47521191882866</v>
      </c>
      <c r="J8" s="3">
        <v>367.9</v>
      </c>
      <c r="K8" s="3">
        <v>610.4</v>
      </c>
      <c r="L8" s="18">
        <f>K8/J8*100</f>
        <v>165.91465072030442</v>
      </c>
      <c r="M8" s="3">
        <f>D8+G8+J8</f>
        <v>2027.7000000000003</v>
      </c>
      <c r="N8" s="3">
        <f>E8+H8+K8</f>
        <v>1993.1999999999998</v>
      </c>
      <c r="O8" s="18">
        <f aca="true" t="shared" si="1" ref="O8:O46">N8/M8*100</f>
        <v>98.29856487646099</v>
      </c>
      <c r="P8" s="3">
        <v>35.3</v>
      </c>
      <c r="Q8" s="3">
        <v>229.2</v>
      </c>
      <c r="R8" s="18">
        <f>Q8/P8*100</f>
        <v>649.2917847025496</v>
      </c>
      <c r="S8" s="3">
        <f>M8+P8</f>
        <v>2063.0000000000005</v>
      </c>
      <c r="T8" s="3">
        <f>N8+Q8</f>
        <v>2222.3999999999996</v>
      </c>
      <c r="U8" s="18">
        <f>T8/S8*100</f>
        <v>107.72661173048954</v>
      </c>
      <c r="V8" s="18">
        <f aca="true" t="shared" si="2" ref="V8:V33">S8-T8</f>
        <v>-159.39999999999918</v>
      </c>
      <c r="W8" s="4">
        <f aca="true" t="shared" si="3" ref="W8:W33">C8+S8-T8</f>
        <v>393.3000000000011</v>
      </c>
    </row>
    <row r="9" spans="1:23" ht="38.25" customHeight="1">
      <c r="A9" s="6">
        <v>2</v>
      </c>
      <c r="B9" s="44" t="s">
        <v>81</v>
      </c>
      <c r="C9" s="2">
        <v>40.7</v>
      </c>
      <c r="D9" s="3">
        <v>145.9</v>
      </c>
      <c r="E9" s="3">
        <v>121.3</v>
      </c>
      <c r="F9" s="18">
        <f t="shared" si="0"/>
        <v>83.13913639479095</v>
      </c>
      <c r="G9" s="3">
        <v>121</v>
      </c>
      <c r="H9" s="3">
        <v>124.8</v>
      </c>
      <c r="I9" s="18">
        <f aca="true" t="shared" si="4" ref="I9:I22">H9/G9*100</f>
        <v>103.14049586776859</v>
      </c>
      <c r="J9" s="3">
        <v>29.5</v>
      </c>
      <c r="K9" s="3">
        <v>51.6</v>
      </c>
      <c r="L9" s="18">
        <f>K9/J9*100</f>
        <v>174.91525423728814</v>
      </c>
      <c r="M9" s="3">
        <f aca="true" t="shared" si="5" ref="M9:M45">D9+G9+J9</f>
        <v>296.4</v>
      </c>
      <c r="N9" s="3">
        <f aca="true" t="shared" si="6" ref="N9:N45">E9+H9+K9</f>
        <v>297.7</v>
      </c>
      <c r="O9" s="18">
        <f t="shared" si="1"/>
        <v>100.43859649122808</v>
      </c>
      <c r="P9" s="3">
        <v>1.7</v>
      </c>
      <c r="Q9" s="3">
        <v>28</v>
      </c>
      <c r="R9" s="18">
        <f>Q9/P9*100</f>
        <v>1647.058823529412</v>
      </c>
      <c r="S9" s="3">
        <f aca="true" t="shared" si="7" ref="S9:S42">M9+P9</f>
        <v>298.09999999999997</v>
      </c>
      <c r="T9" s="3">
        <f aca="true" t="shared" si="8" ref="T9:T42">N9+Q9</f>
        <v>325.7</v>
      </c>
      <c r="U9" s="18">
        <f>T9/S9*100</f>
        <v>109.25863804092589</v>
      </c>
      <c r="V9" s="18">
        <f t="shared" si="2"/>
        <v>-27.600000000000023</v>
      </c>
      <c r="W9" s="4">
        <f t="shared" si="3"/>
        <v>13.099999999999966</v>
      </c>
    </row>
    <row r="10" spans="1:23" ht="38.25" customHeight="1">
      <c r="A10" s="6">
        <v>3</v>
      </c>
      <c r="B10" s="20" t="s">
        <v>96</v>
      </c>
      <c r="C10" s="2"/>
      <c r="D10" s="3"/>
      <c r="E10" s="3"/>
      <c r="F10" s="18"/>
      <c r="G10" s="32"/>
      <c r="H10" s="32"/>
      <c r="I10" s="18"/>
      <c r="J10" s="32"/>
      <c r="K10" s="32"/>
      <c r="L10" s="18"/>
      <c r="M10" s="3"/>
      <c r="N10" s="3"/>
      <c r="O10" s="40" t="e">
        <f t="shared" si="1"/>
        <v>#DIV/0!</v>
      </c>
      <c r="P10" s="32"/>
      <c r="Q10" s="32"/>
      <c r="R10" s="18"/>
      <c r="S10" s="3">
        <f t="shared" si="7"/>
        <v>0</v>
      </c>
      <c r="T10" s="3">
        <f t="shared" si="8"/>
        <v>0</v>
      </c>
      <c r="U10" s="18"/>
      <c r="V10" s="18">
        <f t="shared" si="2"/>
        <v>0</v>
      </c>
      <c r="W10" s="4">
        <f t="shared" si="3"/>
        <v>0</v>
      </c>
    </row>
    <row r="11" spans="1:23" ht="23.25" customHeight="1">
      <c r="A11" s="6">
        <v>4</v>
      </c>
      <c r="B11" s="1" t="s">
        <v>107</v>
      </c>
      <c r="C11" s="2">
        <f>-5.5+23.3</f>
        <v>17.8</v>
      </c>
      <c r="D11" s="3">
        <v>20.1</v>
      </c>
      <c r="E11" s="3">
        <v>33.6</v>
      </c>
      <c r="F11" s="18">
        <f t="shared" si="0"/>
        <v>167.1641791044776</v>
      </c>
      <c r="G11" s="3">
        <v>17.7</v>
      </c>
      <c r="H11" s="3">
        <v>5.9</v>
      </c>
      <c r="I11" s="18">
        <f t="shared" si="4"/>
        <v>33.333333333333336</v>
      </c>
      <c r="J11" s="3">
        <v>8.2</v>
      </c>
      <c r="K11" s="3">
        <v>17.8</v>
      </c>
      <c r="L11" s="18">
        <f>K11/J11*100</f>
        <v>217.07317073170734</v>
      </c>
      <c r="M11" s="3">
        <f t="shared" si="5"/>
        <v>46</v>
      </c>
      <c r="N11" s="3">
        <f t="shared" si="6"/>
        <v>57.3</v>
      </c>
      <c r="O11" s="18">
        <f t="shared" si="1"/>
        <v>124.56521739130434</v>
      </c>
      <c r="P11" s="3">
        <v>0.6</v>
      </c>
      <c r="Q11" s="3">
        <v>2.8</v>
      </c>
      <c r="R11" s="18">
        <f>Q11/P11*100</f>
        <v>466.6666666666667</v>
      </c>
      <c r="S11" s="3">
        <f t="shared" si="7"/>
        <v>46.6</v>
      </c>
      <c r="T11" s="3">
        <f t="shared" si="8"/>
        <v>60.099999999999994</v>
      </c>
      <c r="U11" s="18">
        <f>T11/S11*100</f>
        <v>128.96995708154503</v>
      </c>
      <c r="V11" s="18">
        <f t="shared" si="2"/>
        <v>-13.499999999999993</v>
      </c>
      <c r="W11" s="4">
        <f t="shared" si="3"/>
        <v>4.300000000000011</v>
      </c>
    </row>
    <row r="12" spans="1:23" ht="23.25" customHeight="1">
      <c r="A12" s="6">
        <v>5</v>
      </c>
      <c r="B12" s="1" t="s">
        <v>79</v>
      </c>
      <c r="C12" s="2">
        <v>65.4</v>
      </c>
      <c r="D12" s="3">
        <v>154.4</v>
      </c>
      <c r="E12" s="3">
        <v>73.7</v>
      </c>
      <c r="F12" s="18">
        <f t="shared" si="0"/>
        <v>47.733160621761655</v>
      </c>
      <c r="G12" s="3">
        <v>122.6</v>
      </c>
      <c r="H12" s="3">
        <v>174.6</v>
      </c>
      <c r="I12" s="18">
        <f t="shared" si="4"/>
        <v>142.41435562805873</v>
      </c>
      <c r="J12" s="3">
        <v>52.9</v>
      </c>
      <c r="K12" s="3">
        <v>96.5</v>
      </c>
      <c r="L12" s="18">
        <f>K12/J12*100</f>
        <v>182.41965973534974</v>
      </c>
      <c r="M12" s="3">
        <f t="shared" si="5"/>
        <v>329.9</v>
      </c>
      <c r="N12" s="3">
        <f t="shared" si="6"/>
        <v>344.8</v>
      </c>
      <c r="O12" s="18">
        <f t="shared" si="1"/>
        <v>104.51652015762353</v>
      </c>
      <c r="P12" s="3">
        <v>1.9</v>
      </c>
      <c r="Q12" s="3">
        <v>44.5</v>
      </c>
      <c r="R12" s="18">
        <f>Q12/P12*100</f>
        <v>2342.105263157895</v>
      </c>
      <c r="S12" s="3">
        <f t="shared" si="7"/>
        <v>331.79999999999995</v>
      </c>
      <c r="T12" s="3">
        <f t="shared" si="8"/>
        <v>389.3</v>
      </c>
      <c r="U12" s="18">
        <f>T12/S12*100</f>
        <v>117.32971669680532</v>
      </c>
      <c r="V12" s="18">
        <f t="shared" si="2"/>
        <v>-57.50000000000006</v>
      </c>
      <c r="W12" s="4">
        <f t="shared" si="3"/>
        <v>7.89999999999992</v>
      </c>
    </row>
    <row r="13" spans="1:23" ht="23.25" customHeight="1">
      <c r="A13" s="6">
        <v>6</v>
      </c>
      <c r="B13" s="1" t="s">
        <v>51</v>
      </c>
      <c r="C13" s="2">
        <v>-10.9</v>
      </c>
      <c r="D13" s="3"/>
      <c r="E13" s="3"/>
      <c r="F13" s="18"/>
      <c r="G13" s="3"/>
      <c r="H13" s="3"/>
      <c r="I13" s="18"/>
      <c r="J13" s="3"/>
      <c r="K13" s="3"/>
      <c r="L13" s="18"/>
      <c r="M13" s="3"/>
      <c r="N13" s="3"/>
      <c r="O13" s="40" t="e">
        <f t="shared" si="1"/>
        <v>#DIV/0!</v>
      </c>
      <c r="P13" s="3"/>
      <c r="Q13" s="3"/>
      <c r="R13" s="18"/>
      <c r="S13" s="3">
        <f t="shared" si="7"/>
        <v>0</v>
      </c>
      <c r="T13" s="3">
        <f t="shared" si="8"/>
        <v>0</v>
      </c>
      <c r="U13" s="18"/>
      <c r="V13" s="18">
        <f t="shared" si="2"/>
        <v>0</v>
      </c>
      <c r="W13" s="4">
        <f t="shared" si="3"/>
        <v>-10.9</v>
      </c>
    </row>
    <row r="14" spans="1:23" ht="23.25" customHeight="1">
      <c r="A14" s="6">
        <v>7</v>
      </c>
      <c r="B14" s="1" t="s">
        <v>52</v>
      </c>
      <c r="C14" s="2">
        <v>1.3</v>
      </c>
      <c r="D14" s="3"/>
      <c r="E14" s="3"/>
      <c r="F14" s="18"/>
      <c r="G14" s="32"/>
      <c r="H14" s="32"/>
      <c r="I14" s="18"/>
      <c r="J14" s="32"/>
      <c r="K14" s="32"/>
      <c r="L14" s="18"/>
      <c r="M14" s="3"/>
      <c r="N14" s="3"/>
      <c r="O14" s="40" t="e">
        <f t="shared" si="1"/>
        <v>#DIV/0!</v>
      </c>
      <c r="P14" s="32"/>
      <c r="Q14" s="32"/>
      <c r="R14" s="18"/>
      <c r="S14" s="3">
        <f t="shared" si="7"/>
        <v>0</v>
      </c>
      <c r="T14" s="3">
        <f t="shared" si="8"/>
        <v>0</v>
      </c>
      <c r="U14" s="18"/>
      <c r="V14" s="18">
        <f t="shared" si="2"/>
        <v>0</v>
      </c>
      <c r="W14" s="4">
        <f t="shared" si="3"/>
        <v>1.3</v>
      </c>
    </row>
    <row r="15" spans="1:23" ht="23.25" customHeight="1">
      <c r="A15" s="6">
        <v>8</v>
      </c>
      <c r="B15" s="1" t="s">
        <v>53</v>
      </c>
      <c r="C15" s="2">
        <v>303.4</v>
      </c>
      <c r="D15" s="3">
        <v>304.3</v>
      </c>
      <c r="E15" s="3">
        <v>242.4</v>
      </c>
      <c r="F15" s="18">
        <f t="shared" si="0"/>
        <v>79.65823200788695</v>
      </c>
      <c r="G15" s="3">
        <v>266.5</v>
      </c>
      <c r="H15" s="3">
        <v>249.2</v>
      </c>
      <c r="I15" s="18">
        <f t="shared" si="4"/>
        <v>93.50844277673545</v>
      </c>
      <c r="J15" s="3">
        <v>159.3</v>
      </c>
      <c r="K15" s="3">
        <v>260</v>
      </c>
      <c r="L15" s="18">
        <f>K15/J15*100</f>
        <v>163.21406151914627</v>
      </c>
      <c r="M15" s="3">
        <f t="shared" si="5"/>
        <v>730.0999999999999</v>
      </c>
      <c r="N15" s="3">
        <f t="shared" si="6"/>
        <v>751.6</v>
      </c>
      <c r="O15" s="18">
        <f t="shared" si="1"/>
        <v>102.9448020819066</v>
      </c>
      <c r="P15" s="3">
        <v>8.1</v>
      </c>
      <c r="Q15" s="3">
        <v>156</v>
      </c>
      <c r="R15" s="18">
        <f>Q15/P15*100</f>
        <v>1925.9259259259259</v>
      </c>
      <c r="S15" s="3">
        <f t="shared" si="7"/>
        <v>738.1999999999999</v>
      </c>
      <c r="T15" s="3">
        <f t="shared" si="8"/>
        <v>907.6</v>
      </c>
      <c r="U15" s="18">
        <f>T15/S15*100</f>
        <v>122.947710647521</v>
      </c>
      <c r="V15" s="18">
        <f t="shared" si="2"/>
        <v>-169.4000000000001</v>
      </c>
      <c r="W15" s="4">
        <f t="shared" si="3"/>
        <v>133.9999999999999</v>
      </c>
    </row>
    <row r="16" spans="1:23" ht="23.25" customHeight="1">
      <c r="A16" s="6">
        <v>9</v>
      </c>
      <c r="B16" s="1" t="s">
        <v>54</v>
      </c>
      <c r="C16" s="2">
        <v>23.5</v>
      </c>
      <c r="D16" s="3"/>
      <c r="E16" s="3"/>
      <c r="F16" s="40"/>
      <c r="G16" s="32"/>
      <c r="H16" s="32"/>
      <c r="I16" s="18"/>
      <c r="J16" s="32"/>
      <c r="K16" s="32"/>
      <c r="L16" s="18"/>
      <c r="M16" s="3"/>
      <c r="N16" s="3"/>
      <c r="O16" s="40" t="e">
        <f t="shared" si="1"/>
        <v>#DIV/0!</v>
      </c>
      <c r="P16" s="32"/>
      <c r="Q16" s="32"/>
      <c r="R16" s="18"/>
      <c r="S16" s="3">
        <f t="shared" si="7"/>
        <v>0</v>
      </c>
      <c r="T16" s="3">
        <f t="shared" si="8"/>
        <v>0</v>
      </c>
      <c r="U16" s="18"/>
      <c r="V16" s="18">
        <f t="shared" si="2"/>
        <v>0</v>
      </c>
      <c r="W16" s="4">
        <f t="shared" si="3"/>
        <v>23.5</v>
      </c>
    </row>
    <row r="17" spans="1:23" ht="23.25" customHeight="1">
      <c r="A17" s="6">
        <v>10</v>
      </c>
      <c r="B17" s="20" t="s">
        <v>55</v>
      </c>
      <c r="C17" s="2">
        <v>109</v>
      </c>
      <c r="D17" s="3">
        <v>52.9</v>
      </c>
      <c r="E17" s="3">
        <v>42.5</v>
      </c>
      <c r="F17" s="18">
        <f t="shared" si="0"/>
        <v>80.34026465028356</v>
      </c>
      <c r="G17" s="3">
        <v>43.6</v>
      </c>
      <c r="H17" s="3">
        <v>49</v>
      </c>
      <c r="I17" s="18">
        <f t="shared" si="4"/>
        <v>112.38532110091744</v>
      </c>
      <c r="J17" s="3">
        <v>25.8</v>
      </c>
      <c r="K17" s="3">
        <v>19.3</v>
      </c>
      <c r="L17" s="18">
        <f>K17/J17*100</f>
        <v>74.8062015503876</v>
      </c>
      <c r="M17" s="3">
        <f t="shared" si="5"/>
        <v>122.3</v>
      </c>
      <c r="N17" s="3">
        <f t="shared" si="6"/>
        <v>110.8</v>
      </c>
      <c r="O17" s="18">
        <f t="shared" si="1"/>
        <v>90.59689288634505</v>
      </c>
      <c r="P17" s="3">
        <v>1</v>
      </c>
      <c r="Q17" s="3">
        <v>52.4</v>
      </c>
      <c r="R17" s="18">
        <f>Q17/P17*100</f>
        <v>5240</v>
      </c>
      <c r="S17" s="3">
        <f t="shared" si="7"/>
        <v>123.3</v>
      </c>
      <c r="T17" s="3">
        <f t="shared" si="8"/>
        <v>163.2</v>
      </c>
      <c r="U17" s="18">
        <f>T17/S17*100</f>
        <v>132.36009732360097</v>
      </c>
      <c r="V17" s="18">
        <f t="shared" si="2"/>
        <v>-39.89999999999999</v>
      </c>
      <c r="W17" s="4">
        <f t="shared" si="3"/>
        <v>69.10000000000002</v>
      </c>
    </row>
    <row r="18" spans="1:23" ht="23.25" customHeight="1">
      <c r="A18" s="6">
        <v>11</v>
      </c>
      <c r="B18" s="20" t="s">
        <v>56</v>
      </c>
      <c r="C18" s="2"/>
      <c r="D18" s="3"/>
      <c r="E18" s="3"/>
      <c r="F18" s="18"/>
      <c r="G18" s="3"/>
      <c r="H18" s="3"/>
      <c r="I18" s="18"/>
      <c r="J18" s="3"/>
      <c r="K18" s="3"/>
      <c r="L18" s="18"/>
      <c r="M18" s="3"/>
      <c r="N18" s="3"/>
      <c r="O18" s="40" t="e">
        <f t="shared" si="1"/>
        <v>#DIV/0!</v>
      </c>
      <c r="P18" s="3"/>
      <c r="Q18" s="3"/>
      <c r="R18" s="18"/>
      <c r="S18" s="3">
        <f t="shared" si="7"/>
        <v>0</v>
      </c>
      <c r="T18" s="3">
        <f t="shared" si="8"/>
        <v>0</v>
      </c>
      <c r="U18" s="18"/>
      <c r="V18" s="18">
        <f t="shared" si="2"/>
        <v>0</v>
      </c>
      <c r="W18" s="4">
        <f t="shared" si="3"/>
        <v>0</v>
      </c>
    </row>
    <row r="19" spans="1:23" ht="23.25" customHeight="1">
      <c r="A19" s="6">
        <v>12</v>
      </c>
      <c r="B19" s="1" t="s">
        <v>80</v>
      </c>
      <c r="C19" s="2">
        <v>-1.9</v>
      </c>
      <c r="D19" s="3">
        <f>17.8+13.2</f>
        <v>31</v>
      </c>
      <c r="E19" s="3">
        <f>14.6+11.7</f>
        <v>26.299999999999997</v>
      </c>
      <c r="F19" s="18">
        <f t="shared" si="0"/>
        <v>84.83870967741935</v>
      </c>
      <c r="G19" s="3">
        <f>14.9+11</f>
        <v>25.9</v>
      </c>
      <c r="H19" s="3">
        <f>17.9+9.4</f>
        <v>27.299999999999997</v>
      </c>
      <c r="I19" s="18">
        <f t="shared" si="4"/>
        <v>105.40540540540539</v>
      </c>
      <c r="J19" s="3">
        <f>10.6+7</f>
        <v>17.6</v>
      </c>
      <c r="K19" s="3">
        <f>11.1+8.6</f>
        <v>19.7</v>
      </c>
      <c r="L19" s="18">
        <f>K19/J19*100</f>
        <v>111.93181818181816</v>
      </c>
      <c r="M19" s="3">
        <f t="shared" si="5"/>
        <v>74.5</v>
      </c>
      <c r="N19" s="3">
        <f t="shared" si="6"/>
        <v>73.3</v>
      </c>
      <c r="O19" s="18">
        <f t="shared" si="1"/>
        <v>98.38926174496643</v>
      </c>
      <c r="P19" s="3">
        <f>10.6+7</f>
        <v>17.6</v>
      </c>
      <c r="Q19" s="3">
        <f>11.1+8.6</f>
        <v>19.7</v>
      </c>
      <c r="R19" s="18">
        <f>Q19/P19*100</f>
        <v>111.93181818181816</v>
      </c>
      <c r="S19" s="3">
        <f t="shared" si="7"/>
        <v>92.1</v>
      </c>
      <c r="T19" s="3">
        <f t="shared" si="8"/>
        <v>93</v>
      </c>
      <c r="U19" s="18">
        <f>T19/S19*100</f>
        <v>100.9771986970684</v>
      </c>
      <c r="V19" s="18">
        <f t="shared" si="2"/>
        <v>-0.9000000000000057</v>
      </c>
      <c r="W19" s="4">
        <f t="shared" si="3"/>
        <v>-2.8000000000000114</v>
      </c>
    </row>
    <row r="20" spans="1:23" ht="23.25" customHeight="1">
      <c r="A20" s="6">
        <v>13</v>
      </c>
      <c r="B20" s="20" t="s">
        <v>57</v>
      </c>
      <c r="C20" s="2"/>
      <c r="D20" s="32"/>
      <c r="E20" s="32"/>
      <c r="F20" s="48"/>
      <c r="G20" s="32"/>
      <c r="H20" s="32"/>
      <c r="I20" s="18"/>
      <c r="J20" s="32"/>
      <c r="K20" s="32"/>
      <c r="L20" s="18"/>
      <c r="M20" s="3"/>
      <c r="N20" s="3"/>
      <c r="O20" s="40" t="e">
        <f t="shared" si="1"/>
        <v>#DIV/0!</v>
      </c>
      <c r="P20" s="32"/>
      <c r="Q20" s="32"/>
      <c r="R20" s="18"/>
      <c r="S20" s="3">
        <f t="shared" si="7"/>
        <v>0</v>
      </c>
      <c r="T20" s="3">
        <f t="shared" si="8"/>
        <v>0</v>
      </c>
      <c r="U20" s="18"/>
      <c r="V20" s="18">
        <f t="shared" si="2"/>
        <v>0</v>
      </c>
      <c r="W20" s="4">
        <f t="shared" si="3"/>
        <v>0</v>
      </c>
    </row>
    <row r="21" spans="1:23" ht="23.25" customHeight="1">
      <c r="A21" s="6">
        <v>14</v>
      </c>
      <c r="B21" s="20" t="s">
        <v>58</v>
      </c>
      <c r="C21" s="2"/>
      <c r="D21" s="32"/>
      <c r="E21" s="32"/>
      <c r="F21" s="48"/>
      <c r="G21" s="32"/>
      <c r="H21" s="32"/>
      <c r="I21" s="18"/>
      <c r="J21" s="32"/>
      <c r="K21" s="32"/>
      <c r="L21" s="18"/>
      <c r="M21" s="3"/>
      <c r="N21" s="3"/>
      <c r="O21" s="40" t="e">
        <f t="shared" si="1"/>
        <v>#DIV/0!</v>
      </c>
      <c r="P21" s="32"/>
      <c r="Q21" s="32"/>
      <c r="R21" s="18"/>
      <c r="S21" s="3">
        <f t="shared" si="7"/>
        <v>0</v>
      </c>
      <c r="T21" s="3">
        <f t="shared" si="8"/>
        <v>0</v>
      </c>
      <c r="U21" s="18"/>
      <c r="V21" s="18">
        <f t="shared" si="2"/>
        <v>0</v>
      </c>
      <c r="W21" s="4">
        <f t="shared" si="3"/>
        <v>0</v>
      </c>
    </row>
    <row r="22" spans="1:23" ht="37.5" customHeight="1">
      <c r="A22" s="6">
        <v>15</v>
      </c>
      <c r="B22" s="20" t="s">
        <v>59</v>
      </c>
      <c r="C22" s="2">
        <v>3.1</v>
      </c>
      <c r="D22" s="3">
        <v>14.6</v>
      </c>
      <c r="E22" s="3">
        <v>7.7</v>
      </c>
      <c r="F22" s="18">
        <f t="shared" si="0"/>
        <v>52.73972602739726</v>
      </c>
      <c r="G22" s="56">
        <v>10</v>
      </c>
      <c r="H22" s="56">
        <v>5.9</v>
      </c>
      <c r="I22" s="18">
        <f t="shared" si="4"/>
        <v>59.00000000000001</v>
      </c>
      <c r="J22" s="56">
        <v>6.4</v>
      </c>
      <c r="K22" s="56">
        <v>7.4</v>
      </c>
      <c r="L22" s="18">
        <f>K22/J22*100</f>
        <v>115.625</v>
      </c>
      <c r="M22" s="3">
        <f t="shared" si="5"/>
        <v>31</v>
      </c>
      <c r="N22" s="3">
        <f t="shared" si="6"/>
        <v>21</v>
      </c>
      <c r="O22" s="18">
        <f t="shared" si="1"/>
        <v>67.74193548387096</v>
      </c>
      <c r="P22" s="56">
        <v>0.2</v>
      </c>
      <c r="Q22" s="56">
        <v>8.2</v>
      </c>
      <c r="R22" s="18">
        <f>Q22/P22*100</f>
        <v>4099.999999999999</v>
      </c>
      <c r="S22" s="3">
        <f t="shared" si="7"/>
        <v>31.2</v>
      </c>
      <c r="T22" s="3">
        <f t="shared" si="8"/>
        <v>29.2</v>
      </c>
      <c r="U22" s="18">
        <f>T22/S22*100</f>
        <v>93.58974358974359</v>
      </c>
      <c r="V22" s="18">
        <f t="shared" si="2"/>
        <v>2</v>
      </c>
      <c r="W22" s="4">
        <f t="shared" si="3"/>
        <v>5.099999999999998</v>
      </c>
    </row>
    <row r="23" spans="1:23" ht="23.25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1"/>
        <v>#DIV/0!</v>
      </c>
      <c r="P23" s="57"/>
      <c r="Q23" s="57"/>
      <c r="R23" s="57"/>
      <c r="S23" s="3">
        <f t="shared" si="7"/>
        <v>0</v>
      </c>
      <c r="T23" s="3">
        <f t="shared" si="8"/>
        <v>0</v>
      </c>
      <c r="U23" s="57"/>
      <c r="V23" s="18">
        <f t="shared" si="2"/>
        <v>0</v>
      </c>
      <c r="W23" s="4">
        <f t="shared" si="3"/>
        <v>0</v>
      </c>
    </row>
    <row r="24" spans="1:23" ht="30" customHeight="1">
      <c r="A24" s="6">
        <v>17</v>
      </c>
      <c r="B24" s="20" t="s">
        <v>61</v>
      </c>
      <c r="C24" s="2">
        <v>607.6</v>
      </c>
      <c r="D24" s="3">
        <v>461.8</v>
      </c>
      <c r="E24" s="3">
        <v>309.3</v>
      </c>
      <c r="F24" s="18">
        <f t="shared" si="0"/>
        <v>66.9770463404071</v>
      </c>
      <c r="G24" s="3">
        <v>397.4</v>
      </c>
      <c r="H24" s="3">
        <v>533.7</v>
      </c>
      <c r="I24" s="18">
        <f>H24/G24*100</f>
        <v>134.29793658782086</v>
      </c>
      <c r="J24" s="3">
        <v>180</v>
      </c>
      <c r="K24" s="3">
        <v>333.3</v>
      </c>
      <c r="L24" s="18">
        <f>K24/J24*100</f>
        <v>185.16666666666669</v>
      </c>
      <c r="M24" s="3">
        <f t="shared" si="5"/>
        <v>1039.2</v>
      </c>
      <c r="N24" s="3">
        <f t="shared" si="6"/>
        <v>1176.3</v>
      </c>
      <c r="O24" s="18">
        <f t="shared" si="1"/>
        <v>113.19284064665128</v>
      </c>
      <c r="P24" s="3">
        <v>0</v>
      </c>
      <c r="Q24" s="3">
        <v>159.1</v>
      </c>
      <c r="R24" s="40" t="e">
        <f>Q24/P24*100</f>
        <v>#DIV/0!</v>
      </c>
      <c r="S24" s="3">
        <f t="shared" si="7"/>
        <v>1039.2</v>
      </c>
      <c r="T24" s="3">
        <f t="shared" si="8"/>
        <v>1335.3999999999999</v>
      </c>
      <c r="U24" s="18">
        <f>T24/S24*100</f>
        <v>128.50269438029252</v>
      </c>
      <c r="V24" s="18">
        <f t="shared" si="2"/>
        <v>-296.1999999999998</v>
      </c>
      <c r="W24" s="4">
        <f t="shared" si="3"/>
        <v>311.4000000000003</v>
      </c>
    </row>
    <row r="25" spans="1:23" ht="23.25" customHeight="1">
      <c r="A25" s="6">
        <v>18</v>
      </c>
      <c r="B25" s="1" t="s">
        <v>62</v>
      </c>
      <c r="C25" s="2">
        <v>0</v>
      </c>
      <c r="D25" s="3">
        <v>0.8</v>
      </c>
      <c r="E25" s="3">
        <v>0</v>
      </c>
      <c r="F25" s="18">
        <f t="shared" si="0"/>
        <v>0</v>
      </c>
      <c r="G25" s="32"/>
      <c r="H25" s="32"/>
      <c r="I25" s="18"/>
      <c r="J25" s="32"/>
      <c r="K25" s="32"/>
      <c r="L25" s="18"/>
      <c r="M25" s="3">
        <f t="shared" si="5"/>
        <v>0.8</v>
      </c>
      <c r="N25" s="3">
        <f t="shared" si="6"/>
        <v>0</v>
      </c>
      <c r="O25" s="18">
        <f t="shared" si="1"/>
        <v>0</v>
      </c>
      <c r="P25" s="32"/>
      <c r="Q25" s="32"/>
      <c r="R25" s="18"/>
      <c r="S25" s="3">
        <f t="shared" si="7"/>
        <v>0.8</v>
      </c>
      <c r="T25" s="3">
        <f t="shared" si="8"/>
        <v>0</v>
      </c>
      <c r="U25" s="18">
        <f>T25/S25*100</f>
        <v>0</v>
      </c>
      <c r="V25" s="18">
        <f t="shared" si="2"/>
        <v>0.8</v>
      </c>
      <c r="W25" s="4">
        <f t="shared" si="3"/>
        <v>0.8</v>
      </c>
    </row>
    <row r="26" spans="1:23" ht="23.25" customHeight="1">
      <c r="A26" s="6">
        <v>19</v>
      </c>
      <c r="B26" s="20" t="s">
        <v>63</v>
      </c>
      <c r="C26" s="2">
        <v>2.2</v>
      </c>
      <c r="D26" s="56"/>
      <c r="E26" s="56"/>
      <c r="F26" s="40"/>
      <c r="G26" s="3"/>
      <c r="H26" s="3"/>
      <c r="I26" s="18"/>
      <c r="J26" s="3"/>
      <c r="K26" s="3"/>
      <c r="L26" s="18"/>
      <c r="M26" s="3"/>
      <c r="N26" s="3"/>
      <c r="O26" s="40" t="e">
        <f t="shared" si="1"/>
        <v>#DIV/0!</v>
      </c>
      <c r="P26" s="3"/>
      <c r="Q26" s="3"/>
      <c r="R26" s="18"/>
      <c r="S26" s="3">
        <f t="shared" si="7"/>
        <v>0</v>
      </c>
      <c r="T26" s="3">
        <f t="shared" si="8"/>
        <v>0</v>
      </c>
      <c r="U26" s="18"/>
      <c r="V26" s="18">
        <f t="shared" si="2"/>
        <v>0</v>
      </c>
      <c r="W26" s="4">
        <f t="shared" si="3"/>
        <v>2.2</v>
      </c>
    </row>
    <row r="27" spans="1:23" ht="34.5" customHeight="1">
      <c r="A27" s="6">
        <v>20</v>
      </c>
      <c r="B27" s="20" t="s">
        <v>93</v>
      </c>
      <c r="C27" s="2"/>
      <c r="D27" s="3"/>
      <c r="E27" s="3"/>
      <c r="F27" s="40"/>
      <c r="G27" s="3"/>
      <c r="H27" s="3"/>
      <c r="I27" s="18"/>
      <c r="J27" s="3"/>
      <c r="K27" s="3"/>
      <c r="L27" s="18"/>
      <c r="M27" s="3"/>
      <c r="N27" s="3"/>
      <c r="O27" s="40" t="e">
        <f t="shared" si="1"/>
        <v>#DIV/0!</v>
      </c>
      <c r="P27" s="3"/>
      <c r="Q27" s="3"/>
      <c r="R27" s="18"/>
      <c r="S27" s="3">
        <f t="shared" si="7"/>
        <v>0</v>
      </c>
      <c r="T27" s="3">
        <f t="shared" si="8"/>
        <v>0</v>
      </c>
      <c r="U27" s="18"/>
      <c r="V27" s="18">
        <f t="shared" si="2"/>
        <v>0</v>
      </c>
      <c r="W27" s="4">
        <f t="shared" si="3"/>
        <v>0</v>
      </c>
    </row>
    <row r="28" spans="1:23" ht="40.5" customHeight="1">
      <c r="A28" s="6">
        <v>21</v>
      </c>
      <c r="B28" s="1" t="s">
        <v>64</v>
      </c>
      <c r="C28" s="2">
        <v>222.2</v>
      </c>
      <c r="D28" s="3">
        <v>199</v>
      </c>
      <c r="E28" s="3">
        <v>139.3</v>
      </c>
      <c r="F28" s="18">
        <f t="shared" si="0"/>
        <v>70</v>
      </c>
      <c r="G28" s="56">
        <v>192.6</v>
      </c>
      <c r="H28" s="56">
        <v>73.9</v>
      </c>
      <c r="I28" s="18">
        <f>H28/G28*100</f>
        <v>38.36967808930426</v>
      </c>
      <c r="J28" s="56">
        <v>76.3</v>
      </c>
      <c r="K28" s="56">
        <v>178.1</v>
      </c>
      <c r="L28" s="18">
        <f>K28/J28*100</f>
        <v>233.42070773263433</v>
      </c>
      <c r="M28" s="3">
        <f t="shared" si="5"/>
        <v>467.90000000000003</v>
      </c>
      <c r="N28" s="3">
        <f t="shared" si="6"/>
        <v>391.3</v>
      </c>
      <c r="O28" s="18">
        <f t="shared" si="1"/>
        <v>83.62898055139986</v>
      </c>
      <c r="P28" s="56">
        <v>1.5</v>
      </c>
      <c r="Q28" s="56">
        <v>64.9</v>
      </c>
      <c r="R28" s="18">
        <f>Q28/P28*100</f>
        <v>4326.666666666667</v>
      </c>
      <c r="S28" s="3">
        <f t="shared" si="7"/>
        <v>469.40000000000003</v>
      </c>
      <c r="T28" s="3">
        <f t="shared" si="8"/>
        <v>456.20000000000005</v>
      </c>
      <c r="U28" s="18">
        <f>T28/S28*100</f>
        <v>97.18789944610141</v>
      </c>
      <c r="V28" s="18">
        <f t="shared" si="2"/>
        <v>13.199999999999989</v>
      </c>
      <c r="W28" s="4">
        <f t="shared" si="3"/>
        <v>235.39999999999998</v>
      </c>
    </row>
    <row r="29" spans="1:23" ht="23.25" customHeight="1">
      <c r="A29" s="6">
        <v>22</v>
      </c>
      <c r="B29" s="1" t="s">
        <v>65</v>
      </c>
      <c r="C29" s="58"/>
      <c r="D29" s="47"/>
      <c r="E29" s="47"/>
      <c r="F29" s="47"/>
      <c r="G29" s="58"/>
      <c r="H29" s="58"/>
      <c r="I29" s="58"/>
      <c r="J29" s="58"/>
      <c r="K29" s="58"/>
      <c r="L29" s="58"/>
      <c r="M29" s="3"/>
      <c r="N29" s="3"/>
      <c r="O29" s="40" t="e">
        <f t="shared" si="1"/>
        <v>#DIV/0!</v>
      </c>
      <c r="P29" s="58"/>
      <c r="Q29" s="58"/>
      <c r="R29" s="58"/>
      <c r="S29" s="3">
        <f t="shared" si="7"/>
        <v>0</v>
      </c>
      <c r="T29" s="3">
        <f t="shared" si="8"/>
        <v>0</v>
      </c>
      <c r="U29" s="58"/>
      <c r="V29" s="18">
        <f t="shared" si="2"/>
        <v>0</v>
      </c>
      <c r="W29" s="4">
        <f t="shared" si="3"/>
        <v>0</v>
      </c>
    </row>
    <row r="30" spans="1:23" ht="23.25" customHeight="1">
      <c r="A30" s="6">
        <v>23</v>
      </c>
      <c r="B30" s="20" t="s">
        <v>66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40" t="e">
        <f t="shared" si="1"/>
        <v>#DIV/0!</v>
      </c>
      <c r="P30" s="47"/>
      <c r="Q30" s="47"/>
      <c r="R30" s="47"/>
      <c r="S30" s="3">
        <f t="shared" si="7"/>
        <v>0</v>
      </c>
      <c r="T30" s="3">
        <f t="shared" si="8"/>
        <v>0</v>
      </c>
      <c r="U30" s="47"/>
      <c r="V30" s="18">
        <f t="shared" si="2"/>
        <v>0</v>
      </c>
      <c r="W30" s="4">
        <f t="shared" si="3"/>
        <v>0</v>
      </c>
    </row>
    <row r="31" spans="1:23" ht="23.25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40" t="e">
        <f t="shared" si="1"/>
        <v>#DIV/0!</v>
      </c>
      <c r="P31" s="58"/>
      <c r="Q31" s="58"/>
      <c r="R31" s="58"/>
      <c r="S31" s="3">
        <f t="shared" si="7"/>
        <v>0</v>
      </c>
      <c r="T31" s="3">
        <f t="shared" si="8"/>
        <v>0</v>
      </c>
      <c r="U31" s="58"/>
      <c r="V31" s="18">
        <f t="shared" si="2"/>
        <v>0</v>
      </c>
      <c r="W31" s="4">
        <f t="shared" si="3"/>
        <v>0</v>
      </c>
    </row>
    <row r="32" spans="1:23" ht="23.25" customHeight="1">
      <c r="A32" s="6">
        <v>25</v>
      </c>
      <c r="B32" s="20" t="s">
        <v>87</v>
      </c>
      <c r="C32" s="2"/>
      <c r="D32" s="32"/>
      <c r="E32" s="32"/>
      <c r="F32" s="48" t="e">
        <f aca="true" t="shared" si="9" ref="F32:F46">E32/D32*100</f>
        <v>#DIV/0!</v>
      </c>
      <c r="G32" s="32"/>
      <c r="H32" s="32"/>
      <c r="I32" s="48"/>
      <c r="J32" s="32"/>
      <c r="K32" s="32"/>
      <c r="L32" s="48"/>
      <c r="M32" s="3"/>
      <c r="N32" s="3"/>
      <c r="O32" s="40" t="e">
        <f t="shared" si="1"/>
        <v>#DIV/0!</v>
      </c>
      <c r="P32" s="32"/>
      <c r="Q32" s="32"/>
      <c r="R32" s="48"/>
      <c r="S32" s="3">
        <f t="shared" si="7"/>
        <v>0</v>
      </c>
      <c r="T32" s="3">
        <f t="shared" si="8"/>
        <v>0</v>
      </c>
      <c r="U32" s="48"/>
      <c r="V32" s="18">
        <f t="shared" si="2"/>
        <v>0</v>
      </c>
      <c r="W32" s="4">
        <f t="shared" si="3"/>
        <v>0</v>
      </c>
    </row>
    <row r="33" spans="1:23" ht="23.25" customHeight="1">
      <c r="A33" s="6"/>
      <c r="B33" s="20" t="s">
        <v>105</v>
      </c>
      <c r="C33" s="2">
        <f>178.6+(-46.9)</f>
        <v>131.7</v>
      </c>
      <c r="D33" s="3">
        <f>195.9</f>
        <v>195.9</v>
      </c>
      <c r="E33" s="3">
        <v>167.7</v>
      </c>
      <c r="F33" s="18">
        <f t="shared" si="9"/>
        <v>85.60490045941806</v>
      </c>
      <c r="G33" s="3">
        <v>152.9</v>
      </c>
      <c r="H33" s="3">
        <v>188.4</v>
      </c>
      <c r="I33" s="18">
        <f aca="true" t="shared" si="10" ref="I33:I45">H33/G33*100</f>
        <v>123.21778940483976</v>
      </c>
      <c r="J33" s="3">
        <v>57.9</v>
      </c>
      <c r="K33" s="3">
        <v>145.3</v>
      </c>
      <c r="L33" s="18">
        <f>K33/J33*100</f>
        <v>250.9499136442142</v>
      </c>
      <c r="M33" s="3">
        <f t="shared" si="5"/>
        <v>406.7</v>
      </c>
      <c r="N33" s="3">
        <f t="shared" si="6"/>
        <v>501.40000000000003</v>
      </c>
      <c r="O33" s="18">
        <f t="shared" si="1"/>
        <v>123.28497664125892</v>
      </c>
      <c r="P33" s="3">
        <v>0</v>
      </c>
      <c r="Q33" s="3">
        <v>54.9</v>
      </c>
      <c r="R33" s="40" t="e">
        <f>Q33/P33*100</f>
        <v>#DIV/0!</v>
      </c>
      <c r="S33" s="3">
        <f t="shared" si="7"/>
        <v>406.7</v>
      </c>
      <c r="T33" s="3">
        <f t="shared" si="8"/>
        <v>556.3000000000001</v>
      </c>
      <c r="U33" s="18">
        <f>T33/S33*100</f>
        <v>136.78387017457587</v>
      </c>
      <c r="V33" s="18">
        <f t="shared" si="2"/>
        <v>-149.60000000000008</v>
      </c>
      <c r="W33" s="4">
        <f t="shared" si="3"/>
        <v>-17.90000000000009</v>
      </c>
    </row>
    <row r="34" spans="1:23" ht="24.75" customHeight="1">
      <c r="A34" s="28"/>
      <c r="B34" s="20" t="s">
        <v>69</v>
      </c>
      <c r="C34" s="2">
        <v>0</v>
      </c>
      <c r="D34" s="32"/>
      <c r="E34" s="32"/>
      <c r="F34" s="48"/>
      <c r="G34" s="3"/>
      <c r="H34" s="3"/>
      <c r="I34" s="48"/>
      <c r="J34" s="3"/>
      <c r="K34" s="3"/>
      <c r="L34" s="48"/>
      <c r="M34" s="3"/>
      <c r="N34" s="3"/>
      <c r="O34" s="40" t="e">
        <f t="shared" si="1"/>
        <v>#DIV/0!</v>
      </c>
      <c r="P34" s="3"/>
      <c r="Q34" s="3"/>
      <c r="R34" s="48"/>
      <c r="S34" s="3">
        <f t="shared" si="7"/>
        <v>0</v>
      </c>
      <c r="T34" s="3">
        <f t="shared" si="8"/>
        <v>0</v>
      </c>
      <c r="U34" s="18"/>
      <c r="V34" s="18"/>
      <c r="W34" s="4"/>
    </row>
    <row r="35" spans="1:23" ht="30" customHeight="1">
      <c r="A35" s="6">
        <v>26</v>
      </c>
      <c r="B35" s="20" t="s">
        <v>94</v>
      </c>
      <c r="C35" s="2">
        <v>2037.7</v>
      </c>
      <c r="D35" s="3">
        <v>124.2</v>
      </c>
      <c r="E35" s="3">
        <v>54.7</v>
      </c>
      <c r="F35" s="18">
        <f t="shared" si="9"/>
        <v>44.04186795491143</v>
      </c>
      <c r="G35" s="3">
        <v>102.3</v>
      </c>
      <c r="H35" s="3">
        <v>54.5</v>
      </c>
      <c r="I35" s="18">
        <f t="shared" si="10"/>
        <v>53.27468230694037</v>
      </c>
      <c r="J35" s="3">
        <v>69.7</v>
      </c>
      <c r="K35" s="3">
        <v>11.8</v>
      </c>
      <c r="L35" s="18">
        <f aca="true" t="shared" si="11" ref="L35:L42">K35/J35*100</f>
        <v>16.929698708751793</v>
      </c>
      <c r="M35" s="3">
        <f t="shared" si="5"/>
        <v>296.2</v>
      </c>
      <c r="N35" s="3">
        <f t="shared" si="6"/>
        <v>121</v>
      </c>
      <c r="O35" s="18">
        <f t="shared" si="1"/>
        <v>40.85077650236327</v>
      </c>
      <c r="P35" s="3">
        <v>2.5</v>
      </c>
      <c r="Q35" s="3">
        <v>204.1</v>
      </c>
      <c r="R35" s="18">
        <f aca="true" t="shared" si="12" ref="R35:R42">Q35/P35*100</f>
        <v>8164</v>
      </c>
      <c r="S35" s="3">
        <f t="shared" si="7"/>
        <v>298.7</v>
      </c>
      <c r="T35" s="3">
        <f t="shared" si="8"/>
        <v>325.1</v>
      </c>
      <c r="U35" s="18">
        <f aca="true" t="shared" si="13" ref="U35:U46">T35/S35*100</f>
        <v>108.83829929695348</v>
      </c>
      <c r="V35" s="18">
        <f aca="true" t="shared" si="14" ref="V35:V42">S35-T35</f>
        <v>-26.400000000000034</v>
      </c>
      <c r="W35" s="4">
        <f aca="true" t="shared" si="15" ref="W35:W42">C35+S35-T35</f>
        <v>2011.3000000000002</v>
      </c>
    </row>
    <row r="36" spans="1:23" ht="23.25" customHeight="1">
      <c r="A36" s="6">
        <v>27</v>
      </c>
      <c r="B36" s="1" t="s">
        <v>70</v>
      </c>
      <c r="C36" s="2">
        <v>54.1</v>
      </c>
      <c r="D36" s="3">
        <v>80.8</v>
      </c>
      <c r="E36" s="3">
        <v>60.6</v>
      </c>
      <c r="F36" s="18">
        <f t="shared" si="9"/>
        <v>75</v>
      </c>
      <c r="G36" s="3">
        <v>72.6</v>
      </c>
      <c r="H36" s="3">
        <v>68.9</v>
      </c>
      <c r="I36" s="18">
        <f t="shared" si="10"/>
        <v>94.90358126721765</v>
      </c>
      <c r="J36" s="3">
        <v>36.3</v>
      </c>
      <c r="K36" s="3">
        <v>73.8</v>
      </c>
      <c r="L36" s="18">
        <f t="shared" si="11"/>
        <v>203.30578512396693</v>
      </c>
      <c r="M36" s="3">
        <f t="shared" si="5"/>
        <v>189.7</v>
      </c>
      <c r="N36" s="3">
        <f t="shared" si="6"/>
        <v>203.3</v>
      </c>
      <c r="O36" s="18">
        <f t="shared" si="1"/>
        <v>107.16921454928836</v>
      </c>
      <c r="P36" s="3">
        <v>1.8</v>
      </c>
      <c r="Q36" s="3">
        <v>30</v>
      </c>
      <c r="R36" s="18">
        <f t="shared" si="12"/>
        <v>1666.6666666666667</v>
      </c>
      <c r="S36" s="3">
        <f t="shared" si="7"/>
        <v>191.5</v>
      </c>
      <c r="T36" s="3">
        <f t="shared" si="8"/>
        <v>233.3</v>
      </c>
      <c r="U36" s="18">
        <f t="shared" si="13"/>
        <v>121.82767624020889</v>
      </c>
      <c r="V36" s="18">
        <f t="shared" si="14"/>
        <v>-41.80000000000001</v>
      </c>
      <c r="W36" s="4">
        <f t="shared" si="15"/>
        <v>12.299999999999983</v>
      </c>
    </row>
    <row r="37" spans="1:23" ht="23.25" customHeight="1">
      <c r="A37" s="6">
        <v>28</v>
      </c>
      <c r="B37" s="20" t="s">
        <v>71</v>
      </c>
      <c r="C37" s="2">
        <v>722.8</v>
      </c>
      <c r="D37" s="3">
        <v>588</v>
      </c>
      <c r="E37" s="3">
        <v>448.3</v>
      </c>
      <c r="F37" s="18">
        <f t="shared" si="9"/>
        <v>76.24149659863946</v>
      </c>
      <c r="G37" s="3">
        <v>522.9</v>
      </c>
      <c r="H37" s="3">
        <v>549.5</v>
      </c>
      <c r="I37" s="18">
        <f t="shared" si="10"/>
        <v>105.08701472556893</v>
      </c>
      <c r="J37" s="3">
        <v>251.1</v>
      </c>
      <c r="K37" s="3">
        <v>414.7</v>
      </c>
      <c r="L37" s="18">
        <f t="shared" si="11"/>
        <v>165.15332536837911</v>
      </c>
      <c r="M37" s="3">
        <f t="shared" si="5"/>
        <v>1362</v>
      </c>
      <c r="N37" s="3">
        <f t="shared" si="6"/>
        <v>1412.5</v>
      </c>
      <c r="O37" s="18">
        <f t="shared" si="1"/>
        <v>103.70778267254038</v>
      </c>
      <c r="P37" s="3">
        <v>9.1</v>
      </c>
      <c r="Q37" s="3">
        <v>236.9</v>
      </c>
      <c r="R37" s="18">
        <f t="shared" si="12"/>
        <v>2603.296703296703</v>
      </c>
      <c r="S37" s="3">
        <f t="shared" si="7"/>
        <v>1371.1</v>
      </c>
      <c r="T37" s="3">
        <f t="shared" si="8"/>
        <v>1649.4</v>
      </c>
      <c r="U37" s="18">
        <f t="shared" si="13"/>
        <v>120.29757129312233</v>
      </c>
      <c r="V37" s="18">
        <f t="shared" si="14"/>
        <v>-278.3000000000002</v>
      </c>
      <c r="W37" s="4">
        <f t="shared" si="15"/>
        <v>444.49999999999955</v>
      </c>
    </row>
    <row r="38" spans="1:23" ht="23.25" customHeight="1">
      <c r="A38" s="6">
        <v>29</v>
      </c>
      <c r="B38" s="20" t="s">
        <v>72</v>
      </c>
      <c r="C38" s="2">
        <v>478.1</v>
      </c>
      <c r="D38" s="3">
        <v>508.6</v>
      </c>
      <c r="E38" s="3">
        <v>426.4</v>
      </c>
      <c r="F38" s="18">
        <f t="shared" si="9"/>
        <v>83.8379866299646</v>
      </c>
      <c r="G38" s="3">
        <v>492.1</v>
      </c>
      <c r="H38" s="3">
        <v>420.6</v>
      </c>
      <c r="I38" s="18">
        <f t="shared" si="10"/>
        <v>85.4704328388539</v>
      </c>
      <c r="J38" s="3">
        <v>268.8</v>
      </c>
      <c r="K38" s="3">
        <v>440.5</v>
      </c>
      <c r="L38" s="18">
        <f t="shared" si="11"/>
        <v>163.8764880952381</v>
      </c>
      <c r="M38" s="3">
        <f t="shared" si="5"/>
        <v>1269.5</v>
      </c>
      <c r="N38" s="3">
        <f t="shared" si="6"/>
        <v>1287.5</v>
      </c>
      <c r="O38" s="18">
        <f t="shared" si="1"/>
        <v>101.41788105553367</v>
      </c>
      <c r="P38" s="3">
        <v>30.1</v>
      </c>
      <c r="Q38" s="3">
        <v>191.7</v>
      </c>
      <c r="R38" s="18">
        <f t="shared" si="12"/>
        <v>636.87707641196</v>
      </c>
      <c r="S38" s="3">
        <f t="shared" si="7"/>
        <v>1299.6</v>
      </c>
      <c r="T38" s="3">
        <f t="shared" si="8"/>
        <v>1479.2</v>
      </c>
      <c r="U38" s="18">
        <f t="shared" si="13"/>
        <v>113.81963681132656</v>
      </c>
      <c r="V38" s="18">
        <f t="shared" si="14"/>
        <v>-179.60000000000014</v>
      </c>
      <c r="W38" s="4">
        <f t="shared" si="15"/>
        <v>298.4999999999998</v>
      </c>
    </row>
    <row r="39" spans="1:23" ht="35.25" customHeight="1">
      <c r="A39" s="6">
        <v>30</v>
      </c>
      <c r="B39" s="20" t="s">
        <v>95</v>
      </c>
      <c r="C39" s="2">
        <v>944.2</v>
      </c>
      <c r="D39" s="3">
        <v>1374.7</v>
      </c>
      <c r="E39" s="3">
        <v>671.4</v>
      </c>
      <c r="F39" s="18">
        <f t="shared" si="9"/>
        <v>48.839746853859026</v>
      </c>
      <c r="G39" s="3">
        <v>1133.8</v>
      </c>
      <c r="H39" s="3">
        <v>932.1</v>
      </c>
      <c r="I39" s="18">
        <f t="shared" si="10"/>
        <v>82.21026636091023</v>
      </c>
      <c r="J39" s="3">
        <v>589.5</v>
      </c>
      <c r="K39" s="3">
        <v>690.1</v>
      </c>
      <c r="L39" s="18">
        <f t="shared" si="11"/>
        <v>117.06530958439356</v>
      </c>
      <c r="M39" s="3">
        <f t="shared" si="5"/>
        <v>3098</v>
      </c>
      <c r="N39" s="3">
        <f t="shared" si="6"/>
        <v>2293.6</v>
      </c>
      <c r="O39" s="18">
        <f t="shared" si="1"/>
        <v>74.0348612007747</v>
      </c>
      <c r="P39" s="3">
        <v>0</v>
      </c>
      <c r="Q39" s="3">
        <v>356.4</v>
      </c>
      <c r="R39" s="40" t="e">
        <f t="shared" si="12"/>
        <v>#DIV/0!</v>
      </c>
      <c r="S39" s="3">
        <f t="shared" si="7"/>
        <v>3098</v>
      </c>
      <c r="T39" s="3">
        <f t="shared" si="8"/>
        <v>2650</v>
      </c>
      <c r="U39" s="18">
        <f t="shared" si="13"/>
        <v>85.53905745642349</v>
      </c>
      <c r="V39" s="18">
        <f t="shared" si="14"/>
        <v>448</v>
      </c>
      <c r="W39" s="4">
        <f t="shared" si="15"/>
        <v>1392.1999999999998</v>
      </c>
    </row>
    <row r="40" spans="1:23" ht="23.25" customHeight="1">
      <c r="A40" s="6">
        <v>31</v>
      </c>
      <c r="B40" s="20" t="s">
        <v>73</v>
      </c>
      <c r="C40" s="2">
        <v>1.6</v>
      </c>
      <c r="D40" s="3">
        <v>1.1</v>
      </c>
      <c r="E40" s="3">
        <v>0</v>
      </c>
      <c r="F40" s="18">
        <f t="shared" si="9"/>
        <v>0</v>
      </c>
      <c r="G40" s="3">
        <v>0.9</v>
      </c>
      <c r="H40" s="3">
        <v>0</v>
      </c>
      <c r="I40" s="18">
        <f t="shared" si="10"/>
        <v>0</v>
      </c>
      <c r="J40" s="3">
        <v>0.3</v>
      </c>
      <c r="K40" s="3">
        <v>0</v>
      </c>
      <c r="L40" s="18">
        <f t="shared" si="11"/>
        <v>0</v>
      </c>
      <c r="M40" s="3">
        <f t="shared" si="5"/>
        <v>2.3</v>
      </c>
      <c r="N40" s="3">
        <f t="shared" si="6"/>
        <v>0</v>
      </c>
      <c r="O40" s="18">
        <f t="shared" si="1"/>
        <v>0</v>
      </c>
      <c r="P40" s="3">
        <v>0</v>
      </c>
      <c r="Q40" s="3">
        <v>0</v>
      </c>
      <c r="R40" s="40" t="e">
        <f t="shared" si="12"/>
        <v>#DIV/0!</v>
      </c>
      <c r="S40" s="3">
        <f t="shared" si="7"/>
        <v>2.3</v>
      </c>
      <c r="T40" s="3">
        <f t="shared" si="8"/>
        <v>0</v>
      </c>
      <c r="U40" s="18">
        <f t="shared" si="13"/>
        <v>0</v>
      </c>
      <c r="V40" s="18">
        <f t="shared" si="14"/>
        <v>2.3</v>
      </c>
      <c r="W40" s="4">
        <f t="shared" si="15"/>
        <v>3.9</v>
      </c>
    </row>
    <row r="41" spans="1:23" ht="28.5" customHeight="1">
      <c r="A41" s="6">
        <v>32</v>
      </c>
      <c r="B41" s="1" t="s">
        <v>74</v>
      </c>
      <c r="C41" s="2">
        <v>563.8</v>
      </c>
      <c r="D41" s="3">
        <v>333.7</v>
      </c>
      <c r="E41" s="3">
        <v>278.2</v>
      </c>
      <c r="F41" s="18">
        <f t="shared" si="9"/>
        <v>83.36829487563679</v>
      </c>
      <c r="G41" s="3">
        <v>282.8</v>
      </c>
      <c r="H41" s="3">
        <v>315.5</v>
      </c>
      <c r="I41" s="18">
        <f t="shared" si="10"/>
        <v>111.56294200848656</v>
      </c>
      <c r="J41" s="3">
        <v>131.4</v>
      </c>
      <c r="K41" s="3">
        <v>284.7</v>
      </c>
      <c r="L41" s="18">
        <f t="shared" si="11"/>
        <v>216.66666666666666</v>
      </c>
      <c r="M41" s="3">
        <f t="shared" si="5"/>
        <v>747.9</v>
      </c>
      <c r="N41" s="3">
        <f t="shared" si="6"/>
        <v>878.4000000000001</v>
      </c>
      <c r="O41" s="18">
        <f t="shared" si="1"/>
        <v>117.44885679903732</v>
      </c>
      <c r="P41" s="3">
        <v>0</v>
      </c>
      <c r="Q41" s="3">
        <v>115.5</v>
      </c>
      <c r="R41" s="40" t="e">
        <f t="shared" si="12"/>
        <v>#DIV/0!</v>
      </c>
      <c r="S41" s="3">
        <f t="shared" si="7"/>
        <v>747.9</v>
      </c>
      <c r="T41" s="3">
        <f t="shared" si="8"/>
        <v>993.9000000000001</v>
      </c>
      <c r="U41" s="18">
        <f t="shared" si="13"/>
        <v>132.89209787404735</v>
      </c>
      <c r="V41" s="18">
        <f t="shared" si="14"/>
        <v>-246.0000000000001</v>
      </c>
      <c r="W41" s="4">
        <f t="shared" si="15"/>
        <v>317.7999999999997</v>
      </c>
    </row>
    <row r="42" spans="1:23" ht="23.25" customHeight="1">
      <c r="A42" s="6">
        <v>33</v>
      </c>
      <c r="B42" s="20" t="s">
        <v>75</v>
      </c>
      <c r="C42" s="2">
        <v>426.6</v>
      </c>
      <c r="D42" s="3">
        <v>653.6</v>
      </c>
      <c r="E42" s="3">
        <v>504</v>
      </c>
      <c r="F42" s="18">
        <f t="shared" si="9"/>
        <v>77.11138310893513</v>
      </c>
      <c r="G42" s="3">
        <v>555.7</v>
      </c>
      <c r="H42" s="3">
        <v>442.8</v>
      </c>
      <c r="I42" s="18">
        <f t="shared" si="10"/>
        <v>79.68328234658988</v>
      </c>
      <c r="J42" s="3">
        <v>266.1</v>
      </c>
      <c r="K42" s="3">
        <v>367.8</v>
      </c>
      <c r="L42" s="18">
        <f t="shared" si="11"/>
        <v>138.21871476888387</v>
      </c>
      <c r="M42" s="3">
        <f t="shared" si="5"/>
        <v>1475.4</v>
      </c>
      <c r="N42" s="3">
        <f t="shared" si="6"/>
        <v>1314.6</v>
      </c>
      <c r="O42" s="18">
        <f t="shared" si="1"/>
        <v>89.10126067507116</v>
      </c>
      <c r="P42" s="3">
        <v>8.4</v>
      </c>
      <c r="Q42" s="3">
        <v>188.5</v>
      </c>
      <c r="R42" s="18">
        <f t="shared" si="12"/>
        <v>2244.047619047619</v>
      </c>
      <c r="S42" s="3">
        <f t="shared" si="7"/>
        <v>1483.8000000000002</v>
      </c>
      <c r="T42" s="3">
        <f t="shared" si="8"/>
        <v>1503.1</v>
      </c>
      <c r="U42" s="18">
        <f t="shared" si="13"/>
        <v>101.30071438199218</v>
      </c>
      <c r="V42" s="18">
        <f t="shared" si="14"/>
        <v>-19.299999999999727</v>
      </c>
      <c r="W42" s="4">
        <f t="shared" si="15"/>
        <v>407.3000000000002</v>
      </c>
    </row>
    <row r="43" spans="1:23" s="9" customFormat="1" ht="23.25" customHeight="1">
      <c r="A43" s="50">
        <v>34</v>
      </c>
      <c r="B43" s="22" t="s">
        <v>76</v>
      </c>
      <c r="C43" s="60">
        <f>C44+C45</f>
        <v>127349.3</v>
      </c>
      <c r="D43" s="60">
        <f>D44+D45</f>
        <v>77395.7</v>
      </c>
      <c r="E43" s="60">
        <f>E44+E45</f>
        <v>48505.8</v>
      </c>
      <c r="F43" s="18">
        <f t="shared" si="9"/>
        <v>62.67247405217603</v>
      </c>
      <c r="G43" s="60">
        <f>G44+G45</f>
        <v>79023.8</v>
      </c>
      <c r="H43" s="60">
        <f>H44+H45</f>
        <v>50645</v>
      </c>
      <c r="I43" s="18">
        <f>H43/G43*100</f>
        <v>64.08828732609669</v>
      </c>
      <c r="J43" s="60">
        <f>J44+J45</f>
        <v>53581.6</v>
      </c>
      <c r="K43" s="60">
        <f>K44+K45</f>
        <v>48066.9</v>
      </c>
      <c r="L43" s="18">
        <f>K43/J43*100</f>
        <v>89.70784747002702</v>
      </c>
      <c r="M43" s="3">
        <f>M44+M45</f>
        <v>210001.1</v>
      </c>
      <c r="N43" s="3">
        <f>N44+N45</f>
        <v>147217.7</v>
      </c>
      <c r="O43" s="18">
        <f t="shared" si="1"/>
        <v>70.1032994589076</v>
      </c>
      <c r="P43" s="60">
        <f>P44+P45</f>
        <v>20393.3</v>
      </c>
      <c r="Q43" s="60">
        <f>Q44+Q45</f>
        <v>33943.6</v>
      </c>
      <c r="R43" s="18">
        <f>Q43/P43*100</f>
        <v>166.4448617928437</v>
      </c>
      <c r="S43" s="60">
        <f>S44+S45</f>
        <v>230394.4</v>
      </c>
      <c r="T43" s="60">
        <f>T44+T45</f>
        <v>181161.3</v>
      </c>
      <c r="U43" s="18">
        <f t="shared" si="13"/>
        <v>78.63094762719926</v>
      </c>
      <c r="V43" s="61">
        <f>V44+V45</f>
        <v>49233.1</v>
      </c>
      <c r="W43" s="61">
        <f>W44+W45</f>
        <v>176582.4</v>
      </c>
    </row>
    <row r="44" spans="1:23" s="9" customFormat="1" ht="23.25" customHeight="1">
      <c r="A44" s="50"/>
      <c r="B44" s="1" t="s">
        <v>77</v>
      </c>
      <c r="C44" s="2">
        <v>126883</v>
      </c>
      <c r="D44" s="3">
        <v>76659</v>
      </c>
      <c r="E44" s="3">
        <v>47721</v>
      </c>
      <c r="F44" s="18">
        <f t="shared" si="9"/>
        <v>62.2510077094666</v>
      </c>
      <c r="G44" s="3">
        <v>77434</v>
      </c>
      <c r="H44" s="3">
        <v>49720</v>
      </c>
      <c r="I44" s="18">
        <f t="shared" si="10"/>
        <v>64.20952036573082</v>
      </c>
      <c r="J44" s="3">
        <v>52708</v>
      </c>
      <c r="K44" s="3">
        <v>46306</v>
      </c>
      <c r="L44" s="18">
        <f>K44/J44*100</f>
        <v>87.85383622979434</v>
      </c>
      <c r="M44" s="3">
        <f t="shared" si="5"/>
        <v>206801</v>
      </c>
      <c r="N44" s="3">
        <f t="shared" si="6"/>
        <v>143747</v>
      </c>
      <c r="O44" s="18">
        <f t="shared" si="1"/>
        <v>69.50981861789836</v>
      </c>
      <c r="P44" s="3">
        <v>19813</v>
      </c>
      <c r="Q44" s="3">
        <v>33547</v>
      </c>
      <c r="R44" s="18">
        <f>Q44/P44*100</f>
        <v>169.31812446373593</v>
      </c>
      <c r="S44" s="3">
        <f>M44+P44</f>
        <v>226614</v>
      </c>
      <c r="T44" s="3">
        <f>N44+Q44</f>
        <v>177294</v>
      </c>
      <c r="U44" s="18">
        <f t="shared" si="13"/>
        <v>78.23611956895867</v>
      </c>
      <c r="V44" s="18">
        <f>S44-T44</f>
        <v>49320</v>
      </c>
      <c r="W44" s="4">
        <f>C44+S44-T44</f>
        <v>176203</v>
      </c>
    </row>
    <row r="45" spans="1:23" s="9" customFormat="1" ht="24.75" customHeight="1">
      <c r="A45" s="50"/>
      <c r="B45" s="1" t="s">
        <v>69</v>
      </c>
      <c r="C45" s="2">
        <v>466.3</v>
      </c>
      <c r="D45" s="3">
        <v>736.7</v>
      </c>
      <c r="E45" s="3">
        <v>784.8</v>
      </c>
      <c r="F45" s="18">
        <f>E45/D45*100</f>
        <v>106.52911632957785</v>
      </c>
      <c r="G45" s="56">
        <v>1589.8</v>
      </c>
      <c r="H45" s="56">
        <v>925</v>
      </c>
      <c r="I45" s="18">
        <f t="shared" si="10"/>
        <v>58.18341929802491</v>
      </c>
      <c r="J45" s="56">
        <v>873.6</v>
      </c>
      <c r="K45" s="56">
        <v>1760.9</v>
      </c>
      <c r="L45" s="18">
        <f>K45/J45*100</f>
        <v>201.56822344322345</v>
      </c>
      <c r="M45" s="3">
        <f t="shared" si="5"/>
        <v>3200.1</v>
      </c>
      <c r="N45" s="3">
        <f t="shared" si="6"/>
        <v>3470.7</v>
      </c>
      <c r="O45" s="18">
        <f t="shared" si="1"/>
        <v>108.45598575044531</v>
      </c>
      <c r="P45" s="56">
        <v>580.3</v>
      </c>
      <c r="Q45" s="56">
        <v>396.6</v>
      </c>
      <c r="R45" s="18">
        <f>Q45/P45*100</f>
        <v>68.34396002067898</v>
      </c>
      <c r="S45" s="3">
        <f>M45+P45</f>
        <v>3780.3999999999996</v>
      </c>
      <c r="T45" s="3">
        <f>N45+Q45</f>
        <v>3867.2999999999997</v>
      </c>
      <c r="U45" s="18">
        <f t="shared" si="13"/>
        <v>102.29869855041795</v>
      </c>
      <c r="V45" s="18">
        <f>S45-T45</f>
        <v>-86.90000000000009</v>
      </c>
      <c r="W45" s="4">
        <f>C45+S45-T45</f>
        <v>379.4000000000001</v>
      </c>
    </row>
    <row r="46" spans="1:25" s="9" customFormat="1" ht="23.25" customHeight="1">
      <c r="A46" s="50"/>
      <c r="B46" s="22" t="s">
        <v>78</v>
      </c>
      <c r="C46" s="60">
        <f>C7+C43</f>
        <v>134646</v>
      </c>
      <c r="D46" s="4">
        <f>D7+D43</f>
        <v>83522.3</v>
      </c>
      <c r="E46" s="4">
        <f>E7+E43</f>
        <v>52713.700000000004</v>
      </c>
      <c r="F46" s="18">
        <f t="shared" si="9"/>
        <v>63.11332422598516</v>
      </c>
      <c r="G46" s="4">
        <f>G7+G43</f>
        <v>84315.7</v>
      </c>
      <c r="H46" s="4">
        <f>H7+H43</f>
        <v>55643.9</v>
      </c>
      <c r="I46" s="18">
        <f>H46/G46*100</f>
        <v>65.99470798439674</v>
      </c>
      <c r="J46" s="4">
        <f>J7+J43</f>
        <v>56176.6</v>
      </c>
      <c r="K46" s="4">
        <f>K7+K43</f>
        <v>52089.700000000004</v>
      </c>
      <c r="L46" s="18">
        <f>K46/J46*100</f>
        <v>92.724906811733</v>
      </c>
      <c r="M46" s="4">
        <f>M7+M43</f>
        <v>224014.6</v>
      </c>
      <c r="N46" s="4">
        <f>N7+N43</f>
        <v>160447.30000000002</v>
      </c>
      <c r="O46" s="18">
        <f t="shared" si="1"/>
        <v>71.62359060525519</v>
      </c>
      <c r="P46" s="4">
        <f>P7+P43</f>
        <v>20513.1</v>
      </c>
      <c r="Q46" s="4">
        <f>Q7+Q43</f>
        <v>36086.4</v>
      </c>
      <c r="R46" s="18">
        <f>Q46/P46*100</f>
        <v>175.9188031063077</v>
      </c>
      <c r="S46" s="4">
        <f>S7+S43</f>
        <v>244527.69999999998</v>
      </c>
      <c r="T46" s="4">
        <f>T7+T43</f>
        <v>196533.69999999998</v>
      </c>
      <c r="U46" s="18">
        <f t="shared" si="13"/>
        <v>80.37277576323663</v>
      </c>
      <c r="V46" s="61">
        <f>V7+V43</f>
        <v>47994</v>
      </c>
      <c r="W46" s="61">
        <f>W7+W43</f>
        <v>182640</v>
      </c>
      <c r="X46" s="30">
        <f>S46-T46</f>
        <v>47994</v>
      </c>
      <c r="Y46" s="24">
        <f>C46+S46-T46</f>
        <v>182639.99999999997</v>
      </c>
    </row>
    <row r="47" spans="3:23" ht="38.25" customHeight="1">
      <c r="C47" s="78"/>
      <c r="D47" s="43"/>
      <c r="E47" s="43"/>
      <c r="F47" s="67"/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39"/>
      <c r="W47" s="39"/>
    </row>
    <row r="48" spans="3:23" ht="38.25" customHeight="1">
      <c r="C48" s="78"/>
      <c r="D48" s="43"/>
      <c r="E48" s="43"/>
      <c r="F48" s="67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39"/>
      <c r="W48" s="39"/>
    </row>
    <row r="49" spans="7:23" ht="38.25" customHeight="1">
      <c r="G49" s="39"/>
      <c r="H49" s="39"/>
      <c r="I49" s="77"/>
      <c r="J49" s="39"/>
      <c r="K49" s="39"/>
      <c r="L49" s="77"/>
      <c r="M49" s="77"/>
      <c r="N49" s="77"/>
      <c r="O49" s="77"/>
      <c r="P49" s="39"/>
      <c r="Q49" s="39"/>
      <c r="R49" s="77"/>
      <c r="S49" s="39"/>
      <c r="T49" s="39"/>
      <c r="U49" s="77"/>
      <c r="V49" s="39"/>
      <c r="W49" s="39"/>
    </row>
    <row r="50" spans="7:23" ht="38.25" customHeight="1">
      <c r="G50" s="39"/>
      <c r="H50" s="39"/>
      <c r="I50" s="77"/>
      <c r="J50" s="39"/>
      <c r="K50" s="39"/>
      <c r="L50" s="77"/>
      <c r="M50" s="77"/>
      <c r="N50" s="77"/>
      <c r="O50" s="77"/>
      <c r="P50" s="39"/>
      <c r="Q50" s="39"/>
      <c r="R50" s="77"/>
      <c r="S50" s="39"/>
      <c r="T50" s="39"/>
      <c r="U50" s="77"/>
      <c r="V50" s="39"/>
      <c r="W50" s="39"/>
    </row>
    <row r="51" spans="7:23" ht="38.25" customHeight="1">
      <c r="G51" s="39"/>
      <c r="H51" s="39"/>
      <c r="I51" s="77"/>
      <c r="J51" s="39"/>
      <c r="K51" s="39"/>
      <c r="L51" s="77"/>
      <c r="M51" s="77"/>
      <c r="N51" s="77"/>
      <c r="O51" s="77"/>
      <c r="P51" s="39"/>
      <c r="Q51" s="39"/>
      <c r="R51" s="77"/>
      <c r="S51" s="39"/>
      <c r="T51" s="39"/>
      <c r="U51" s="77"/>
      <c r="V51" s="39"/>
      <c r="W51" s="39"/>
    </row>
    <row r="52" spans="7:23" ht="38.25" customHeight="1">
      <c r="G52" s="39"/>
      <c r="H52" s="39"/>
      <c r="I52" s="77"/>
      <c r="J52" s="39"/>
      <c r="K52" s="39"/>
      <c r="L52" s="77"/>
      <c r="M52" s="77"/>
      <c r="N52" s="77"/>
      <c r="O52" s="77"/>
      <c r="P52" s="39"/>
      <c r="Q52" s="39"/>
      <c r="R52" s="77"/>
      <c r="S52" s="39"/>
      <c r="T52" s="39"/>
      <c r="U52" s="77"/>
      <c r="V52" s="39"/>
      <c r="W52" s="39"/>
    </row>
    <row r="53" spans="7:23" ht="38.25" customHeight="1">
      <c r="G53" s="39"/>
      <c r="H53" s="39"/>
      <c r="I53" s="77"/>
      <c r="J53" s="39"/>
      <c r="K53" s="39"/>
      <c r="L53" s="77"/>
      <c r="M53" s="77"/>
      <c r="N53" s="77"/>
      <c r="O53" s="77"/>
      <c r="P53" s="39"/>
      <c r="Q53" s="39"/>
      <c r="R53" s="77"/>
      <c r="S53" s="39"/>
      <c r="T53" s="39"/>
      <c r="U53" s="77"/>
      <c r="V53" s="39"/>
      <c r="W53" s="39"/>
    </row>
    <row r="54" spans="7:23" ht="24.75" customHeight="1"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39"/>
      <c r="W54" s="39"/>
    </row>
    <row r="55" spans="7:23" ht="24.75" customHeight="1"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/>
      <c r="T55" s="39"/>
      <c r="U55" s="77"/>
      <c r="V55" s="39"/>
      <c r="W55" s="39"/>
    </row>
    <row r="56" spans="7:23" ht="24.75" customHeight="1"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39"/>
      <c r="W56" s="39"/>
    </row>
    <row r="57" spans="7:23" ht="24.75" customHeight="1"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39"/>
      <c r="W57" s="39"/>
    </row>
    <row r="58" spans="7:23" ht="24.75" customHeight="1"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39"/>
      <c r="W58" s="39"/>
    </row>
    <row r="59" spans="7:23" ht="24.75" customHeight="1"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39"/>
      <c r="W59" s="39"/>
    </row>
    <row r="60" spans="7:23" ht="24.75" customHeight="1"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39"/>
      <c r="W60" s="39"/>
    </row>
    <row r="61" spans="7:23" ht="24.75" customHeight="1"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39"/>
      <c r="W61" s="39"/>
    </row>
    <row r="62" spans="7:23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39"/>
      <c r="W62" s="39"/>
    </row>
    <row r="63" spans="7:23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39"/>
      <c r="W63" s="39"/>
    </row>
    <row r="64" spans="7:23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39"/>
      <c r="W64" s="39"/>
    </row>
    <row r="65" spans="7:23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39"/>
      <c r="W65" s="39"/>
    </row>
    <row r="66" spans="7:23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39"/>
      <c r="W66" s="39"/>
    </row>
    <row r="67" spans="7:23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39"/>
      <c r="W67" s="39"/>
    </row>
    <row r="68" spans="7:23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39"/>
      <c r="W68" s="39"/>
    </row>
    <row r="69" spans="7:23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39"/>
      <c r="W69" s="39"/>
    </row>
    <row r="70" spans="7:23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39"/>
      <c r="W70" s="39"/>
    </row>
    <row r="71" spans="7:23" ht="18.75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39"/>
      <c r="W71" s="39"/>
    </row>
    <row r="72" spans="7:23" ht="18.75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39"/>
      <c r="W72" s="39"/>
    </row>
    <row r="73" spans="7:23" ht="18.75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39"/>
      <c r="W73" s="39"/>
    </row>
    <row r="74" spans="7:23" ht="18.75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39"/>
      <c r="W74" s="39"/>
    </row>
    <row r="75" spans="7:23" ht="18.75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39"/>
      <c r="W75" s="39"/>
    </row>
    <row r="76" spans="7:23" ht="18.75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39"/>
      <c r="W76" s="39"/>
    </row>
    <row r="77" spans="7:23" ht="18.75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39"/>
      <c r="W77" s="39"/>
    </row>
    <row r="78" spans="7:23" ht="18.75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39"/>
      <c r="W78" s="39"/>
    </row>
    <row r="79" spans="7:23" ht="18.75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39"/>
      <c r="W79" s="39"/>
    </row>
    <row r="80" spans="7:23" ht="18.75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39"/>
      <c r="W80" s="39"/>
    </row>
    <row r="81" spans="7:23" ht="18.75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39"/>
      <c r="W81" s="39"/>
    </row>
    <row r="82" spans="7:23" ht="18.75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39"/>
      <c r="W82" s="39"/>
    </row>
    <row r="83" spans="7:23" ht="18.75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39"/>
      <c r="W83" s="39"/>
    </row>
    <row r="84" spans="7:23" ht="18.75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39"/>
      <c r="W84" s="39"/>
    </row>
    <row r="85" spans="7:23" ht="18.75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39"/>
      <c r="W85" s="39"/>
    </row>
    <row r="86" spans="7:23" ht="18.75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39"/>
      <c r="W86" s="39"/>
    </row>
    <row r="87" spans="7:23" ht="18.75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39"/>
      <c r="W87" s="39"/>
    </row>
    <row r="88" spans="7:23" ht="18.75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39"/>
      <c r="W88" s="39"/>
    </row>
    <row r="89" spans="7:23" ht="18.75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39"/>
      <c r="W89" s="39"/>
    </row>
  </sheetData>
  <sheetProtection/>
  <mergeCells count="10">
    <mergeCell ref="W5:W6"/>
    <mergeCell ref="V5:V6"/>
    <mergeCell ref="B1:W1"/>
    <mergeCell ref="B2:W2"/>
    <mergeCell ref="B4:C4"/>
    <mergeCell ref="D5:F5"/>
    <mergeCell ref="G5:I5"/>
    <mergeCell ref="S5:U5"/>
    <mergeCell ref="J5:L5"/>
    <mergeCell ref="P5:R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2017-05-19T08:11:28Z</cp:lastPrinted>
  <dcterms:created xsi:type="dcterms:W3CDTF">2001-09-14T09:33:50Z</dcterms:created>
  <dcterms:modified xsi:type="dcterms:W3CDTF">2017-05-19T09:28:18Z</dcterms:modified>
  <cp:category/>
  <cp:version/>
  <cp:contentType/>
  <cp:contentStatus/>
</cp:coreProperties>
</file>