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5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<sst xmlns="http://schemas.openxmlformats.org/spreadsheetml/2006/main" count="765" uniqueCount="125">
  <si>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</si>
  <si>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</si>
  <si>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</si>
  <si>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</si>
  <si>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</si>
  <si>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</si>
  <si>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</si>
  <si>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</si>
  <si>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</si>
  <si>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</si>
  <si>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</si>
  <si>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</si>
  <si>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</si>
  <si>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</si>
  <si>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</si>
  <si>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</si>
  <si>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</si>
  <si>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</si>
  <si>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</si>
  <si>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</si>
  <si>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</si>
  <si>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</si>
  <si>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</si>
  <si>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</si>
  <si>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</si>
  <si>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</si>
  <si>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</si>
  <si>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</si>
  <si>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</si>
  <si>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</si>
  <si>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</si>
  <si>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</si>
  <si>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</si>
  <si>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</si>
  <si>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</si>
  <si>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</si>
  <si>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</si>
  <si>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</si>
  <si>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</si>
  <si>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</si>
  <si>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</si>
  <si>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</si>
  <si>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</si>
  <si>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</si>
  <si>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</si>
  <si>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</si>
  <si>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</si>
  <si>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</si>
  <si>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</si>
  <si>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</si>
  <si>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</si>
  <si>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</si>
  <si>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</si>
  <si>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</si>
  <si>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</si>
  <si>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</si>
  <si>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</si>
  <si>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</si>
  <si>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</si>
  <si>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</si>
  <si>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</si>
  <si>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</si>
  <si>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</si>
  <si>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</si>
  <si>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</si>
  <si>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</si>
  <si>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</si>
  <si>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</si>
  <si>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</si>
  <si>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</si>
  <si>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</si>
  <si>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</si>
  <si>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</si>
  <si>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</si>
  <si>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</si>
  <si>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</si>
  <si>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</si>
  <si>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</si>
  <si>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</si>
  <si>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</si>
  <si>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</si>
  <si>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</si>
  <si>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</si>
  <si>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</si>
  <si>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</si>
  <si>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</si>
  <si>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</si>
  <si>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</si>
  <si>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</si>
  <si>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</si>
  <si>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</si>
  <si>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</si>
  <si>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</si>
  <si>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</si>
  <si>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</si>
  <si>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</si>
  <si>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</si>
  <si>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</si>
  <si>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</si>
  <si>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</si>
  <si>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</si>
  <si>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</si>
  <si>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</si>
  <si>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</si>
  <si>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</si>
  <si>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</si>
  <si>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</si>
  <si>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</si>
  <si>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</si>
  <si>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</si>
  <si>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</si>
  <si>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</si>
  <si>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</si>
  <si>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</si>
  <si>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</si>
  <si>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</si>
  <si>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</si>
  <si>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Задолженность за  2015 год по состоянию на 21.08.2015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</si>
  <si>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</si>
  <si>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</si>
  <si>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</si>
  <si>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по оплате услуг теплоснабжения по состоянию на 15.04.2016</t>
  </si>
  <si>
    <t>Задолженность за  2016 год по состоянию на 15.04.2016</t>
  </si>
  <si>
    <t>Общая задолженность на 15.04.2016 (с учетом долгов прошлых лет)</t>
  </si>
  <si>
    <t>с начала 2016 года (c учетом  начислений марта)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</si>
</sst>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6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6" fillId="36" borderId="0" xfId="0" applyFont="1" applyFill="1" applyAlignment="1">
      <alignment horizontal="center"/>
    </xf>
    <xf numFmtId="0" fontId="69" fillId="36" borderId="0" xfId="0" applyFont="1" applyFill="1" applyAlignment="1">
      <alignment wrapText="1"/>
    </xf>
    <xf numFmtId="188" fontId="66" fillId="36" borderId="0" xfId="0" applyNumberFormat="1" applyFont="1" applyFill="1" applyAlignment="1">
      <alignment/>
    </xf>
    <xf numFmtId="188" fontId="69" fillId="36" borderId="0" xfId="0" applyNumberFormat="1" applyFont="1" applyFill="1" applyAlignment="1">
      <alignment/>
    </xf>
    <xf numFmtId="0" fontId="69" fillId="36" borderId="0" xfId="0" applyFont="1" applyFill="1" applyAlignment="1">
      <alignment horizontal="right"/>
    </xf>
    <xf numFmtId="0" fontId="69" fillId="36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horizontal="right" wrapText="1"/>
    </xf>
    <xf numFmtId="0" fontId="66" fillId="36" borderId="10" xfId="0" applyFont="1" applyFill="1" applyBorder="1" applyAlignment="1">
      <alignment/>
    </xf>
    <xf numFmtId="0" fontId="66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192" fontId="3" fillId="0" borderId="14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 wrapText="1"/>
    </xf>
    <xf numFmtId="192" fontId="3" fillId="0" borderId="22" xfId="0" applyNumberFormat="1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23" xfId="0" applyNumberFormat="1" applyFont="1" applyFill="1" applyBorder="1" applyAlignment="1">
      <alignment vertical="center" wrapText="1"/>
    </xf>
    <xf numFmtId="192" fontId="3" fillId="0" borderId="18" xfId="0" applyNumberFormat="1" applyFont="1" applyFill="1" applyBorder="1" applyAlignment="1">
      <alignment vertical="center" wrapText="1"/>
    </xf>
    <xf numFmtId="192" fontId="3" fillId="0" borderId="2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0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1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1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1">
      <selection activeCell="G5" sqref="G5:I5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04" t="s">
        <v>98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95"/>
      <c r="W2" s="95"/>
    </row>
    <row r="3" spans="2:23" ht="18.75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95"/>
      <c r="W3" s="95"/>
    </row>
    <row r="4" spans="2:23" ht="13.5" customHeight="1">
      <c r="B4" s="205"/>
      <c r="C4" s="205"/>
      <c r="D4" s="205"/>
      <c r="E4" s="205"/>
      <c r="F4" s="205"/>
      <c r="U4" s="74" t="s">
        <v>53</v>
      </c>
      <c r="V4" s="95"/>
      <c r="W4" s="95"/>
    </row>
    <row r="5" spans="1:23" ht="42" customHeight="1">
      <c r="A5" s="117"/>
      <c r="B5" s="3"/>
      <c r="C5" s="209" t="s">
        <v>1</v>
      </c>
      <c r="D5" s="201" t="s">
        <v>108</v>
      </c>
      <c r="E5" s="202"/>
      <c r="F5" s="203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  <c r="V5" s="212"/>
      <c r="W5" s="213"/>
    </row>
    <row r="6" spans="1:23" ht="33.75" customHeight="1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  <c r="V6" s="214"/>
      <c r="W6" s="215"/>
    </row>
    <row r="7" spans="1:23" ht="26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  <c r="V7" s="216"/>
      <c r="W7" s="217"/>
    </row>
    <row r="8" spans="1:23" s="7" customFormat="1" ht="43.5" customHeight="1">
      <c r="A8" s="119"/>
      <c r="B8" s="75" t="s">
        <v>54</v>
      </c>
      <c r="C8" s="154">
        <f>SUM(C9:C43)</f>
        <v>193563.09999999998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383576.7</v>
      </c>
      <c r="H8" s="16">
        <f>населення!H8+льготи!H8+субсидии!H8+'держ.бюджет'!H8+'місц.-район.бюджет'!H8+обласной!H8+'госпрозрахунк.'!H8</f>
        <v>295703.60000000003</v>
      </c>
      <c r="I8" s="17">
        <f>H8/G8*100</f>
        <v>77.09112675509228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95676.99999999999</v>
      </c>
      <c r="U8" s="59">
        <f aca="true" t="shared" si="1" ref="U8:U23">C8+G8-H8</f>
        <v>281436.2</v>
      </c>
      <c r="V8" s="16"/>
      <c r="W8" s="16"/>
    </row>
    <row r="9" spans="1:24" ht="39.75" customHeight="1">
      <c r="A9" s="120">
        <v>1</v>
      </c>
      <c r="B9" s="23" t="s">
        <v>55</v>
      </c>
      <c r="C9" s="155">
        <f>населення!C9+льготи!C9+субсидии!C9+'держ.бюджет'!C9+'місц.-район.бюджет'!C9+обласной!C9+'госпрозрахунк.'!C9</f>
        <v>13485.899999999998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29454.199999999997</v>
      </c>
      <c r="H9" s="24">
        <f>населення!H9+льготи!H9+субсидии!H9+'держ.бюджет'!H9+'місц.-район.бюджет'!H9+обласной!H9+'госпрозрахунк.'!H9</f>
        <v>25138.8</v>
      </c>
      <c r="I9" s="18">
        <f>H9/G9*100</f>
        <v>85.34877878197338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4315.399999999998</v>
      </c>
      <c r="U9" s="16">
        <f t="shared" si="1"/>
        <v>17801.299999999992</v>
      </c>
      <c r="V9" s="24"/>
      <c r="W9" s="24"/>
      <c r="X9" s="9"/>
    </row>
    <row r="10" spans="1:23" ht="44.25" customHeight="1">
      <c r="A10" s="120">
        <v>2</v>
      </c>
      <c r="B10" s="53" t="s">
        <v>89</v>
      </c>
      <c r="C10" s="155">
        <f>населення!C10+льготи!C10+субсидии!C10+'держ.бюджет'!C10+'місц.-район.бюджет'!C10+обласной!C10+'госпрозрахунк.'!C10</f>
        <v>-377.5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4571.000000000001</v>
      </c>
      <c r="H10" s="24">
        <f>населення!H10+льготи!H10+субсидии!H10+'держ.бюджет'!H10+'місц.-район.бюджет'!H10+обласной!H10+'госпрозрахунк.'!H10</f>
        <v>2118.9</v>
      </c>
      <c r="I10" s="18">
        <f>H10/G10*100</f>
        <v>46.355283307810105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2452.100000000001</v>
      </c>
      <c r="U10" s="16">
        <f t="shared" si="1"/>
        <v>2074.600000000001</v>
      </c>
      <c r="V10" s="24"/>
      <c r="W10" s="24"/>
    </row>
    <row r="11" spans="1:23" ht="41.25" customHeight="1">
      <c r="A11" s="120">
        <v>3</v>
      </c>
      <c r="B11" s="25" t="s">
        <v>106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978.4</v>
      </c>
      <c r="H11" s="24">
        <f>населення!H11+льготи!H11+субсидии!H11+'держ.бюджет'!H11+'місц.-район.бюджет'!H11+обласной!H11+'госпрозрахунк.'!H11</f>
        <v>1046.6</v>
      </c>
      <c r="I11" s="18">
        <f aca="true" t="shared" si="6" ref="I11:I23">H11/G11*100</f>
        <v>106.97056418642681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-68.19999999999993</v>
      </c>
      <c r="U11" s="16">
        <f t="shared" si="1"/>
        <v>-68.19999999999993</v>
      </c>
      <c r="V11" s="24"/>
      <c r="W11" s="24"/>
    </row>
    <row r="12" spans="1:23" ht="24" customHeight="1">
      <c r="A12" s="120">
        <v>4</v>
      </c>
      <c r="B12" s="23" t="s">
        <v>56</v>
      </c>
      <c r="C12" s="155">
        <f>населення!C12+льготи!C12+субсидии!C12+'держ.бюджет'!C12+'місц.-район.бюджет'!C12+обласной!C12+'госпрозрахунк.'!C12</f>
        <v>1.5999999999999996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1191.3</v>
      </c>
      <c r="H12" s="24">
        <f>населення!H12+льготи!H12+субсидии!H12+'держ.бюджет'!H12+'місц.-район.бюджет'!H12+обласной!H12+'госпрозрахунк.'!H12</f>
        <v>845.5999999999999</v>
      </c>
      <c r="I12" s="18">
        <f t="shared" si="6"/>
        <v>70.98128095358011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345.70000000000005</v>
      </c>
      <c r="U12" s="16">
        <f t="shared" si="1"/>
        <v>347.29999999999995</v>
      </c>
      <c r="V12" s="24"/>
      <c r="W12" s="24"/>
    </row>
    <row r="13" spans="1:23" ht="24" customHeight="1">
      <c r="A13" s="121">
        <v>5</v>
      </c>
      <c r="B13" s="23" t="s">
        <v>87</v>
      </c>
      <c r="C13" s="155">
        <f>населення!C13+льготи!C13+субсидии!C13+'держ.бюджет'!C13+'місц.-район.бюджет'!C13+обласной!C13+'госпрозрахунк.'!C13</f>
        <v>3423.8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8046.8</v>
      </c>
      <c r="H13" s="24">
        <f>населення!H13+льготи!H13+субсидии!H13+'держ.бюджет'!H13+'місц.-район.бюджет'!H13+обласной!H13+'госпрозрахунк.'!H13</f>
        <v>7623.9</v>
      </c>
      <c r="I13" s="18">
        <f t="shared" si="6"/>
        <v>94.74449470597007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422.90000000000055</v>
      </c>
      <c r="U13" s="16">
        <f t="shared" si="1"/>
        <v>3846.7000000000007</v>
      </c>
      <c r="V13" s="24"/>
      <c r="W13" s="24"/>
    </row>
    <row r="14" spans="1:23" ht="24" customHeight="1">
      <c r="A14" s="120">
        <v>6</v>
      </c>
      <c r="B14" s="23" t="s">
        <v>57</v>
      </c>
      <c r="C14" s="155">
        <f>населення!C14+льготи!C14+субсидии!C14+'держ.бюджет'!C14+'місц.-район.бюджет'!C14+обласной!C14+'госпрозрахунк.'!C14</f>
        <v>142.5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2824.3</v>
      </c>
      <c r="H14" s="24">
        <f>населення!H14+льготи!H14+субсидии!H14+'держ.бюджет'!H14+'місц.-район.бюджет'!H14+обласной!H14+'госпрозрахунк.'!H14</f>
        <v>1306.2</v>
      </c>
      <c r="I14" s="18">
        <f t="shared" si="6"/>
        <v>46.248627978614174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1518.1000000000001</v>
      </c>
      <c r="U14" s="16">
        <f t="shared" si="1"/>
        <v>1660.6000000000001</v>
      </c>
      <c r="V14" s="24"/>
      <c r="W14" s="24"/>
    </row>
    <row r="15" spans="1:23" ht="24" customHeight="1">
      <c r="A15" s="120">
        <v>7</v>
      </c>
      <c r="B15" s="23" t="s">
        <v>58</v>
      </c>
      <c r="C15" s="155">
        <f>населення!C15+льготи!C15+субсидии!C15+'держ.бюджет'!C15+'місц.-район.бюджет'!C15+обласной!C15+'госпрозрахунк.'!C15</f>
        <v>-37.2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2369.5</v>
      </c>
      <c r="H15" s="24">
        <f>населення!H15+льготи!H15+субсидии!H15+'держ.бюджет'!H15+'місц.-район.бюджет'!H15+обласной!H15+'госпрозрахунк.'!H15</f>
        <v>2064.2000000000003</v>
      </c>
      <c r="I15" s="18">
        <f t="shared" si="6"/>
        <v>87.11542519518886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305.2999999999997</v>
      </c>
      <c r="U15" s="16">
        <f t="shared" si="1"/>
        <v>268.0999999999999</v>
      </c>
      <c r="V15" s="24"/>
      <c r="W15" s="24"/>
    </row>
    <row r="16" spans="1:23" ht="24" customHeight="1">
      <c r="A16" s="120">
        <v>8</v>
      </c>
      <c r="B16" s="23" t="s">
        <v>59</v>
      </c>
      <c r="C16" s="155">
        <f>населення!C16+льготи!C16+субсидии!C16+'держ.бюджет'!C16+'місц.-район.бюджет'!C16+обласной!C16+'госпрозрахунк.'!C16</f>
        <v>1399.5999999999997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12303.900000000001</v>
      </c>
      <c r="H16" s="24">
        <f>населення!H16+льготи!H16+субсидии!H16+'держ.бюджет'!H16+'місц.-район.бюджет'!H16+обласной!H16+'госпрозрахунк.'!H16</f>
        <v>10645.5</v>
      </c>
      <c r="I16" s="18">
        <f t="shared" si="6"/>
        <v>86.52134689001048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1658.4000000000015</v>
      </c>
      <c r="U16" s="16">
        <f t="shared" si="1"/>
        <v>3058.000000000002</v>
      </c>
      <c r="V16" s="24"/>
      <c r="W16" s="24"/>
    </row>
    <row r="17" spans="1:23" ht="24" customHeight="1">
      <c r="A17" s="121">
        <v>9</v>
      </c>
      <c r="B17" s="23" t="s">
        <v>60</v>
      </c>
      <c r="C17" s="155">
        <f>населення!C17+льготи!C17+субсидии!C17+'держ.бюджет'!C17+'місц.-район.бюджет'!C17+обласной!C17+'госпрозрахунк.'!C17</f>
        <v>-172.2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4026</v>
      </c>
      <c r="H17" s="24">
        <f>населення!H17+льготи!H17+субсидии!H17+'держ.бюджет'!H17+'місц.-район.бюджет'!H17+обласной!H17+'госпрозрахунк.'!H17</f>
        <v>1094.8999999999999</v>
      </c>
      <c r="I17" s="18">
        <f t="shared" si="6"/>
        <v>27.195727769498255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2931.1000000000004</v>
      </c>
      <c r="U17" s="16">
        <f t="shared" si="1"/>
        <v>2758.9000000000005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61</v>
      </c>
      <c r="C18" s="155">
        <f>населення!C18+льготи!C18+субсидии!C18+'держ.бюджет'!C18+'місц.-район.бюджет'!C18+обласной!C18+'госпрозрахунк.'!C18</f>
        <v>6420.3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6531.700000000001</v>
      </c>
      <c r="H18" s="24">
        <f>населення!H18+льготи!H18+субсидии!H18+'держ.бюджет'!H18+'місц.-район.бюджет'!H18+обласной!H18+'госпрозрахунк.'!H18</f>
        <v>4359.2</v>
      </c>
      <c r="I18" s="18">
        <f t="shared" si="6"/>
        <v>66.73913376303258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2172.500000000001</v>
      </c>
      <c r="U18" s="16">
        <f t="shared" si="1"/>
        <v>8592.8</v>
      </c>
      <c r="V18" s="24"/>
      <c r="W18" s="24"/>
    </row>
    <row r="19" spans="1:23" ht="24" customHeight="1">
      <c r="A19" s="121">
        <v>11</v>
      </c>
      <c r="B19" s="25" t="s">
        <v>62</v>
      </c>
      <c r="C19" s="155">
        <f>населення!C19+льготи!C19+субсидии!C19+'держ.бюджет'!C19+'місц.-район.бюджет'!C19+обласной!C19+'госпрозрахунк.'!C19</f>
        <v>44.1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889.7</v>
      </c>
      <c r="H19" s="24">
        <f>населення!H19+льготи!H19+субсидии!H19+'держ.бюджет'!H19+'місц.-район.бюджет'!H19+обласной!H19+'госпрозрахунк.'!H19</f>
        <v>859.0999999999999</v>
      </c>
      <c r="I19" s="18">
        <f t="shared" si="6"/>
        <v>96.56063841744407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30.600000000000136</v>
      </c>
      <c r="U19" s="16">
        <f t="shared" si="1"/>
        <v>74.70000000000016</v>
      </c>
      <c r="V19" s="24"/>
      <c r="W19" s="24"/>
    </row>
    <row r="20" spans="1:23" ht="24" customHeight="1">
      <c r="A20" s="121">
        <v>12</v>
      </c>
      <c r="B20" s="23" t="s">
        <v>88</v>
      </c>
      <c r="C20" s="155">
        <f>населення!C20+льготи!C20+субсидии!C20+'держ.бюджет'!C20+'місц.-район.бюджет'!C20+обласной!C20+'госпрозрахунк.'!C20</f>
        <v>2675.1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5825.200000000001</v>
      </c>
      <c r="H20" s="24">
        <f>населення!H20+льготи!H20+субсидии!H20+'держ.бюджет'!H20+'місц.-район.бюджет'!H20+обласной!H20+'госпрозрахунк.'!H20</f>
        <v>6386.7</v>
      </c>
      <c r="I20" s="18">
        <f t="shared" si="6"/>
        <v>109.6391540204628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-561.4999999999991</v>
      </c>
      <c r="U20" s="16">
        <f t="shared" si="1"/>
        <v>2113.6000000000013</v>
      </c>
      <c r="V20" s="24"/>
      <c r="W20" s="24"/>
    </row>
    <row r="21" spans="1:23" ht="24" customHeight="1">
      <c r="A21" s="120">
        <v>13</v>
      </c>
      <c r="B21" s="25" t="s">
        <v>63</v>
      </c>
      <c r="C21" s="155">
        <f>населення!C21+льготи!C21+субсидии!C21+'держ.бюджет'!C21+'місц.-район.бюджет'!C21+обласной!C21+'госпрозрахунк.'!C21</f>
        <v>-11.7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-10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10</v>
      </c>
      <c r="U21" s="16">
        <f t="shared" si="1"/>
        <v>-1.6999999999999993</v>
      </c>
      <c r="V21" s="24"/>
      <c r="W21" s="24"/>
    </row>
    <row r="22" spans="1:23" ht="24" customHeight="1">
      <c r="A22" s="121">
        <v>14</v>
      </c>
      <c r="B22" s="25" t="s">
        <v>64</v>
      </c>
      <c r="C22" s="155">
        <f>населення!C22+льготи!C22+субсидии!C22+'держ.бюджет'!C22+'місц.-район.бюджет'!C22+обласной!C22+'госпрозрахунк.'!C22</f>
        <v>-328.6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1482.4</v>
      </c>
      <c r="H22" s="24">
        <f>населення!H22+льготи!H22+субсидии!H22+'держ.бюджет'!H22+'місц.-район.бюджет'!H22+обласной!H22+'госпрозрахунк.'!H22</f>
        <v>949.1</v>
      </c>
      <c r="I22" s="18">
        <f t="shared" si="6"/>
        <v>64.02455477603885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533.3000000000001</v>
      </c>
      <c r="U22" s="69">
        <f t="shared" si="1"/>
        <v>204.70000000000016</v>
      </c>
      <c r="V22" s="24">
        <f>U22+U38</f>
        <v>22585.899999999998</v>
      </c>
      <c r="W22" s="24"/>
    </row>
    <row r="23" spans="1:23" ht="36.75" customHeight="1">
      <c r="A23" s="121">
        <v>15</v>
      </c>
      <c r="B23" s="25" t="s">
        <v>65</v>
      </c>
      <c r="C23" s="155">
        <f>населення!C23+льготи!C23+субсидии!C23+'держ.бюджет'!C23+'місц.-район.бюджет'!C23+обласной!C23+'госпрозрахунк.'!C23</f>
        <v>124.10000000000001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4408.800000000001</v>
      </c>
      <c r="H23" s="24">
        <f>населення!H23+льготи!H23+субсидии!H23+'держ.бюджет'!H23+'місц.-район.бюджет'!H23+обласной!H23+'госпрозрахунк.'!H23</f>
        <v>3960.5</v>
      </c>
      <c r="I23" s="18">
        <f t="shared" si="6"/>
        <v>89.83170023589183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448.3000000000011</v>
      </c>
      <c r="U23" s="16">
        <f t="shared" si="1"/>
        <v>572.4000000000015</v>
      </c>
      <c r="V23" s="24"/>
      <c r="W23" s="24"/>
    </row>
    <row r="24" spans="1:23" ht="24" customHeight="1">
      <c r="A24" s="121">
        <v>16</v>
      </c>
      <c r="B24" s="25" t="s">
        <v>66</v>
      </c>
      <c r="C24" s="196"/>
      <c r="D24" s="233" t="s">
        <v>86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V24" s="24"/>
      <c r="W24" s="24"/>
    </row>
    <row r="25" spans="1:23" ht="34.5" customHeight="1">
      <c r="A25" s="121">
        <v>17</v>
      </c>
      <c r="B25" s="25" t="s">
        <v>67</v>
      </c>
      <c r="C25" s="155">
        <f>населення!C25+льготи!C25+субсидии!C25+'держ.бюджет'!C25+'місц.-район.бюджет'!C25+обласной!C25+'госпрозрахунк.'!C25</f>
        <v>6500.699999999999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19471.9</v>
      </c>
      <c r="H25" s="24">
        <f>населення!H25+льготи!H25+субсидии!H25+'держ.бюджет'!H25+'місц.-район.бюджет'!H25+обласной!H25+'госпрозрахунк.'!H25</f>
        <v>18506.7</v>
      </c>
      <c r="I25" s="18">
        <f>H25/G25*100</f>
        <v>95.04311340957996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965.2000000000007</v>
      </c>
      <c r="U25" s="16">
        <f>C25+G25-H25</f>
        <v>7465.899999999998</v>
      </c>
      <c r="V25" s="24"/>
      <c r="W25" s="24"/>
    </row>
    <row r="26" spans="1:23" ht="22.5" customHeight="1">
      <c r="A26" s="121">
        <v>18</v>
      </c>
      <c r="B26" s="23" t="s">
        <v>68</v>
      </c>
      <c r="C26" s="155">
        <f>населення!C26+льготи!C26+субсидии!C26+'держ.бюджет'!C26+'місц.-район.бюджет'!C26+обласной!C26+'госпрозрахунк.'!C26</f>
        <v>-614.2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2874.3</v>
      </c>
      <c r="H26" s="24">
        <f>населення!H26+льготи!H26+субсидии!H26+'держ.бюджет'!H26+'місц.-район.бюджет'!H26+обласной!H26+'госпрозрахунк.'!H26</f>
        <v>1799.8999999999999</v>
      </c>
      <c r="I26" s="129">
        <f>H26/G26*100</f>
        <v>62.62046411300142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1074.4000000000003</v>
      </c>
      <c r="U26" s="16">
        <f>C26+G26-H26</f>
        <v>460.2000000000005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69</v>
      </c>
      <c r="C27" s="155">
        <f>населення!C27+льготи!C27+субсидии!C27+'держ.бюджет'!C27+'місц.-район.бюджет'!C27+обласной!C27+'госпрозрахунк.'!C27</f>
        <v>1581.2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3780.6</v>
      </c>
      <c r="H27" s="24">
        <f>населення!H27+льготи!H27+субсидии!H27+'держ.бюджет'!H27+'місц.-район.бюджет'!H27+обласной!H27+'госпрозрахунк.'!H27</f>
        <v>2881.7000000000003</v>
      </c>
      <c r="I27" s="18">
        <f>H27/G27*100</f>
        <v>76.22335079087976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898.8999999999996</v>
      </c>
      <c r="U27" s="16">
        <f>C27+G27-H27</f>
        <v>2480.1</v>
      </c>
      <c r="V27" s="24"/>
      <c r="W27" s="24"/>
    </row>
    <row r="28" spans="1:23" ht="30" customHeight="1">
      <c r="A28" s="121">
        <v>20</v>
      </c>
      <c r="B28" s="25" t="s">
        <v>103</v>
      </c>
      <c r="C28" s="155">
        <f>населення!C28+льготи!C28+субсидии!C28+'держ.бюджет'!C28+'місц.-район.бюджет'!C28+обласной!C28+'госпрозрахунк.'!C28</f>
        <v>2520.9999999999995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9986.9</v>
      </c>
      <c r="H28" s="24">
        <f>населення!H28+льготи!H28+субсидии!H28+'держ.бюджет'!H28+'місц.-район.бюджет'!H28+обласной!H28+'госпрозрахунк.'!H28</f>
        <v>6250.3</v>
      </c>
      <c r="I28" s="129">
        <f>H28/G28*100</f>
        <v>62.58498633209505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3736.5999999999995</v>
      </c>
      <c r="U28" s="16">
        <f>C28+G28-H28</f>
        <v>6257.599999999999</v>
      </c>
      <c r="V28" s="24"/>
      <c r="W28" s="24"/>
    </row>
    <row r="29" spans="1:23" ht="30.75" customHeight="1">
      <c r="A29" s="121">
        <v>21</v>
      </c>
      <c r="B29" s="23" t="s">
        <v>70</v>
      </c>
      <c r="C29" s="155">
        <f>населення!C29+льготи!C29+субсидии!C29+'держ.бюджет'!C29+'місц.-район.бюджет'!C29+обласной!C29+'госпрозрахунк.'!C29</f>
        <v>442.99999999999994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6436.8</v>
      </c>
      <c r="H29" s="24">
        <f>населення!H29+льготи!H29+субсидии!H29+'держ.бюджет'!H29+'місц.-район.бюджет'!H29+обласной!H29+'госпрозрахунк.'!H29</f>
        <v>5739.400000000001</v>
      </c>
      <c r="I29" s="18">
        <f>H29/G29*100</f>
        <v>89.16542381307482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697.3999999999996</v>
      </c>
      <c r="U29" s="16">
        <f>C29+G29-H29</f>
        <v>1140.3999999999996</v>
      </c>
      <c r="V29" s="24">
        <f>170.1+1616.4</f>
        <v>1786.5</v>
      </c>
      <c r="W29" s="24"/>
    </row>
    <row r="30" spans="1:23" ht="24.75" customHeight="1">
      <c r="A30" s="121">
        <v>22</v>
      </c>
      <c r="B30" s="23" t="s">
        <v>71</v>
      </c>
      <c r="C30" s="197"/>
      <c r="D30" s="227" t="s">
        <v>86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V30" s="24"/>
      <c r="W30" s="24"/>
    </row>
    <row r="31" spans="1:23" ht="24.75" customHeight="1">
      <c r="A31" s="121">
        <v>23</v>
      </c>
      <c r="B31" s="25" t="s">
        <v>72</v>
      </c>
      <c r="C31" s="19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  <c r="V31" s="24"/>
      <c r="W31" s="24"/>
    </row>
    <row r="32" spans="1:23" ht="24.75" customHeight="1">
      <c r="A32" s="121">
        <v>24</v>
      </c>
      <c r="B32" s="25" t="s">
        <v>73</v>
      </c>
      <c r="C32" s="199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V32" s="24"/>
      <c r="W32" s="24"/>
    </row>
    <row r="33" spans="1:23" ht="24.75" customHeight="1">
      <c r="A33" s="121">
        <v>25</v>
      </c>
      <c r="B33" s="25" t="s">
        <v>74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0"/>
      <c r="B34" s="25" t="s">
        <v>119</v>
      </c>
      <c r="C34" s="24">
        <f>населення!C34+льготи!C34+субсидии!C34+'держ.бюджет'!C34+'місц.-район.бюджет'!C34+обласной!C34+'госпрозрахунк.'!C34</f>
        <v>22045.1</v>
      </c>
      <c r="D34" s="24">
        <f>населення!D34+льготи!D34+субсидии!D34+'держ.бюджет'!D34+'місц.-район.бюджет'!D34+обласной!D34+'госпрозрахунк.'!D34</f>
        <v>17114.899999999998</v>
      </c>
      <c r="E34" s="24">
        <f>населення!E34+льготи!E34+субсидии!E34+'держ.бюджет'!E34+'місц.-район.бюджет'!E34+обласной!E34+'госпрозрахунк.'!E34</f>
        <v>16557</v>
      </c>
      <c r="F34" s="17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40601.6</v>
      </c>
      <c r="H34" s="24">
        <f>населення!H34+льготи!H34+субсидии!H34+'держ.бюджет'!H34+'місц.-район.бюджет'!H34+обласной!H34+'госпрозрахунк.'!H34</f>
        <v>28742.500000000004</v>
      </c>
      <c r="I34" s="18">
        <f>H34/G34*100</f>
        <v>70.79154516078185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11859.099999999995</v>
      </c>
      <c r="U34" s="16">
        <f aca="true" t="shared" si="11" ref="U34:U44">C34+G34-H34</f>
        <v>33904.2</v>
      </c>
      <c r="V34" s="24"/>
      <c r="W34" s="24"/>
    </row>
    <row r="35" spans="1:23" ht="24.75" customHeight="1">
      <c r="A35" s="121"/>
      <c r="B35" s="25" t="s">
        <v>75</v>
      </c>
      <c r="C35" s="155">
        <f>населення!C35+льготи!C35+субсидии!C35+'держ.бюджет'!C35+'місц.-район.бюджет'!C35+обласной!C35+'госпрозрахунк.'!C35</f>
        <v>149.8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2811.7</v>
      </c>
      <c r="H35" s="24">
        <f>населення!H35+льготи!H35+субсидии!H35+'держ.бюджет'!H35+'місц.-район.бюджет'!H35+обласной!H35+'госпрозрахунк.'!H35</f>
        <v>2721.9</v>
      </c>
      <c r="I35" s="18">
        <f aca="true" t="shared" si="12" ref="I35:I44">H35/G35*100</f>
        <v>96.80620265319915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89.79999999999973</v>
      </c>
      <c r="U35" s="16">
        <f t="shared" si="11"/>
        <v>239.5999999999999</v>
      </c>
      <c r="V35" s="24"/>
      <c r="W35" s="24"/>
    </row>
    <row r="36" spans="1:23" ht="36.75" customHeight="1">
      <c r="A36" s="121">
        <v>26</v>
      </c>
      <c r="B36" s="25" t="s">
        <v>104</v>
      </c>
      <c r="C36" s="155">
        <f>населення!C36+льготи!C36+субсидии!C36+'держ.бюджет'!C36+'місц.-район.бюджет'!C36+обласной!C36+'госпрозрахунк.'!C36</f>
        <v>8451.199999999999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12638.1</v>
      </c>
      <c r="H36" s="24">
        <f>населення!H36+льготи!H36+субсидии!H36+'держ.бюджет'!H36+'місц.-район.бюджет'!H36+обласной!H36+'госпрозрахунк.'!H36</f>
        <v>9304.7</v>
      </c>
      <c r="I36" s="18">
        <f t="shared" si="12"/>
        <v>73.62419984016584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3333.3999999999996</v>
      </c>
      <c r="U36" s="16">
        <f t="shared" si="11"/>
        <v>11784.599999999999</v>
      </c>
      <c r="V36" s="24"/>
      <c r="W36" s="24"/>
    </row>
    <row r="37" spans="1:23" ht="27.75" customHeight="1">
      <c r="A37" s="121">
        <v>27</v>
      </c>
      <c r="B37" s="23" t="s">
        <v>76</v>
      </c>
      <c r="C37" s="155">
        <f>населення!C37+льготи!C37+субсидии!C37+'держ.бюджет'!C37+'місц.-район.бюджет'!C37+обласной!C37+'госпрозрахунк.'!C37</f>
        <v>-311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v>282.9</v>
      </c>
      <c r="F37" s="40">
        <f t="shared" si="0"/>
        <v>10.85613415710503</v>
      </c>
      <c r="G37" s="24">
        <f>населення!G37+льготи!G37+субсидии!G37+'держ.бюджет'!G37+'місц.-район.бюджет'!G37+обласной!G37+'госпрозрахунк.'!G37</f>
        <v>4972</v>
      </c>
      <c r="H37" s="24">
        <f>населення!H37+льготи!H37+субсидии!H37+'держ.бюджет'!H37+'місц.-район.бюджет'!H37+обласной!H37+'госпрозрахунк.'!H37</f>
        <v>2579.4</v>
      </c>
      <c r="I37" s="18">
        <f t="shared" si="12"/>
        <v>51.87851971037812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2392.6</v>
      </c>
      <c r="U37" s="16">
        <f t="shared" si="11"/>
        <v>2081.6</v>
      </c>
      <c r="V37" s="24"/>
      <c r="W37" s="24"/>
    </row>
    <row r="38" spans="1:23" ht="24.75" customHeight="1">
      <c r="A38" s="121">
        <v>28</v>
      </c>
      <c r="B38" s="25" t="s">
        <v>77</v>
      </c>
      <c r="C38" s="155">
        <f>населення!C38+льготи!C38+субсидии!C38+'держ.бюджет'!C38+'місц.-район.бюджет'!C38+обласной!C38+'госпрозрахунк.'!C38</f>
        <v>14536.2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29334.5</v>
      </c>
      <c r="H38" s="24">
        <f>населення!H38+льготи!H38+субсидии!H38+'держ.бюджет'!H38+'місц.-район.бюджет'!H38+обласной!H38+'госпрозрахунк.'!H38</f>
        <v>21489.5</v>
      </c>
      <c r="I38" s="18">
        <f t="shared" si="12"/>
        <v>73.25674547035061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7845</v>
      </c>
      <c r="U38" s="69">
        <f t="shared" si="11"/>
        <v>22381.199999999997</v>
      </c>
      <c r="V38" s="24"/>
      <c r="W38" s="24"/>
    </row>
    <row r="39" spans="1:23" ht="22.5" customHeight="1">
      <c r="A39" s="121">
        <v>29</v>
      </c>
      <c r="B39" s="25" t="s">
        <v>78</v>
      </c>
      <c r="C39" s="155">
        <f>населення!C39+льготи!C39+субсидии!C39+'держ.бюджет'!C39+'місц.-район.бюджет'!C39+обласной!C39+'госпрозрахунк.'!C39</f>
        <v>21144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34090.700000000004</v>
      </c>
      <c r="H39" s="24">
        <f>населення!H39+льготи!H39+субсидии!H39+'держ.бюджет'!H39+'місц.-район.бюджет'!H39+обласной!H39+'госпрозрахунк.'!H39</f>
        <v>25081.2</v>
      </c>
      <c r="I39" s="18">
        <f t="shared" si="12"/>
        <v>73.57197124142361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9009.500000000004</v>
      </c>
      <c r="U39" s="16">
        <f t="shared" si="11"/>
        <v>30153.500000000004</v>
      </c>
      <c r="V39" s="24"/>
      <c r="W39" s="24"/>
    </row>
    <row r="40" spans="1:23" ht="39" customHeight="1">
      <c r="A40" s="121">
        <v>30</v>
      </c>
      <c r="B40" s="25" t="s">
        <v>105</v>
      </c>
      <c r="C40" s="155">
        <f>населення!C40+льготи!C40+субсидии!C40+'держ.бюджет'!C40+'місц.-район.бюджет'!C40+обласной!C40+'госпрозрахунк.'!C40</f>
        <v>60803.600000000006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71440.8</v>
      </c>
      <c r="H40" s="24">
        <f>населення!H40+льготи!H40+субсидии!H40+'держ.бюджет'!H40+'місц.-район.бюджет'!H40+обласной!H40+'госпрозрахунк.'!H40</f>
        <v>53902.299999999996</v>
      </c>
      <c r="I40" s="18">
        <f t="shared" si="12"/>
        <v>75.45030290814212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17538.500000000007</v>
      </c>
      <c r="U40" s="16">
        <f t="shared" si="11"/>
        <v>78342.10000000003</v>
      </c>
      <c r="V40" s="24"/>
      <c r="W40" s="24"/>
    </row>
    <row r="41" spans="1:23" ht="24.75" customHeight="1">
      <c r="A41" s="121">
        <v>31</v>
      </c>
      <c r="B41" s="25" t="s">
        <v>79</v>
      </c>
      <c r="C41" s="155">
        <f>населення!C41+льготи!C41+субсидии!C41+'держ.бюджет'!C41+'місц.-район.бюджет'!C41+обласной!C41+'госпрозрахунк.'!C41</f>
        <v>337.09999999999997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1350.6000000000001</v>
      </c>
      <c r="H41" s="24">
        <f>населення!H41+льготи!H41+субсидии!H41+'держ.бюджет'!H41+'місц.-район.бюджет'!H41+обласной!H41+'госпрозрахунк.'!H41</f>
        <v>708.3000000000001</v>
      </c>
      <c r="I41" s="18">
        <f t="shared" si="12"/>
        <v>52.443358507330075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642.3000000000001</v>
      </c>
      <c r="U41" s="16">
        <f t="shared" si="11"/>
        <v>979.4</v>
      </c>
      <c r="V41" s="24"/>
      <c r="W41" s="24"/>
    </row>
    <row r="42" spans="1:23" ht="37.5" customHeight="1">
      <c r="A42" s="121">
        <v>32</v>
      </c>
      <c r="B42" s="23" t="s">
        <v>80</v>
      </c>
      <c r="C42" s="155">
        <f>населення!C42+льготи!C42+субсидии!C42+'держ.бюджет'!C42+'місц.-район.бюджет'!C42+обласной!C42+'госпрозрахунк.'!C42</f>
        <v>18523.3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27418.1</v>
      </c>
      <c r="H42" s="24">
        <f>населення!H42+льготи!H42+субсидии!H42+'держ.бюджет'!H42+'місц.-район.бюджет'!H42+обласной!H42+'госпрозрахунк.'!H42</f>
        <v>23392.5</v>
      </c>
      <c r="I42" s="18">
        <f t="shared" si="12"/>
        <v>85.31772807014345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4025.5999999999985</v>
      </c>
      <c r="U42" s="16">
        <f t="shared" si="11"/>
        <v>22548.899999999994</v>
      </c>
      <c r="V42" s="24"/>
      <c r="W42" s="24"/>
    </row>
    <row r="43" spans="1:23" ht="24.75" customHeight="1">
      <c r="A43" s="121">
        <v>33</v>
      </c>
      <c r="B43" s="25" t="s">
        <v>81</v>
      </c>
      <c r="C43" s="155">
        <f>населення!C43+льготи!C43+субсидии!C43+'держ.бюджет'!C43+'місц.-район.бюджет'!C43+обласной!C43+'госпрозрахунк.'!C43</f>
        <v>10662.300000000001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31464.9</v>
      </c>
      <c r="H43" s="24">
        <f>населення!H43+льготи!H43+субсидии!H43+'держ.бюджет'!H43+'місц.-район.бюджет'!H43+обласной!H43+'госпрозрахунк.'!H43</f>
        <v>24214.100000000002</v>
      </c>
      <c r="I43" s="18">
        <f t="shared" si="12"/>
        <v>76.95590960085683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7250.799999999999</v>
      </c>
      <c r="U43" s="16">
        <f t="shared" si="11"/>
        <v>17913.100000000002</v>
      </c>
      <c r="V43" s="24"/>
      <c r="W43" s="24"/>
    </row>
    <row r="44" spans="1:23" s="7" customFormat="1" ht="24.75" customHeight="1">
      <c r="A44" s="156">
        <v>34</v>
      </c>
      <c r="B44" s="6" t="s">
        <v>82</v>
      </c>
      <c r="C44" s="154">
        <f>SUM(C45:C47)</f>
        <v>1516241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1899383.7</v>
      </c>
      <c r="H44" s="16">
        <f>SUM(H45:H47)</f>
        <v>1347474.7000000002</v>
      </c>
      <c r="I44" s="17">
        <f t="shared" si="12"/>
        <v>70.9427326348015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556823.6000000001</v>
      </c>
      <c r="U44" s="59">
        <f t="shared" si="11"/>
        <v>2068150</v>
      </c>
      <c r="V44" s="24"/>
      <c r="W44" s="16"/>
    </row>
    <row r="45" spans="1:24" s="7" customFormat="1" ht="25.5" customHeight="1">
      <c r="A45" s="156"/>
      <c r="B45" s="23" t="s">
        <v>83</v>
      </c>
      <c r="C45" s="155">
        <f>населення!C45+льготи!C45+субсидии!C45+'держ.бюджет'!C45+'місц.-район.бюджет'!C45+обласной!C45+'госпрозрахунк.'!C45</f>
        <v>1499442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1838381</v>
      </c>
      <c r="H45" s="24">
        <f>населення!H45+льготи!H45+субсидии!H45+'держ.бюджет'!H45+'місц.-район.бюджет'!H45+обласной!H45+'госпрозрахунк.'!H45</f>
        <v>1288951</v>
      </c>
      <c r="I45" s="18">
        <f>H45/G45*100</f>
        <v>70.11337693329077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549430</v>
      </c>
      <c r="U45" s="24">
        <f>C45+G45-H45</f>
        <v>2048872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84</v>
      </c>
      <c r="C46" s="155">
        <f>населення!C46+льготи!C46+субсидии!C46+'держ.бюджет'!C46+'місц.-район.бюджет'!C46+обласной!C46+'госпрозрахунк.'!C46</f>
        <v>16414.600000000002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43958.4</v>
      </c>
      <c r="H46" s="24">
        <f>населення!H46+льготи!H46+субсидии!H46+'держ.бюджет'!H46+'місц.-район.бюджет'!H46+обласной!H46+'госпрозрахунк.'!H46</f>
        <v>44039.6</v>
      </c>
      <c r="I46" s="18">
        <f>H46/G46*100</f>
        <v>100.18472009900267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-81.19999999999709</v>
      </c>
      <c r="U46" s="24">
        <f>C46+G46-H46</f>
        <v>16333.400000000001</v>
      </c>
      <c r="V46" s="24"/>
      <c r="W46" s="24"/>
      <c r="X46" s="1"/>
    </row>
    <row r="47" spans="1:24" s="7" customFormat="1" ht="24.75" customHeight="1">
      <c r="A47" s="122"/>
      <c r="B47" s="23" t="s">
        <v>75</v>
      </c>
      <c r="C47" s="155">
        <f>населення!C47+льготи!C47+субсидии!C47+'держ.бюджет'!C47+'місц.-район.бюджет'!C47+обласной!C47+'госпрозрахунк.'!C47</f>
        <v>384.4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17044.3</v>
      </c>
      <c r="H47" s="24">
        <f>населення!H47+льготи!H47+субсидии!H47+'держ.бюджет'!H47+'місц.-район.бюджет'!H47+обласной!H47+'госпрозрахунк.'!H47</f>
        <v>14484.099999999999</v>
      </c>
      <c r="I47" s="18">
        <f>H47/G47*100</f>
        <v>84.97914258725791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2560.2000000000007</v>
      </c>
      <c r="U47" s="24">
        <f>C47+G47-H47</f>
        <v>2944.600000000002</v>
      </c>
      <c r="V47" s="24"/>
      <c r="W47" s="24"/>
      <c r="X47" s="1"/>
    </row>
    <row r="48" spans="1:23" s="7" customFormat="1" ht="24.75" customHeight="1">
      <c r="A48" s="156"/>
      <c r="B48" s="6" t="s">
        <v>85</v>
      </c>
      <c r="C48" s="154">
        <f>C8+C44</f>
        <v>1709804.1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2282960.4</v>
      </c>
      <c r="H48" s="16">
        <f>H8+H44</f>
        <v>1643178.3000000003</v>
      </c>
      <c r="I48" s="17">
        <f>H48/G48*100</f>
        <v>71.97576883068145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652500.5999999999</v>
      </c>
      <c r="U48" s="59">
        <f>C48+G48-H48</f>
        <v>2349586.1999999997</v>
      </c>
      <c r="V48" s="24"/>
      <c r="W48" s="16"/>
    </row>
    <row r="49" spans="1:23" s="7" customFormat="1" ht="24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6"/>
      <c r="W49" s="6"/>
    </row>
    <row r="50" spans="1:23" s="7" customFormat="1" ht="15.75" customHeight="1" hidden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1"/>
      <c r="W50" s="6"/>
    </row>
    <row r="51" spans="1:23" s="7" customFormat="1" ht="6.75" customHeight="1" hidden="1">
      <c r="A51" s="100"/>
      <c r="B51" s="56"/>
      <c r="C51" s="162"/>
      <c r="D51" s="163"/>
      <c r="E51" s="16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6"/>
      <c r="B52" s="7" t="s">
        <v>90</v>
      </c>
      <c r="C52" s="164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5"/>
      <c r="B53" s="7"/>
      <c r="C53" s="164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6"/>
      <c r="B54" s="7" t="s">
        <v>91</v>
      </c>
      <c r="C54" s="164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6"/>
      <c r="D55" s="167"/>
      <c r="E55" s="167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6" customFormat="1" ht="47.25" customHeight="1">
      <c r="A56" s="168"/>
      <c r="B56" s="200" t="s">
        <v>116</v>
      </c>
      <c r="C56" s="200"/>
      <c r="D56" s="200"/>
      <c r="E56" s="200"/>
      <c r="F56" s="200"/>
      <c r="G56" s="169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2"/>
      <c r="U56" s="173" t="s">
        <v>115</v>
      </c>
      <c r="V56" s="174"/>
      <c r="W56" s="175"/>
    </row>
    <row r="57" spans="1:23" ht="73.5" customHeight="1" hidden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1"/>
      <c r="W57" s="1"/>
    </row>
    <row r="58" spans="2:21" ht="18.75">
      <c r="B58" s="1" t="s">
        <v>42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7"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  <mergeCell ref="B56:F56"/>
    <mergeCell ref="D5:F5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3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36" t="s">
        <v>99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2:21" ht="18.75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14"/>
      <c r="E4" s="14"/>
      <c r="F4" s="14"/>
      <c r="U4" s="74" t="s">
        <v>53</v>
      </c>
    </row>
    <row r="5" spans="1:21" ht="36.75" customHeight="1">
      <c r="A5" s="117"/>
      <c r="B5" s="3"/>
      <c r="C5" s="209" t="s">
        <v>1</v>
      </c>
      <c r="D5" s="237" t="s">
        <v>108</v>
      </c>
      <c r="E5" s="238"/>
      <c r="F5" s="239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</row>
    <row r="6" spans="1:21" ht="18.75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8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66">
        <f>SUM(C9:C43)</f>
        <v>144051.2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65253.899999999994</v>
      </c>
      <c r="H8" s="17">
        <f>SUM(H9:H43)</f>
        <v>65287.700000000004</v>
      </c>
      <c r="I8" s="17">
        <f>H8/G8*100</f>
        <v>100.05179767033083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4127.299999999999</v>
      </c>
      <c r="U8" s="105">
        <f>SUMIF(U9:U43,"&gt;0",U9:U43)</f>
        <v>144175.1</v>
      </c>
      <c r="V8" s="105">
        <f>SUMIF(T9:T43,"&lt;0",T9:T43)</f>
        <v>-4161.1</v>
      </c>
      <c r="W8" s="105">
        <f>SUMIF(U9:U43,"&lt;0",U9:U43)</f>
        <v>-157.69999999999996</v>
      </c>
    </row>
    <row r="9" spans="1:21" ht="36.75" customHeight="1">
      <c r="A9" s="120">
        <v>1</v>
      </c>
      <c r="B9" s="23" t="s">
        <v>55</v>
      </c>
      <c r="C9" s="41">
        <v>11503.9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5795.2</v>
      </c>
      <c r="H9" s="18">
        <v>6474.6</v>
      </c>
      <c r="I9" s="18">
        <f aca="true" t="shared" si="1" ref="I9:I28">H9/G9*100</f>
        <v>111.72349530646053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-679.4000000000005</v>
      </c>
      <c r="U9" s="16">
        <f aca="true" t="shared" si="2" ref="U9:U22">C9+G9-H9</f>
        <v>10824.499999999998</v>
      </c>
    </row>
    <row r="10" spans="1:21" ht="41.25" customHeight="1">
      <c r="A10" s="120">
        <v>2</v>
      </c>
      <c r="B10" s="53" t="s">
        <v>89</v>
      </c>
      <c r="C10" s="41">
        <v>40.8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26.7</v>
      </c>
      <c r="H10" s="18">
        <v>39.3</v>
      </c>
      <c r="I10" s="18">
        <f t="shared" si="1"/>
        <v>147.19101123595507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-12.599999999999998</v>
      </c>
      <c r="U10" s="16">
        <f t="shared" si="2"/>
        <v>28.200000000000003</v>
      </c>
    </row>
    <row r="11" spans="1:21" ht="35.25" customHeight="1">
      <c r="A11" s="120">
        <v>3</v>
      </c>
      <c r="B11" s="25" t="s">
        <v>106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56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87</v>
      </c>
      <c r="C13" s="41">
        <v>108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507.1</v>
      </c>
      <c r="H13" s="18">
        <v>770.4</v>
      </c>
      <c r="I13" s="18">
        <f t="shared" si="1"/>
        <v>151.92269769276277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-263.29999999999995</v>
      </c>
      <c r="U13" s="16">
        <f t="shared" si="2"/>
        <v>-155.29999999999995</v>
      </c>
    </row>
    <row r="14" spans="1:21" ht="24" customHeight="1">
      <c r="A14" s="120">
        <v>6</v>
      </c>
      <c r="B14" s="23" t="s">
        <v>57</v>
      </c>
      <c r="C14" s="41">
        <v>96.9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17</v>
      </c>
      <c r="H14" s="18">
        <v>17.6</v>
      </c>
      <c r="I14" s="18">
        <f t="shared" si="1"/>
        <v>103.5294117647059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-0.6000000000000014</v>
      </c>
      <c r="U14" s="16">
        <f t="shared" si="2"/>
        <v>96.30000000000001</v>
      </c>
    </row>
    <row r="15" spans="1:21" ht="24" customHeight="1">
      <c r="A15" s="120">
        <v>7</v>
      </c>
      <c r="B15" s="23" t="s">
        <v>58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59</v>
      </c>
      <c r="C16" s="41">
        <v>812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1804.4</v>
      </c>
      <c r="H16" s="18">
        <v>1806.5</v>
      </c>
      <c r="I16" s="18">
        <f t="shared" si="1"/>
        <v>100.11638217690091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-2.099999999999909</v>
      </c>
      <c r="U16" s="16">
        <f t="shared" si="2"/>
        <v>809.9000000000001</v>
      </c>
    </row>
    <row r="17" spans="1:21" ht="24" customHeight="1">
      <c r="A17" s="120">
        <v>9</v>
      </c>
      <c r="B17" s="23" t="s">
        <v>60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61</v>
      </c>
      <c r="C18" s="41">
        <v>4603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1188</v>
      </c>
      <c r="H18" s="18">
        <v>1048.9</v>
      </c>
      <c r="I18" s="18">
        <f t="shared" si="1"/>
        <v>88.2912457912458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139.0999999999999</v>
      </c>
      <c r="U18" s="16">
        <f t="shared" si="2"/>
        <v>4742.1</v>
      </c>
    </row>
    <row r="19" spans="1:21" ht="24" customHeight="1">
      <c r="A19" s="120">
        <v>11</v>
      </c>
      <c r="B19" s="25" t="s">
        <v>62</v>
      </c>
      <c r="C19" s="41">
        <v>-0.6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-0.6</v>
      </c>
      <c r="H19" s="18">
        <v>1.2</v>
      </c>
      <c r="I19" s="18">
        <f t="shared" si="1"/>
        <v>-200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-1.7999999999999998</v>
      </c>
      <c r="U19" s="16">
        <f t="shared" si="2"/>
        <v>-2.4</v>
      </c>
    </row>
    <row r="20" spans="1:21" ht="24" customHeight="1">
      <c r="A20" s="120">
        <v>12</v>
      </c>
      <c r="B20" s="23" t="s">
        <v>88</v>
      </c>
      <c r="C20" s="41">
        <v>2026.2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740.9</v>
      </c>
      <c r="H20" s="18">
        <v>963.1</v>
      </c>
      <c r="I20" s="18">
        <f t="shared" si="1"/>
        <v>129.99055203131326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-222.20000000000005</v>
      </c>
      <c r="U20" s="16">
        <f t="shared" si="2"/>
        <v>1804</v>
      </c>
    </row>
    <row r="21" spans="1:21" ht="24" customHeight="1">
      <c r="A21" s="120">
        <v>13</v>
      </c>
      <c r="B21" s="25" t="s">
        <v>63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64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65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66</v>
      </c>
      <c r="C24" s="41"/>
      <c r="D24" s="177" t="s">
        <v>100</v>
      </c>
      <c r="E24" s="178"/>
      <c r="F24" s="178"/>
      <c r="G24" s="178" t="s">
        <v>100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9"/>
    </row>
    <row r="25" spans="1:21" ht="36.75" customHeight="1">
      <c r="A25" s="120">
        <v>17</v>
      </c>
      <c r="B25" s="25" t="s">
        <v>67</v>
      </c>
      <c r="C25" s="41">
        <v>4243.5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4260.8</v>
      </c>
      <c r="H25" s="18">
        <v>4167.1</v>
      </c>
      <c r="I25" s="18">
        <f t="shared" si="1"/>
        <v>97.80088246338717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93.69999999999982</v>
      </c>
      <c r="U25" s="16">
        <f>C25+G25-H25</f>
        <v>4337.199999999999</v>
      </c>
    </row>
    <row r="26" spans="1:21" ht="24" customHeight="1">
      <c r="A26" s="120">
        <v>18</v>
      </c>
      <c r="B26" s="23" t="s">
        <v>68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69</v>
      </c>
      <c r="C27" s="41">
        <v>1527.4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298.9</v>
      </c>
      <c r="H27" s="18">
        <v>260.4</v>
      </c>
      <c r="I27" s="18">
        <f t="shared" si="1"/>
        <v>87.11943793911007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38.5</v>
      </c>
      <c r="U27" s="16">
        <f>C27+G27-H27</f>
        <v>1565.9</v>
      </c>
    </row>
    <row r="28" spans="1:21" ht="36.75" customHeight="1">
      <c r="A28" s="120">
        <v>20</v>
      </c>
      <c r="B28" s="25" t="s">
        <v>103</v>
      </c>
      <c r="C28" s="41">
        <v>314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859.3</v>
      </c>
      <c r="H28" s="18">
        <v>829.4</v>
      </c>
      <c r="I28" s="18">
        <f t="shared" si="1"/>
        <v>96.52042360060514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29.899999999999977</v>
      </c>
      <c r="U28" s="16">
        <f>C28+G28-H28</f>
        <v>343.9</v>
      </c>
    </row>
    <row r="29" spans="1:21" ht="36.75" customHeight="1">
      <c r="A29" s="120">
        <v>21</v>
      </c>
      <c r="B29" s="23" t="s">
        <v>70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71</v>
      </c>
      <c r="C30" s="71"/>
      <c r="D30" s="180" t="s">
        <v>100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24" customHeight="1">
      <c r="A31" s="120">
        <v>23</v>
      </c>
      <c r="B31" s="25" t="s">
        <v>72</v>
      </c>
      <c r="C31" s="72"/>
      <c r="D31" s="182"/>
      <c r="E31" s="182"/>
      <c r="F31" s="182"/>
      <c r="G31" s="240" t="s">
        <v>100</v>
      </c>
      <c r="H31" s="240"/>
      <c r="I31" s="240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24" customHeight="1">
      <c r="A32" s="120">
        <v>24</v>
      </c>
      <c r="B32" s="25" t="s">
        <v>73</v>
      </c>
      <c r="C32" s="7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5"/>
    </row>
    <row r="33" spans="1:21" ht="24" customHeight="1">
      <c r="A33" s="120">
        <v>25</v>
      </c>
      <c r="B33" s="25" t="s">
        <v>74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119</v>
      </c>
      <c r="C34" s="41">
        <v>19942.3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8798.4</v>
      </c>
      <c r="H34" s="18">
        <v>6552.3</v>
      </c>
      <c r="I34" s="18">
        <f>H34/G34*100</f>
        <v>74.4714948172395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2246.0999999999995</v>
      </c>
      <c r="U34" s="16">
        <f aca="true" t="shared" si="10" ref="U34:U47">C34+G34-H34</f>
        <v>22188.399999999998</v>
      </c>
    </row>
    <row r="35" spans="1:21" ht="24.75" customHeight="1">
      <c r="A35" s="121"/>
      <c r="B35" s="25" t="s">
        <v>75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104</v>
      </c>
      <c r="C36" s="41">
        <v>5609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2527.4</v>
      </c>
      <c r="H36" s="18">
        <v>2360.4</v>
      </c>
      <c r="I36" s="18">
        <f aca="true" t="shared" si="12" ref="I36:I48">H36/G36*100</f>
        <v>93.39241908680857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167</v>
      </c>
      <c r="U36" s="16">
        <f t="shared" si="10"/>
        <v>5776</v>
      </c>
    </row>
    <row r="37" spans="1:21" ht="24" customHeight="1">
      <c r="A37" s="120">
        <v>27</v>
      </c>
      <c r="B37" s="23" t="s">
        <v>76</v>
      </c>
      <c r="C37" s="41">
        <v>54.9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0.3</v>
      </c>
      <c r="H37" s="18">
        <v>0.7</v>
      </c>
      <c r="I37" s="18">
        <f t="shared" si="12"/>
        <v>233.33333333333334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-0.39999999999999997</v>
      </c>
      <c r="U37" s="16">
        <f t="shared" si="10"/>
        <v>54.49999999999999</v>
      </c>
    </row>
    <row r="38" spans="1:21" ht="24" customHeight="1">
      <c r="A38" s="120">
        <v>28</v>
      </c>
      <c r="B38" s="25" t="s">
        <v>77</v>
      </c>
      <c r="C38" s="41">
        <f>10095.2-3.1</f>
        <v>10092.1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3700.1</v>
      </c>
      <c r="H38" s="18">
        <v>4815.4</v>
      </c>
      <c r="I38" s="18">
        <f t="shared" si="12"/>
        <v>130.14242858301125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-1115.2999999999997</v>
      </c>
      <c r="U38" s="16">
        <f t="shared" si="10"/>
        <v>8976.800000000001</v>
      </c>
    </row>
    <row r="39" spans="1:21" ht="24" customHeight="1">
      <c r="A39" s="120">
        <v>29</v>
      </c>
      <c r="B39" s="25" t="s">
        <v>78</v>
      </c>
      <c r="C39" s="41">
        <v>16503.1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4907.1</v>
      </c>
      <c r="H39" s="18">
        <v>4013.8</v>
      </c>
      <c r="I39" s="18">
        <f t="shared" si="12"/>
        <v>81.79576531963889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893.3000000000002</v>
      </c>
      <c r="U39" s="16">
        <f t="shared" si="10"/>
        <v>17396.399999999998</v>
      </c>
    </row>
    <row r="40" spans="1:21" ht="36.75" customHeight="1">
      <c r="A40" s="120">
        <v>30</v>
      </c>
      <c r="B40" s="25" t="s">
        <v>105</v>
      </c>
      <c r="C40" s="41">
        <v>45001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15527</v>
      </c>
      <c r="H40" s="18">
        <v>15016.5</v>
      </c>
      <c r="I40" s="18">
        <f t="shared" si="12"/>
        <v>96.71217878534166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510.5</v>
      </c>
      <c r="U40" s="16">
        <f t="shared" si="10"/>
        <v>45511.5</v>
      </c>
    </row>
    <row r="41" spans="1:21" ht="24" customHeight="1">
      <c r="A41" s="120">
        <v>31</v>
      </c>
      <c r="B41" s="25" t="s">
        <v>79</v>
      </c>
      <c r="C41" s="41">
        <v>280.1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31.1</v>
      </c>
      <c r="H41" s="18">
        <v>21.9</v>
      </c>
      <c r="I41" s="18">
        <f t="shared" si="12"/>
        <v>70.41800643086816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9.200000000000003</v>
      </c>
      <c r="U41" s="16">
        <f t="shared" si="10"/>
        <v>289.30000000000007</v>
      </c>
    </row>
    <row r="42" spans="1:21" ht="37.5">
      <c r="A42" s="120">
        <v>32</v>
      </c>
      <c r="B42" s="23" t="s">
        <v>80</v>
      </c>
      <c r="C42" s="41">
        <v>14219.9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6598.1</v>
      </c>
      <c r="H42" s="18">
        <v>7232.6</v>
      </c>
      <c r="I42" s="18">
        <f t="shared" si="12"/>
        <v>109.61640472257166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-634.5</v>
      </c>
      <c r="U42" s="16">
        <f t="shared" si="10"/>
        <v>13585.4</v>
      </c>
    </row>
    <row r="43" spans="1:21" ht="24" customHeight="1">
      <c r="A43" s="120">
        <v>33</v>
      </c>
      <c r="B43" s="25" t="s">
        <v>81</v>
      </c>
      <c r="C43" s="41">
        <v>6984.9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7666.7</v>
      </c>
      <c r="H43" s="18">
        <v>8895.6</v>
      </c>
      <c r="I43" s="18">
        <f t="shared" si="12"/>
        <v>116.02906074321417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-1228.9000000000005</v>
      </c>
      <c r="U43" s="16">
        <f t="shared" si="10"/>
        <v>5755.999999999998</v>
      </c>
    </row>
    <row r="44" spans="1:23" s="7" customFormat="1" ht="24.75" customHeight="1">
      <c r="A44" s="122">
        <v>34</v>
      </c>
      <c r="B44" s="6" t="s">
        <v>82</v>
      </c>
      <c r="C44" s="42">
        <f>C45+C46</f>
        <v>1042444.6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961567.5</v>
      </c>
      <c r="H44" s="16">
        <f>H45+H46</f>
        <v>770599.3</v>
      </c>
      <c r="I44" s="17">
        <f t="shared" si="12"/>
        <v>80.13990697480936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190968.2</v>
      </c>
      <c r="U44" s="105">
        <f>SUM(U45:U47)</f>
        <v>1233412.8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83</v>
      </c>
      <c r="C45" s="41">
        <v>1026634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944738</v>
      </c>
      <c r="H45" s="18">
        <f>728074+28026</f>
        <v>756100</v>
      </c>
      <c r="I45" s="18">
        <f t="shared" si="12"/>
        <v>80.03277099047567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188638</v>
      </c>
      <c r="U45" s="24">
        <f t="shared" si="10"/>
        <v>1215272</v>
      </c>
    </row>
    <row r="46" spans="1:21" s="7" customFormat="1" ht="24.75" customHeight="1">
      <c r="A46" s="122"/>
      <c r="B46" s="23" t="s">
        <v>84</v>
      </c>
      <c r="C46" s="41">
        <v>15810.6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16829.5</v>
      </c>
      <c r="H46" s="18">
        <v>14499.3</v>
      </c>
      <c r="I46" s="18">
        <f t="shared" si="12"/>
        <v>86.15407469027599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2330.2000000000007</v>
      </c>
      <c r="U46" s="24">
        <f t="shared" si="10"/>
        <v>18140.8</v>
      </c>
    </row>
    <row r="47" spans="1:21" s="7" customFormat="1" ht="24.75" customHeight="1">
      <c r="A47" s="122"/>
      <c r="B47" s="23" t="s">
        <v>75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85</v>
      </c>
      <c r="C48" s="42">
        <f>C8+C44</f>
        <v>1186495.8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1026821.4</v>
      </c>
      <c r="H48" s="16">
        <f>H8+H44</f>
        <v>835887</v>
      </c>
      <c r="I48" s="17">
        <f t="shared" si="12"/>
        <v>81.40529599402583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195095.5</v>
      </c>
      <c r="U48" s="59">
        <f>U8+U44</f>
        <v>1377587.9000000001</v>
      </c>
      <c r="V48" s="111">
        <f>V8+V44</f>
        <v>-4449.400000000001</v>
      </c>
      <c r="W48" s="111">
        <f>W8+W44</f>
        <v>-157.69999999999996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90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91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11" t="s">
        <v>114</v>
      </c>
      <c r="B53" s="211"/>
      <c r="C53" s="211"/>
      <c r="D53" s="211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109</v>
      </c>
      <c r="V53" s="9"/>
      <c r="W53" s="9"/>
      <c r="X53" s="9"/>
      <c r="Y53" s="9"/>
      <c r="Z53" s="9"/>
      <c r="AA53" s="64"/>
      <c r="AB53" s="76" t="s">
        <v>109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35" t="s">
        <v>116</v>
      </c>
      <c r="C55" s="235"/>
      <c r="D55" s="235"/>
      <c r="E55" s="235"/>
      <c r="F55" s="235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42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43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44</v>
      </c>
      <c r="C61" s="44">
        <f>C10+C18+C21+C27+C37+C39+C41</f>
        <v>23009.399999999998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24076.499999999996</v>
      </c>
    </row>
    <row r="62" spans="2:21" ht="18.75">
      <c r="B62" s="1" t="s">
        <v>45</v>
      </c>
      <c r="C62" s="44">
        <f>C12+C14+C15+C17+C19+C20+C26</f>
        <v>2123.7000000000003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1899.1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6">
    <mergeCell ref="G5:I5"/>
    <mergeCell ref="D5:F5"/>
    <mergeCell ref="S5:S7"/>
    <mergeCell ref="U5:U7"/>
    <mergeCell ref="J5:L5"/>
    <mergeCell ref="G31:I31"/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2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" customWidth="1"/>
    <col min="2" max="2" width="57.25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4" ht="18.75">
      <c r="B2" s="236" t="s">
        <v>101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X2" s="246"/>
    </row>
    <row r="3" spans="2:24" ht="18.75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X3" s="246"/>
    </row>
    <row r="4" spans="2:24" ht="18.75">
      <c r="B4" s="205"/>
      <c r="C4" s="205"/>
      <c r="D4" s="205"/>
      <c r="E4" s="205"/>
      <c r="F4" s="205"/>
      <c r="U4" s="74" t="s">
        <v>53</v>
      </c>
      <c r="X4" s="246"/>
    </row>
    <row r="5" spans="1:25" ht="36.75" customHeight="1">
      <c r="A5" s="3"/>
      <c r="B5" s="3"/>
      <c r="C5" s="209" t="s">
        <v>1</v>
      </c>
      <c r="D5" s="242" t="s">
        <v>108</v>
      </c>
      <c r="E5" s="243"/>
      <c r="F5" s="244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  <c r="V5" s="245"/>
      <c r="W5" s="245"/>
      <c r="X5" s="247"/>
      <c r="Y5" s="246"/>
    </row>
    <row r="6" spans="1:25" ht="18.75">
      <c r="A6" s="5" t="s">
        <v>39</v>
      </c>
      <c r="B6" s="4" t="s">
        <v>2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  <c r="V6" s="245"/>
      <c r="W6" s="245"/>
      <c r="X6" s="247"/>
      <c r="Y6" s="246"/>
    </row>
    <row r="7" spans="1:25" ht="39.75" customHeight="1">
      <c r="A7" s="22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  <c r="V7" s="245"/>
      <c r="W7" s="245"/>
      <c r="X7" s="247"/>
      <c r="Y7" s="246"/>
    </row>
    <row r="8" spans="1:34" s="7" customFormat="1" ht="36" customHeight="1">
      <c r="A8" s="13"/>
      <c r="B8" s="8" t="s">
        <v>7</v>
      </c>
      <c r="C8" s="40">
        <f>SUM(C9:C43)</f>
        <v>6264.7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12218</v>
      </c>
      <c r="H8" s="17">
        <f>SUM(H9:H43)</f>
        <v>9708</v>
      </c>
      <c r="I8" s="17">
        <f aca="true" t="shared" si="1" ref="I8:I45">H8/G8*100</f>
        <v>79.45653953183826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2879.3</v>
      </c>
      <c r="U8" s="59">
        <f>SUMIF(U9:U43,"&gt;0",U9:U43)</f>
        <v>8774.7</v>
      </c>
      <c r="V8" s="140">
        <f>SUMIF(T9:T43,"&lt;0",T9:T43)</f>
        <v>-369.30000000000007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883.4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1198</v>
      </c>
      <c r="H9" s="18">
        <v>399.4</v>
      </c>
      <c r="I9" s="18">
        <f t="shared" si="1"/>
        <v>33.338898163606004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798.6</v>
      </c>
      <c r="U9" s="16">
        <f aca="true" t="shared" si="2" ref="U9:U43">C9+G9-H9</f>
        <v>1682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10.3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26.5</v>
      </c>
      <c r="H10" s="18">
        <v>22.7</v>
      </c>
      <c r="I10" s="18">
        <f t="shared" si="1"/>
        <v>85.66037735849056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3.8000000000000007</v>
      </c>
      <c r="U10" s="16">
        <f t="shared" si="2"/>
        <v>14.099999999999998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88.7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168</v>
      </c>
      <c r="H13" s="18">
        <v>158</v>
      </c>
      <c r="I13" s="18">
        <f t="shared" si="1"/>
        <v>94.04761904761905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10</v>
      </c>
      <c r="U13" s="16">
        <f t="shared" si="2"/>
        <v>98.69999999999999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1.3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2.7</v>
      </c>
      <c r="H14" s="18">
        <v>2.9</v>
      </c>
      <c r="I14" s="18">
        <f t="shared" si="1"/>
        <v>107.40740740740739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-0.19999999999999973</v>
      </c>
      <c r="U14" s="16">
        <f t="shared" si="2"/>
        <v>1.1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160.9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211</v>
      </c>
      <c r="H16" s="18">
        <v>251.1</v>
      </c>
      <c r="I16" s="18">
        <f t="shared" si="1"/>
        <v>119.00473933649289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-40.099999999999994</v>
      </c>
      <c r="U16" s="16">
        <f t="shared" si="2"/>
        <v>120.79999999999998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116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127.9</v>
      </c>
      <c r="H18" s="18">
        <v>148.8</v>
      </c>
      <c r="I18" s="18">
        <f t="shared" si="1"/>
        <v>116.3408913213448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-20.900000000000006</v>
      </c>
      <c r="U18" s="16">
        <f t="shared" si="2"/>
        <v>95.1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1.9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4.4</v>
      </c>
      <c r="H19" s="18">
        <v>4.4</v>
      </c>
      <c r="I19" s="18">
        <f t="shared" si="1"/>
        <v>100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0</v>
      </c>
      <c r="U19" s="16">
        <f t="shared" si="2"/>
        <v>1.9000000000000004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63.7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144.7</v>
      </c>
      <c r="H20" s="18">
        <v>148.7</v>
      </c>
      <c r="I20" s="18">
        <f t="shared" si="1"/>
        <v>102.76434001382171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-4</v>
      </c>
      <c r="U20" s="16">
        <f t="shared" si="2"/>
        <v>59.69999999999999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362.4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482.5</v>
      </c>
      <c r="H25" s="18">
        <v>532.9</v>
      </c>
      <c r="I25" s="18">
        <f t="shared" si="1"/>
        <v>110.44559585492229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-50.39999999999998</v>
      </c>
      <c r="U25" s="16">
        <f t="shared" si="2"/>
        <v>312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54.3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140.6</v>
      </c>
      <c r="H27" s="18">
        <v>112.5</v>
      </c>
      <c r="I27" s="18">
        <f t="shared" si="1"/>
        <v>80.01422475106686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28.099999999999994</v>
      </c>
      <c r="U27" s="16">
        <f t="shared" si="2"/>
        <v>82.39999999999998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103</v>
      </c>
      <c r="C28" s="41">
        <v>120.6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380.9</v>
      </c>
      <c r="H28" s="18">
        <v>390.6</v>
      </c>
      <c r="I28" s="18">
        <f t="shared" si="1"/>
        <v>102.54660015752167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-9.700000000000045</v>
      </c>
      <c r="U28" s="16">
        <f t="shared" si="2"/>
        <v>110.89999999999998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119</v>
      </c>
      <c r="C34" s="41">
        <v>580.3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878.1</v>
      </c>
      <c r="H34" s="18">
        <v>570.3</v>
      </c>
      <c r="I34" s="18">
        <f t="shared" si="1"/>
        <v>64.94704475572257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307.80000000000007</v>
      </c>
      <c r="U34" s="16">
        <f t="shared" si="2"/>
        <v>888.1000000000001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46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104</v>
      </c>
      <c r="C36" s="41">
        <v>290.9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480.7</v>
      </c>
      <c r="H36" s="18">
        <v>519.3</v>
      </c>
      <c r="I36" s="18">
        <f t="shared" si="1"/>
        <v>108.02995631370918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-38.599999999999966</v>
      </c>
      <c r="U36" s="16">
        <f t="shared" si="2"/>
        <v>252.29999999999995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0.8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1.6</v>
      </c>
      <c r="H37" s="18">
        <v>1.4</v>
      </c>
      <c r="I37" s="18">
        <f t="shared" si="1"/>
        <v>87.49999999999999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0.20000000000000018</v>
      </c>
      <c r="U37" s="16">
        <f t="shared" si="2"/>
        <v>1.0000000000000004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402.4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994.3</v>
      </c>
      <c r="H38" s="18">
        <v>402.4</v>
      </c>
      <c r="I38" s="18">
        <f t="shared" si="1"/>
        <v>40.470682892487176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591.9</v>
      </c>
      <c r="U38" s="16">
        <f t="shared" si="2"/>
        <v>994.2999999999998</v>
      </c>
      <c r="V38" s="98">
        <f>U38+субсидии!U38</f>
        <v>8282.7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529.1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1579.5</v>
      </c>
      <c r="H39" s="18">
        <v>1139.9</v>
      </c>
      <c r="I39" s="18">
        <f t="shared" si="1"/>
        <v>72.16840772396328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439.5999999999999</v>
      </c>
      <c r="U39" s="16">
        <f t="shared" si="2"/>
        <v>968.6999999999998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105</v>
      </c>
      <c r="C40" s="41">
        <v>853.7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2412.9</v>
      </c>
      <c r="H40" s="18">
        <v>1713.6</v>
      </c>
      <c r="I40" s="18">
        <f t="shared" si="1"/>
        <v>71.01827676240208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699.3000000000002</v>
      </c>
      <c r="U40" s="16">
        <f t="shared" si="2"/>
        <v>1553.0000000000005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0.2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0.3</v>
      </c>
      <c r="H41" s="18">
        <v>0.3</v>
      </c>
      <c r="I41" s="18">
        <f t="shared" si="1"/>
        <v>100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0</v>
      </c>
      <c r="U41" s="16">
        <f t="shared" si="2"/>
        <v>0.2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426.6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971</v>
      </c>
      <c r="H42" s="18">
        <v>1074</v>
      </c>
      <c r="I42" s="18">
        <f t="shared" si="1"/>
        <v>110.6076210092688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-103</v>
      </c>
      <c r="U42" s="16">
        <f t="shared" si="2"/>
        <v>323.5999999999999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1317.2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2012.4</v>
      </c>
      <c r="H43" s="18">
        <v>2114.8</v>
      </c>
      <c r="I43" s="18">
        <f t="shared" si="1"/>
        <v>105.08845160007951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-102.40000000000009</v>
      </c>
      <c r="U43" s="16">
        <f t="shared" si="2"/>
        <v>1214.8000000000002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52593.7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62425.2</v>
      </c>
      <c r="H44" s="16">
        <f>H45+H46</f>
        <v>41892.6</v>
      </c>
      <c r="I44" s="17">
        <f>H44/G44*100</f>
        <v>67.10847542338672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20532.6</v>
      </c>
      <c r="U44" s="59">
        <f>SUMIF(U45:U47,"&gt;0",U45:U47)</f>
        <v>73126.3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v>52238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61357</v>
      </c>
      <c r="H45" s="18">
        <v>41543</v>
      </c>
      <c r="I45" s="18">
        <f t="shared" si="1"/>
        <v>67.7070260931923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19814</v>
      </c>
      <c r="U45" s="24">
        <f>C45+G45-H45</f>
        <v>72052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355.7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1068.2</v>
      </c>
      <c r="H46" s="18">
        <v>349.6</v>
      </c>
      <c r="I46" s="18">
        <f>H46/G46*100</f>
        <v>32.7279535667478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718.6</v>
      </c>
      <c r="U46" s="24">
        <f>C46+G46-H46</f>
        <v>1074.3000000000002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46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58858.399999999994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74643.2</v>
      </c>
      <c r="H48" s="16">
        <f>H8+H44</f>
        <v>51600.6</v>
      </c>
      <c r="I48" s="17">
        <f>H48/G48*100</f>
        <v>69.12967289719626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23411.899999999998</v>
      </c>
      <c r="U48" s="59">
        <f>U8+U44</f>
        <v>81901</v>
      </c>
      <c r="V48" s="141">
        <f>V44+V8</f>
        <v>-36714.5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114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41" t="s">
        <v>116</v>
      </c>
      <c r="C55" s="241"/>
      <c r="D55" s="241"/>
      <c r="E55" s="241"/>
      <c r="F55" s="24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42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43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710.7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1161.4999999999998</v>
      </c>
    </row>
    <row r="63" spans="2:21" ht="18.75">
      <c r="B63" s="1" t="s">
        <v>45</v>
      </c>
      <c r="C63" s="43">
        <f>C12+C14+C15+C17+C19+C20+C26</f>
        <v>66.9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62.69999999999999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Y5:Y7"/>
    <mergeCell ref="J5:L5"/>
    <mergeCell ref="S5:S7"/>
    <mergeCell ref="X5:X7"/>
    <mergeCell ref="M5:O5"/>
    <mergeCell ref="X2:X4"/>
    <mergeCell ref="W5:W7"/>
    <mergeCell ref="U5:U7"/>
    <mergeCell ref="P5:R5"/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3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" customWidth="1"/>
    <col min="2" max="2" width="55.00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36" t="s">
        <v>102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2:21" ht="18.75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42.75" customHeight="1">
      <c r="A5" s="3"/>
      <c r="B5" s="3"/>
      <c r="C5" s="209" t="s">
        <v>1</v>
      </c>
      <c r="D5" s="237" t="s">
        <v>108</v>
      </c>
      <c r="E5" s="238"/>
      <c r="F5" s="239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</row>
    <row r="6" spans="1:21" ht="18.75">
      <c r="A6" s="5" t="s">
        <v>39</v>
      </c>
      <c r="B6" s="4" t="s">
        <v>2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2.25" customHeight="1">
      <c r="A7" s="22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3"/>
      <c r="B8" s="8" t="s">
        <v>7</v>
      </c>
      <c r="C8" s="40">
        <f>SUM(C9:C43)</f>
        <v>41563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105326.1</v>
      </c>
      <c r="H8" s="17">
        <f>SUM(H9:H43)</f>
        <v>95704.70000000001</v>
      </c>
      <c r="I8" s="17">
        <f aca="true" t="shared" si="1" ref="I8:I48">H8/G8*100</f>
        <v>90.86513219420448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11209.400000000001</v>
      </c>
      <c r="U8" s="59">
        <f>SUMIF(U9:U43,"&gt;0",U9:U43)</f>
        <v>51184.4</v>
      </c>
      <c r="V8" s="105">
        <f>SUMIF(T9:T43,"&lt;0",T9:T43)</f>
        <v>-1588.000000000001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2654.3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8707</v>
      </c>
      <c r="H9" s="18">
        <v>7337.1</v>
      </c>
      <c r="I9" s="18">
        <f t="shared" si="1"/>
        <v>84.26668198001607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1369.8999999999996</v>
      </c>
      <c r="U9" s="91">
        <f aca="true" t="shared" si="4" ref="U9:U43">C9+G9-H9</f>
        <v>4024.199999999999</v>
      </c>
    </row>
    <row r="10" spans="1:21" s="52" customFormat="1" ht="41.25" customHeight="1">
      <c r="A10" s="2">
        <v>2</v>
      </c>
      <c r="B10" s="53" t="s">
        <v>38</v>
      </c>
      <c r="C10" s="41">
        <v>70.7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127.8</v>
      </c>
      <c r="H10" s="18">
        <v>158.5</v>
      </c>
      <c r="I10" s="18">
        <f t="shared" si="1"/>
        <v>124.02190923317684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-30.700000000000003</v>
      </c>
      <c r="U10" s="91">
        <f t="shared" si="4"/>
        <v>40</v>
      </c>
    </row>
    <row r="11" spans="1:21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2392.9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2512.4</v>
      </c>
      <c r="H13" s="18">
        <v>3407.8</v>
      </c>
      <c r="I13" s="18">
        <f t="shared" si="1"/>
        <v>135.63922942206653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-895.4000000000001</v>
      </c>
      <c r="U13" s="91">
        <f t="shared" si="4"/>
        <v>1497.5</v>
      </c>
    </row>
    <row r="14" spans="1:21" ht="24" customHeight="1">
      <c r="A14" s="2">
        <v>6</v>
      </c>
      <c r="B14" s="23" t="s">
        <v>16</v>
      </c>
      <c r="C14" s="41">
        <v>18.4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31.6</v>
      </c>
      <c r="H14" s="18">
        <v>49.8</v>
      </c>
      <c r="I14" s="18">
        <f t="shared" si="1"/>
        <v>157.59493670886073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-18.199999999999996</v>
      </c>
      <c r="U14" s="91">
        <f t="shared" si="4"/>
        <v>0.20000000000000284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18"/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878.2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1672.6</v>
      </c>
      <c r="H16" s="18">
        <v>2014.7</v>
      </c>
      <c r="I16" s="18">
        <f t="shared" si="1"/>
        <v>120.45318665550641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-342.10000000000014</v>
      </c>
      <c r="U16" s="91">
        <f t="shared" si="4"/>
        <v>536.1000000000001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168.2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621.7</v>
      </c>
      <c r="H18" s="18">
        <v>597.2</v>
      </c>
      <c r="I18" s="18">
        <f t="shared" si="1"/>
        <v>96.0591925365932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24.5</v>
      </c>
      <c r="U18" s="91">
        <f t="shared" si="4"/>
        <v>192.70000000000005</v>
      </c>
    </row>
    <row r="19" spans="1:21" ht="24" customHeight="1">
      <c r="A19" s="2">
        <v>11</v>
      </c>
      <c r="B19" s="25" t="s">
        <v>21</v>
      </c>
      <c r="C19" s="41">
        <v>17.5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31.6</v>
      </c>
      <c r="H19" s="18">
        <v>43.6</v>
      </c>
      <c r="I19" s="126">
        <f t="shared" si="1"/>
        <v>137.9746835443038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-12</v>
      </c>
      <c r="U19" s="91">
        <f t="shared" si="4"/>
        <v>5.5</v>
      </c>
    </row>
    <row r="20" spans="1:21" ht="24" customHeight="1">
      <c r="A20" s="2">
        <v>12</v>
      </c>
      <c r="B20" s="23" t="s">
        <v>22</v>
      </c>
      <c r="C20" s="41">
        <v>328.2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776.2</v>
      </c>
      <c r="H20" s="18">
        <v>899.9</v>
      </c>
      <c r="I20" s="18">
        <f t="shared" si="1"/>
        <v>115.93661427467146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-123.69999999999993</v>
      </c>
      <c r="U20" s="91">
        <f t="shared" si="4"/>
        <v>204.5000000000001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1662.2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4602.4</v>
      </c>
      <c r="H25" s="18">
        <v>4768.3</v>
      </c>
      <c r="I25" s="18">
        <f t="shared" si="1"/>
        <v>103.60464105683992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-165.90000000000055</v>
      </c>
      <c r="U25" s="91">
        <f t="shared" si="4"/>
        <v>1496.2999999999993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146.3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446.6</v>
      </c>
      <c r="H27" s="18">
        <v>441</v>
      </c>
      <c r="I27" s="18">
        <f t="shared" si="1"/>
        <v>98.74608150470219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5.600000000000023</v>
      </c>
      <c r="U27" s="91">
        <f t="shared" si="4"/>
        <v>151.9000000000001</v>
      </c>
    </row>
    <row r="28" spans="1:21" ht="36.75" customHeight="1">
      <c r="A28" s="2">
        <v>20</v>
      </c>
      <c r="B28" s="25" t="s">
        <v>103</v>
      </c>
      <c r="C28" s="41">
        <v>2129.7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4687.7</v>
      </c>
      <c r="H28" s="18">
        <v>3787.6</v>
      </c>
      <c r="I28" s="18">
        <f t="shared" si="1"/>
        <v>80.79868592273397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900.0999999999999</v>
      </c>
      <c r="U28" s="91">
        <f t="shared" si="4"/>
        <v>3029.7999999999997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119</v>
      </c>
      <c r="C34" s="41">
        <v>1051.3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3867.6</v>
      </c>
      <c r="H34" s="18">
        <v>2211.3</v>
      </c>
      <c r="I34" s="18">
        <f t="shared" si="1"/>
        <v>57.17499224325163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1656.2999999999997</v>
      </c>
      <c r="U34" s="91">
        <f t="shared" si="4"/>
        <v>2707.5999999999995</v>
      </c>
      <c r="V34" s="19">
        <f>U34+льготи!U34</f>
        <v>3595.7</v>
      </c>
    </row>
    <row r="35" spans="1:21" ht="24.75" customHeight="1">
      <c r="A35" s="36"/>
      <c r="B35" s="25" t="s">
        <v>46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104</v>
      </c>
      <c r="C36" s="41">
        <v>763.1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3606.9</v>
      </c>
      <c r="H36" s="18">
        <v>3185.7</v>
      </c>
      <c r="I36" s="18">
        <f t="shared" si="1"/>
        <v>88.32238210097313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421.2000000000003</v>
      </c>
      <c r="U36" s="91">
        <f t="shared" si="4"/>
        <v>1184.3000000000002</v>
      </c>
    </row>
    <row r="37" spans="1:21" s="38" customFormat="1" ht="24" customHeight="1">
      <c r="A37" s="2">
        <v>27</v>
      </c>
      <c r="B37" s="23" t="s">
        <v>30</v>
      </c>
      <c r="C37" s="41">
        <v>0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</v>
      </c>
      <c r="H37" s="18">
        <v>0</v>
      </c>
      <c r="I37" s="18">
        <v>0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0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4845.7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11248.5</v>
      </c>
      <c r="H38" s="18">
        <v>8805.8</v>
      </c>
      <c r="I38" s="18">
        <f t="shared" si="1"/>
        <v>78.28421567320086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2442.7000000000007</v>
      </c>
      <c r="U38" s="91">
        <f t="shared" si="4"/>
        <v>7288.4000000000015</v>
      </c>
    </row>
    <row r="39" spans="1:21" s="38" customFormat="1" ht="24" customHeight="1">
      <c r="A39" s="2">
        <v>29</v>
      </c>
      <c r="B39" s="25" t="s">
        <v>32</v>
      </c>
      <c r="C39" s="41">
        <v>3749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11493.2</v>
      </c>
      <c r="H39" s="18">
        <v>11231</v>
      </c>
      <c r="I39" s="18">
        <f t="shared" si="1"/>
        <v>97.7186510284342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262.2000000000007</v>
      </c>
      <c r="U39" s="91">
        <f t="shared" si="4"/>
        <v>4011.2000000000007</v>
      </c>
    </row>
    <row r="40" spans="1:21" ht="36.75" customHeight="1">
      <c r="A40" s="2">
        <v>30</v>
      </c>
      <c r="B40" s="25" t="s">
        <v>105</v>
      </c>
      <c r="C40" s="41">
        <v>14922.8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30807.5</v>
      </c>
      <c r="H40" s="18">
        <v>28907</v>
      </c>
      <c r="I40" s="18">
        <f t="shared" si="1"/>
        <v>93.83104763450459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1900.5</v>
      </c>
      <c r="U40" s="91">
        <f t="shared" si="4"/>
        <v>16823.300000000003</v>
      </c>
    </row>
    <row r="41" spans="1:21" s="38" customFormat="1" ht="24" customHeight="1">
      <c r="A41" s="2">
        <v>31</v>
      </c>
      <c r="B41" s="25" t="s">
        <v>33</v>
      </c>
      <c r="C41" s="41">
        <v>1.9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5.7</v>
      </c>
      <c r="H41" s="18">
        <v>5.6</v>
      </c>
      <c r="I41" s="18">
        <f t="shared" si="1"/>
        <v>98.24561403508771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0.10000000000000053</v>
      </c>
      <c r="U41" s="91">
        <f t="shared" si="4"/>
        <v>2</v>
      </c>
    </row>
    <row r="42" spans="1:21" ht="37.5">
      <c r="A42" s="2">
        <v>32</v>
      </c>
      <c r="B42" s="23" t="s">
        <v>120</v>
      </c>
      <c r="C42" s="41">
        <v>3676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11287.5</v>
      </c>
      <c r="H42" s="18">
        <v>9988.1</v>
      </c>
      <c r="I42" s="18">
        <f t="shared" si="1"/>
        <v>88.48815060908083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1299.3999999999996</v>
      </c>
      <c r="U42" s="91">
        <f t="shared" si="4"/>
        <v>4975.4</v>
      </c>
    </row>
    <row r="43" spans="1:21" ht="24" customHeight="1">
      <c r="A43" s="2">
        <v>33</v>
      </c>
      <c r="B43" s="25" t="s">
        <v>35</v>
      </c>
      <c r="C43" s="41">
        <v>2086.6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8791.6</v>
      </c>
      <c r="H43" s="18">
        <v>7864.7</v>
      </c>
      <c r="I43" s="18">
        <f t="shared" si="1"/>
        <v>89.45698166431593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926.9000000000005</v>
      </c>
      <c r="U43" s="91">
        <f t="shared" si="4"/>
        <v>3013.500000000001</v>
      </c>
    </row>
    <row r="44" spans="1:23" s="7" customFormat="1" ht="24.75" customHeight="1">
      <c r="A44" s="6">
        <v>34</v>
      </c>
      <c r="B44" s="6" t="s">
        <v>6</v>
      </c>
      <c r="C44" s="42">
        <f>C45+C46</f>
        <v>67005.2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222047.4</v>
      </c>
      <c r="H44" s="16">
        <f>H45+H46</f>
        <v>98146.9</v>
      </c>
      <c r="I44" s="17">
        <f t="shared" si="1"/>
        <v>44.20087783058933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123900.5</v>
      </c>
      <c r="U44" s="59">
        <f>SUMIF(U45:U47,"&gt;0",U45:U47)</f>
        <v>190905.7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v>66031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218529</v>
      </c>
      <c r="H45" s="18">
        <f>96031+0</f>
        <v>96031</v>
      </c>
      <c r="I45" s="18">
        <f t="shared" si="1"/>
        <v>43.94428199460941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122498</v>
      </c>
      <c r="U45" s="91">
        <f>C45+G45-H45</f>
        <v>188529</v>
      </c>
    </row>
    <row r="46" spans="1:23" s="7" customFormat="1" ht="24.75" customHeight="1">
      <c r="A46" s="6"/>
      <c r="B46" s="23" t="s">
        <v>37</v>
      </c>
      <c r="C46" s="41">
        <v>974.2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3518.4</v>
      </c>
      <c r="H46" s="18">
        <v>2115.9</v>
      </c>
      <c r="I46" s="18">
        <f t="shared" si="1"/>
        <v>60.13813096862211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1402.5</v>
      </c>
      <c r="U46" s="91">
        <f>C46+G46-H46</f>
        <v>2376.7000000000003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46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108568.2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327373.5</v>
      </c>
      <c r="H48" s="16">
        <f>H8+H44</f>
        <v>193851.6</v>
      </c>
      <c r="I48" s="17">
        <f t="shared" si="1"/>
        <v>59.214200294159426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135109.9</v>
      </c>
      <c r="U48" s="105">
        <f>U8+U44</f>
        <v>242090.1</v>
      </c>
      <c r="V48" s="108">
        <f>V44+V8</f>
        <v>-1626.900000000001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48" t="s">
        <v>114</v>
      </c>
      <c r="B54" s="248"/>
      <c r="C54" s="248"/>
      <c r="D54" s="248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</row>
    <row r="55" spans="1:23" s="131" customFormat="1" ht="42.75" customHeight="1">
      <c r="A55" s="138"/>
      <c r="B55" s="241" t="s">
        <v>116</v>
      </c>
      <c r="C55" s="241"/>
      <c r="D55" s="241"/>
      <c r="E55" s="241"/>
      <c r="F55" s="24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115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42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43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44</v>
      </c>
      <c r="C63" s="43">
        <f>C10+C18+C21+C27+C37+C39+C41</f>
        <v>4136.099999999999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4397.800000000001</v>
      </c>
    </row>
    <row r="64" spans="2:21" ht="18.75">
      <c r="B64" s="1" t="s">
        <v>45</v>
      </c>
      <c r="C64" s="43">
        <f>C12+C14+C15+C17+C19+C20+C26</f>
        <v>364.09999999999997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210.2000000000001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C5:C6"/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6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G5" sqref="G5:I5"/>
    </sheetView>
  </sheetViews>
  <sheetFormatPr defaultColWidth="7.875" defaultRowHeight="12.75"/>
  <cols>
    <col min="1" max="1" width="6.125" style="14" customWidth="1"/>
    <col min="2" max="2" width="54.87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35.25" customHeight="1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36.75" customHeight="1">
      <c r="A5" s="117"/>
      <c r="B5" s="3"/>
      <c r="C5" s="209" t="s">
        <v>1</v>
      </c>
      <c r="D5" s="237" t="s">
        <v>108</v>
      </c>
      <c r="E5" s="238"/>
      <c r="F5" s="239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</row>
    <row r="6" spans="1:21" ht="18.75">
      <c r="A6" s="4" t="s">
        <v>39</v>
      </c>
      <c r="B6" s="4" t="s">
        <v>49</v>
      </c>
      <c r="C6" s="210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39.7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0">
        <f>SUM(C9:C43)</f>
        <v>3617.4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26303.9</v>
      </c>
      <c r="H8" s="17">
        <f>SUM(H9:H43)</f>
        <v>11592.8</v>
      </c>
      <c r="I8" s="17">
        <f aca="true" t="shared" si="1" ref="I8:I18">H8/G8*100</f>
        <v>44.072551978984094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14722.5</v>
      </c>
      <c r="U8" s="59">
        <f>SUMIF(U9:U43,"&gt;0",U9:U43)</f>
        <v>18328.5</v>
      </c>
      <c r="V8" s="105">
        <f>SUMIF(T9:T43,"&lt;0",T9:T43)</f>
        <v>-11.400000000000034</v>
      </c>
      <c r="W8" s="105">
        <f>SUMIF(U9:U43,"&lt;0",U9:U43)</f>
        <v>0</v>
      </c>
    </row>
    <row r="9" spans="1:22" s="27" customFormat="1" ht="36.75" customHeight="1">
      <c r="A9" s="120">
        <v>1</v>
      </c>
      <c r="B9" s="23" t="s">
        <v>55</v>
      </c>
      <c r="C9" s="41">
        <v>194.1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877.6</v>
      </c>
      <c r="H9" s="18">
        <v>570.3</v>
      </c>
      <c r="I9" s="18">
        <f>T9</f>
        <v>307.30000000000007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307.30000000000007</v>
      </c>
      <c r="U9" s="16">
        <f aca="true" t="shared" si="6" ref="U9:U23">C9+G9-H9</f>
        <v>501.4000000000001</v>
      </c>
      <c r="V9" s="116">
        <f>G9-H9</f>
        <v>307.30000000000007</v>
      </c>
    </row>
    <row r="10" spans="1:21" s="27" customFormat="1" ht="36.75" customHeight="1">
      <c r="A10" s="120">
        <v>2</v>
      </c>
      <c r="B10" s="53" t="s">
        <v>89</v>
      </c>
      <c r="C10" s="41">
        <v>-5.5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647.4</v>
      </c>
      <c r="H10" s="18">
        <v>349</v>
      </c>
      <c r="I10" s="18">
        <f t="shared" si="1"/>
        <v>53.907939450108124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298.4</v>
      </c>
      <c r="U10" s="16">
        <f t="shared" si="6"/>
        <v>292.9</v>
      </c>
    </row>
    <row r="11" spans="1:21" s="27" customFormat="1" ht="36.75" customHeight="1">
      <c r="A11" s="120">
        <v>3</v>
      </c>
      <c r="B11" s="25" t="s">
        <v>106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56</v>
      </c>
      <c r="C12" s="41">
        <v>12.7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290.7</v>
      </c>
      <c r="H12" s="18">
        <v>158.9</v>
      </c>
      <c r="I12" s="18">
        <f t="shared" si="1"/>
        <v>54.66116271069832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131.79999999999998</v>
      </c>
      <c r="U12" s="16">
        <f t="shared" si="6"/>
        <v>144.49999999999997</v>
      </c>
    </row>
    <row r="13" spans="1:21" s="27" customFormat="1" ht="24" customHeight="1">
      <c r="A13" s="120">
        <v>5</v>
      </c>
      <c r="B13" s="23" t="s">
        <v>87</v>
      </c>
      <c r="C13" s="41">
        <v>302.1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562.8</v>
      </c>
      <c r="H13" s="18">
        <v>427.5</v>
      </c>
      <c r="I13" s="18">
        <f t="shared" si="1"/>
        <v>75.95948827292112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135.29999999999995</v>
      </c>
      <c r="U13" s="16">
        <f t="shared" si="6"/>
        <v>437.4</v>
      </c>
    </row>
    <row r="14" spans="1:21" s="27" customFormat="1" ht="24" customHeight="1">
      <c r="A14" s="120">
        <v>6</v>
      </c>
      <c r="B14" s="23" t="s">
        <v>57</v>
      </c>
      <c r="C14" s="41">
        <v>33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242.1</v>
      </c>
      <c r="H14" s="18">
        <v>99.5</v>
      </c>
      <c r="I14" s="18">
        <f t="shared" si="1"/>
        <v>41.09871953738125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142.6</v>
      </c>
      <c r="U14" s="16">
        <f t="shared" si="6"/>
        <v>175.60000000000002</v>
      </c>
    </row>
    <row r="15" spans="1:21" s="27" customFormat="1" ht="24" customHeight="1">
      <c r="A15" s="120">
        <v>7</v>
      </c>
      <c r="B15" s="23" t="s">
        <v>58</v>
      </c>
      <c r="C15" s="41">
        <v>-41.2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413.5</v>
      </c>
      <c r="H15" s="18">
        <v>188.8</v>
      </c>
      <c r="I15" s="18">
        <f t="shared" si="1"/>
        <v>45.659008464328906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224.7</v>
      </c>
      <c r="U15" s="16">
        <f t="shared" si="6"/>
        <v>183.5</v>
      </c>
    </row>
    <row r="16" spans="1:21" s="27" customFormat="1" ht="24" customHeight="1">
      <c r="A16" s="120">
        <v>8</v>
      </c>
      <c r="B16" s="23" t="s">
        <v>59</v>
      </c>
      <c r="C16" s="41">
        <v>209.7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912.5</v>
      </c>
      <c r="H16" s="18">
        <v>507</v>
      </c>
      <c r="I16" s="18">
        <f t="shared" si="1"/>
        <v>55.56164383561644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405.5</v>
      </c>
      <c r="U16" s="16">
        <f t="shared" si="6"/>
        <v>615.2</v>
      </c>
    </row>
    <row r="17" spans="1:21" s="27" customFormat="1" ht="24" customHeight="1">
      <c r="A17" s="120">
        <v>9</v>
      </c>
      <c r="B17" s="23" t="s">
        <v>60</v>
      </c>
      <c r="C17" s="41">
        <f>-22.5+5.3</f>
        <v>-17.2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172.8</v>
      </c>
      <c r="H17" s="18">
        <v>102.1</v>
      </c>
      <c r="I17" s="18">
        <f t="shared" si="1"/>
        <v>59.08564814814814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70.70000000000002</v>
      </c>
      <c r="U17" s="16">
        <f t="shared" si="6"/>
        <v>53.50000000000003</v>
      </c>
    </row>
    <row r="18" spans="1:21" s="27" customFormat="1" ht="24" customHeight="1">
      <c r="A18" s="120">
        <v>10</v>
      </c>
      <c r="B18" s="25" t="s">
        <v>61</v>
      </c>
      <c r="C18" s="41">
        <v>1606.9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2080</v>
      </c>
      <c r="H18" s="18">
        <v>265.3</v>
      </c>
      <c r="I18" s="18">
        <f t="shared" si="1"/>
        <v>12.754807692307693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1814.7</v>
      </c>
      <c r="U18" s="16">
        <f t="shared" si="6"/>
        <v>3421.6</v>
      </c>
    </row>
    <row r="19" spans="1:21" ht="24" customHeight="1">
      <c r="A19" s="120">
        <v>11</v>
      </c>
      <c r="B19" s="25" t="s">
        <v>62</v>
      </c>
      <c r="C19" s="41">
        <v>25.3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141.7</v>
      </c>
      <c r="H19" s="18">
        <v>93.5</v>
      </c>
      <c r="I19" s="18">
        <v>0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48.19999999999999</v>
      </c>
      <c r="U19" s="16">
        <f t="shared" si="6"/>
        <v>73.5</v>
      </c>
    </row>
    <row r="20" spans="1:21" s="27" customFormat="1" ht="24" customHeight="1">
      <c r="A20" s="120">
        <v>12</v>
      </c>
      <c r="B20" s="23" t="s">
        <v>88</v>
      </c>
      <c r="C20" s="41">
        <v>22.5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v>364.2</v>
      </c>
      <c r="H20" s="18">
        <v>375.6</v>
      </c>
      <c r="I20" s="18">
        <v>0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-11.400000000000034</v>
      </c>
      <c r="U20" s="16">
        <f t="shared" si="6"/>
        <v>11.099999999999966</v>
      </c>
    </row>
    <row r="21" spans="1:21" s="27" customFormat="1" ht="24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64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65</v>
      </c>
      <c r="C23" s="41">
        <v>118.4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254.1</v>
      </c>
      <c r="H23" s="18">
        <v>134.6</v>
      </c>
      <c r="I23" s="18">
        <f>H23/G23*100</f>
        <v>52.97127115308934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119.5</v>
      </c>
      <c r="U23" s="16">
        <f t="shared" si="6"/>
        <v>237.9</v>
      </c>
    </row>
    <row r="24" spans="1:21" ht="22.5" customHeight="1">
      <c r="A24" s="120">
        <v>16</v>
      </c>
      <c r="B24" s="25" t="s">
        <v>66</v>
      </c>
      <c r="C24" s="46" t="s">
        <v>100</v>
      </c>
      <c r="D24" s="186" t="s">
        <v>86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s="27" customFormat="1" ht="36.75" customHeight="1">
      <c r="A25" s="120">
        <v>17</v>
      </c>
      <c r="B25" s="25" t="s">
        <v>67</v>
      </c>
      <c r="C25" s="41">
        <v>-115.8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1141.8</v>
      </c>
      <c r="H25" s="18">
        <v>578.8</v>
      </c>
      <c r="I25" s="18">
        <f>H25/G25*100</f>
        <v>50.69188999824837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563</v>
      </c>
      <c r="U25" s="16">
        <f>C25+G25-H25</f>
        <v>447.20000000000005</v>
      </c>
    </row>
    <row r="26" spans="1:21" s="27" customFormat="1" ht="24.75" customHeight="1">
      <c r="A26" s="120">
        <v>18</v>
      </c>
      <c r="B26" s="23" t="s">
        <v>68</v>
      </c>
      <c r="C26" s="41">
        <v>16.2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v>549.2</v>
      </c>
      <c r="H26" s="18">
        <v>284</v>
      </c>
      <c r="I26" s="18">
        <f>H26/G26*100</f>
        <v>51.71158048069919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265.20000000000005</v>
      </c>
      <c r="U26" s="16">
        <f>C26+G26-H26</f>
        <v>281.4000000000001</v>
      </c>
    </row>
    <row r="27" spans="1:21" ht="25.5" customHeight="1">
      <c r="A27" s="120">
        <v>19</v>
      </c>
      <c r="B27" s="25" t="s">
        <v>69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103</v>
      </c>
      <c r="C28" s="41">
        <v>-18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51.7</v>
      </c>
      <c r="H28" s="18">
        <v>16.5</v>
      </c>
      <c r="I28" s="18">
        <f>H28/G28*100</f>
        <v>31.914893617021274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35.2</v>
      </c>
      <c r="U28" s="16">
        <f>C28+G28-H28</f>
        <v>17.200000000000003</v>
      </c>
    </row>
    <row r="29" spans="1:21" s="27" customFormat="1" ht="36.75" customHeight="1">
      <c r="A29" s="120">
        <v>21</v>
      </c>
      <c r="B29" s="23" t="s">
        <v>70</v>
      </c>
      <c r="C29" s="41">
        <f>154.7+185.1</f>
        <v>339.79999999999995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779.4</v>
      </c>
      <c r="H29" s="18">
        <f>147.3+421.8</f>
        <v>569.1</v>
      </c>
      <c r="I29" s="18">
        <f>H29/G29*100</f>
        <v>73.01770592763664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210.29999999999995</v>
      </c>
      <c r="U29" s="16">
        <f>C29+G29-H29</f>
        <v>550.0999999999998</v>
      </c>
    </row>
    <row r="30" spans="1:21" ht="24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4" customHeight="1">
      <c r="A31" s="120">
        <v>23</v>
      </c>
      <c r="B31" s="25" t="s">
        <v>72</v>
      </c>
      <c r="C31" s="195" t="s">
        <v>100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4" customHeight="1">
      <c r="A32" s="120">
        <v>24</v>
      </c>
      <c r="B32" s="25" t="s">
        <v>73</v>
      </c>
      <c r="C32" s="73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s="27" customFormat="1" ht="24" customHeight="1">
      <c r="A33" s="120">
        <v>25</v>
      </c>
      <c r="B33" s="25" t="s">
        <v>74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119</v>
      </c>
      <c r="C34" s="41">
        <v>276.3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f>4998.7+69.5</f>
        <v>5068.2</v>
      </c>
      <c r="H34" s="18">
        <f>1495.4+72.3</f>
        <v>1567.7</v>
      </c>
      <c r="I34" s="18">
        <f aca="true" t="shared" si="12" ref="I34:I47">H34/G34*100</f>
        <v>30.93208634229115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3500.5</v>
      </c>
      <c r="U34" s="16">
        <f aca="true" t="shared" si="15" ref="U34:U43">C34+G34-H34</f>
        <v>3776.8</v>
      </c>
      <c r="V34" s="116">
        <f>G34-H34</f>
        <v>3500.5</v>
      </c>
    </row>
    <row r="35" spans="1:21" ht="24.75" customHeight="1">
      <c r="A35" s="121"/>
      <c r="B35" s="25" t="s">
        <v>75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104</v>
      </c>
      <c r="C36" s="41">
        <v>980.8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1179.7</v>
      </c>
      <c r="H36" s="18">
        <v>824.1</v>
      </c>
      <c r="I36" s="18">
        <f t="shared" si="12"/>
        <v>69.85674323980673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355.6</v>
      </c>
      <c r="U36" s="16">
        <f t="shared" si="15"/>
        <v>1336.4</v>
      </c>
    </row>
    <row r="37" spans="1:21" s="27" customFormat="1" ht="24" customHeight="1">
      <c r="A37" s="120">
        <v>27</v>
      </c>
      <c r="B37" s="23" t="s">
        <v>76</v>
      </c>
      <c r="C37" s="41">
        <v>33.9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397</v>
      </c>
      <c r="H37" s="18">
        <v>238.4</v>
      </c>
      <c r="I37" s="18">
        <f t="shared" si="12"/>
        <v>60.05037783375315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158.6</v>
      </c>
      <c r="U37" s="16">
        <f t="shared" si="15"/>
        <v>192.49999999999997</v>
      </c>
    </row>
    <row r="38" spans="1:21" s="27" customFormat="1" ht="24" customHeight="1">
      <c r="A38" s="120">
        <v>28</v>
      </c>
      <c r="B38" s="25" t="s">
        <v>77</v>
      </c>
      <c r="C38" s="41">
        <v>-38.4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1006</v>
      </c>
      <c r="H38" s="18">
        <v>621.5</v>
      </c>
      <c r="I38" s="18">
        <f t="shared" si="12"/>
        <v>61.77932405566601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384.5</v>
      </c>
      <c r="U38" s="16">
        <f t="shared" si="15"/>
        <v>346.1</v>
      </c>
    </row>
    <row r="39" spans="1:21" s="27" customFormat="1" ht="24" customHeight="1">
      <c r="A39" s="120">
        <v>29</v>
      </c>
      <c r="B39" s="25" t="s">
        <v>78</v>
      </c>
      <c r="C39" s="41">
        <v>-13.8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1575.3</v>
      </c>
      <c r="H39" s="18">
        <v>913.8</v>
      </c>
      <c r="I39" s="18">
        <f t="shared" si="12"/>
        <v>58.00799847648067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661.5</v>
      </c>
      <c r="U39" s="16">
        <f t="shared" si="15"/>
        <v>647.7</v>
      </c>
    </row>
    <row r="40" spans="1:21" ht="36.75" customHeight="1">
      <c r="A40" s="120">
        <v>30</v>
      </c>
      <c r="B40" s="25" t="s">
        <v>105</v>
      </c>
      <c r="C40" s="41">
        <v>-181.5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2268.6</v>
      </c>
      <c r="H40" s="18">
        <v>1411.2</v>
      </c>
      <c r="I40" s="18">
        <f t="shared" si="12"/>
        <v>62.20576567045756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857.3999999999999</v>
      </c>
      <c r="U40" s="16">
        <f t="shared" si="15"/>
        <v>675.8999999999999</v>
      </c>
    </row>
    <row r="41" spans="1:21" ht="24.75" customHeight="1">
      <c r="A41" s="120">
        <v>31</v>
      </c>
      <c r="B41" s="25" t="s">
        <v>79</v>
      </c>
      <c r="C41" s="41">
        <v>27.2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730.5</v>
      </c>
      <c r="H41" s="18">
        <v>127.5</v>
      </c>
      <c r="I41" s="18">
        <f t="shared" si="12"/>
        <v>17.453798767967147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603</v>
      </c>
      <c r="U41" s="16">
        <f t="shared" si="15"/>
        <v>630.2</v>
      </c>
    </row>
    <row r="42" spans="1:21" s="27" customFormat="1" ht="36.75" customHeight="1">
      <c r="A42" s="120">
        <v>32</v>
      </c>
      <c r="B42" s="23" t="s">
        <v>80</v>
      </c>
      <c r="C42" s="41">
        <v>-299.2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1462.4</v>
      </c>
      <c r="H42" s="18">
        <v>474.8</v>
      </c>
      <c r="I42" s="18">
        <f t="shared" si="12"/>
        <v>32.467177242888404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987.6000000000001</v>
      </c>
      <c r="U42" s="16">
        <f t="shared" si="15"/>
        <v>688.4000000000001</v>
      </c>
    </row>
    <row r="43" spans="1:21" s="27" customFormat="1" ht="25.5" customHeight="1">
      <c r="A43" s="120">
        <v>33</v>
      </c>
      <c r="B43" s="25" t="s">
        <v>81</v>
      </c>
      <c r="C43" s="41">
        <v>149.1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3134.7</v>
      </c>
      <c r="H43" s="18">
        <v>693.3</v>
      </c>
      <c r="I43" s="18">
        <f t="shared" si="12"/>
        <v>22.116948990334002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2441.3999999999996</v>
      </c>
      <c r="U43" s="16">
        <f t="shared" si="15"/>
        <v>2590.5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-20.80000000000001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187076.30000000002</v>
      </c>
      <c r="H44" s="16">
        <f>H45+H46+H47</f>
        <v>118638.40000000001</v>
      </c>
      <c r="I44" s="17">
        <f t="shared" si="12"/>
        <v>63.4171191112931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68477.4</v>
      </c>
      <c r="U44" s="59">
        <f>SUMIF(U45:U47,"&gt;0",U45:U47)</f>
        <v>68929.4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113</v>
      </c>
      <c r="C45" s="41">
        <v>452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182655</v>
      </c>
      <c r="H45" s="18">
        <f>112046+2167</f>
        <v>114213</v>
      </c>
      <c r="I45" s="18">
        <f t="shared" si="12"/>
        <v>62.52935862691961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68442</v>
      </c>
      <c r="U45" s="24">
        <f>C45+G45-H45</f>
        <v>68894</v>
      </c>
    </row>
    <row r="46" spans="1:21" s="28" customFormat="1" ht="24.75" customHeight="1">
      <c r="A46" s="122"/>
      <c r="B46" s="23" t="s">
        <v>84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403.2</v>
      </c>
      <c r="H46" s="18">
        <v>367.8</v>
      </c>
      <c r="I46" s="18">
        <f t="shared" si="12"/>
        <v>91.2202380952381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35.39999999999998</v>
      </c>
      <c r="U46" s="24">
        <f>C46+G46-H46</f>
        <v>35.39999999999998</v>
      </c>
    </row>
    <row r="47" spans="1:23" s="7" customFormat="1" ht="24.75" customHeight="1">
      <c r="A47" s="122"/>
      <c r="B47" s="23" t="s">
        <v>75</v>
      </c>
      <c r="C47" s="41">
        <v>-472.8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4018.1</v>
      </c>
      <c r="H47" s="18">
        <v>4057.6</v>
      </c>
      <c r="I47" s="18">
        <f t="shared" si="12"/>
        <v>100.98305169109778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-39.5</v>
      </c>
      <c r="U47" s="24">
        <f>C47+G47-H47</f>
        <v>-512.3000000000002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85</v>
      </c>
      <c r="C48" s="42">
        <f>C8+C44</f>
        <v>3596.6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213380.2</v>
      </c>
      <c r="H48" s="16">
        <f>H8+H44</f>
        <v>130231.20000000001</v>
      </c>
      <c r="I48" s="17">
        <f>H48/G48*100</f>
        <v>61.032466929921334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83199.9</v>
      </c>
      <c r="U48" s="59">
        <f>U8+U44</f>
        <v>87257.9</v>
      </c>
      <c r="V48" s="108">
        <f>V44+V8</f>
        <v>-290.6</v>
      </c>
      <c r="W48" s="108">
        <f>W44+W8</f>
        <v>0</v>
      </c>
    </row>
    <row r="49" spans="1:21" ht="17.25" customHeight="1">
      <c r="A49" s="249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</row>
    <row r="50" spans="1:21" ht="4.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ht="18.75" customHeight="1" hidden="1">
      <c r="A51" s="120"/>
      <c r="B51" s="7" t="s">
        <v>90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91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41"/>
      <c r="C54" s="241"/>
      <c r="D54" s="241"/>
      <c r="E54" s="241"/>
      <c r="F54" s="241"/>
      <c r="T54" s="88"/>
    </row>
    <row r="55" spans="1:23" s="150" customFormat="1" ht="52.5" customHeight="1">
      <c r="A55" s="142"/>
      <c r="B55" s="235" t="s">
        <v>116</v>
      </c>
      <c r="C55" s="235"/>
      <c r="D55" s="235"/>
      <c r="E55" s="235"/>
      <c r="F55" s="235"/>
      <c r="G55" s="235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1:21" ht="49.5" customHeight="1" hidden="1">
      <c r="A56" s="125"/>
      <c r="B56" s="252" t="s">
        <v>40</v>
      </c>
      <c r="C56" s="252"/>
      <c r="D56" s="252"/>
      <c r="E56" s="252"/>
      <c r="F56" s="25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43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44</v>
      </c>
      <c r="C61" s="43">
        <f>C10+C18+C21+C27+C37+C39+C41</f>
        <v>1648.7000000000003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5184.9</v>
      </c>
    </row>
    <row r="62" spans="2:21" ht="18.75">
      <c r="B62" s="1" t="s">
        <v>45</v>
      </c>
      <c r="C62" s="43">
        <f>C12+C14+C15+C17+C19+C20+C26</f>
        <v>51.3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923.1000000000001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8">
    <mergeCell ref="G1:U1"/>
    <mergeCell ref="B2:U2"/>
    <mergeCell ref="B4:F4"/>
    <mergeCell ref="D5:F5"/>
    <mergeCell ref="J5:L5"/>
    <mergeCell ref="S5:S7"/>
    <mergeCell ref="U5:U7"/>
    <mergeCell ref="M5:O5"/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75" zoomScaleNormal="75" zoomScaleSheetLayoutView="75" zoomScalePageLayoutView="0" workbookViewId="0" topLeftCell="A1">
      <pane xSplit="2" ySplit="7" topLeftCell="C2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8" sqref="I28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43.5" customHeight="1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77"/>
      <c r="C4" s="77"/>
      <c r="D4" s="77"/>
      <c r="E4" s="77"/>
      <c r="F4" s="77"/>
      <c r="U4" s="74" t="s">
        <v>53</v>
      </c>
    </row>
    <row r="5" spans="1:21" ht="35.2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</row>
    <row r="6" spans="1:21" ht="21" customHeight="1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118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7">
        <f>SUM(C9:C43)</f>
        <v>-4004.9000000000005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141679.4</v>
      </c>
      <c r="H8" s="17">
        <f>SUM(H9:H43)</f>
        <v>88553.49999999999</v>
      </c>
      <c r="I8" s="17">
        <f aca="true" t="shared" si="1" ref="I8:I29">H8/G8*100</f>
        <v>62.50273504828506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53197.9</v>
      </c>
      <c r="U8" s="59">
        <f>SUMIF(U9:U43,"&gt;0",U9:U43)</f>
        <v>49193.100000000006</v>
      </c>
      <c r="V8" s="105">
        <f>SUMIF(T9:T43,"&lt;0",T9:T43)</f>
        <v>-71.99999999999989</v>
      </c>
      <c r="W8" s="105">
        <f>SUMIF(U9:U43,"&lt;0",U9:U43)</f>
        <v>-72.09999999999988</v>
      </c>
    </row>
    <row r="9" spans="1:23" ht="39" customHeight="1">
      <c r="A9" s="120">
        <v>1</v>
      </c>
      <c r="B9" s="23" t="s">
        <v>55</v>
      </c>
      <c r="C9" s="41">
        <v>-2007.7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9996.3</v>
      </c>
      <c r="H9" s="18">
        <v>7782.7</v>
      </c>
      <c r="I9" s="18">
        <f t="shared" si="1"/>
        <v>77.85580664845993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2213.5999999999995</v>
      </c>
      <c r="U9" s="16">
        <f aca="true" t="shared" si="5" ref="U9:U23">C9+G9-H9</f>
        <v>205.89999999999964</v>
      </c>
      <c r="W9" s="19">
        <f>G9-H9</f>
        <v>2213.5999999999995</v>
      </c>
    </row>
    <row r="10" spans="1:23" ht="36.75" customHeight="1">
      <c r="A10" s="120">
        <v>2</v>
      </c>
      <c r="B10" s="53" t="s">
        <v>89</v>
      </c>
      <c r="C10" s="41">
        <v>-332.1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3038.3</v>
      </c>
      <c r="H10" s="18">
        <v>1288.9</v>
      </c>
      <c r="I10" s="18">
        <f t="shared" si="1"/>
        <v>42.421749004377446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1749.4</v>
      </c>
      <c r="U10" s="16">
        <f t="shared" si="5"/>
        <v>1417.3000000000002</v>
      </c>
      <c r="W10" s="19">
        <f aca="true" t="shared" si="8" ref="W10:W43">G10-H10</f>
        <v>1749.4</v>
      </c>
    </row>
    <row r="11" spans="1:23" ht="36" customHeight="1">
      <c r="A11" s="120">
        <v>3</v>
      </c>
      <c r="B11" s="25" t="s">
        <v>106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978.4</v>
      </c>
      <c r="H11" s="18">
        <v>1046.6</v>
      </c>
      <c r="I11" s="18">
        <f t="shared" si="1"/>
        <v>106.97056418642681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-68.19999999999993</v>
      </c>
      <c r="U11" s="16">
        <f t="shared" si="5"/>
        <v>-68.19999999999993</v>
      </c>
      <c r="W11" s="19">
        <f t="shared" si="8"/>
        <v>-68.19999999999993</v>
      </c>
    </row>
    <row r="12" spans="1:23" ht="24" customHeight="1">
      <c r="A12" s="120">
        <v>4</v>
      </c>
      <c r="B12" s="23" t="s">
        <v>56</v>
      </c>
      <c r="C12" s="41">
        <v>-5.1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876.8</v>
      </c>
      <c r="H12" s="18">
        <v>668.9</v>
      </c>
      <c r="I12" s="18">
        <f t="shared" si="1"/>
        <v>76.28877737226277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207.89999999999998</v>
      </c>
      <c r="U12" s="16">
        <f t="shared" si="5"/>
        <v>202.79999999999995</v>
      </c>
      <c r="W12" s="19">
        <f t="shared" si="8"/>
        <v>207.89999999999998</v>
      </c>
    </row>
    <row r="13" spans="1:23" s="27" customFormat="1" ht="24" customHeight="1">
      <c r="A13" s="120">
        <v>5</v>
      </c>
      <c r="B13" s="23" t="s">
        <v>87</v>
      </c>
      <c r="C13" s="41">
        <v>489.8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3970.2</v>
      </c>
      <c r="H13" s="18">
        <v>2555</v>
      </c>
      <c r="I13" s="18">
        <f t="shared" si="1"/>
        <v>64.35444058233843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1415.1999999999998</v>
      </c>
      <c r="U13" s="16">
        <f t="shared" si="5"/>
        <v>1905</v>
      </c>
      <c r="W13" s="19">
        <f t="shared" si="8"/>
        <v>1415.1999999999998</v>
      </c>
    </row>
    <row r="14" spans="1:23" s="27" customFormat="1" ht="24" customHeight="1">
      <c r="A14" s="120">
        <v>6</v>
      </c>
      <c r="B14" s="23" t="s">
        <v>57</v>
      </c>
      <c r="C14" s="41">
        <v>20.5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2131.3</v>
      </c>
      <c r="H14" s="18">
        <v>770.6</v>
      </c>
      <c r="I14" s="18">
        <f t="shared" si="1"/>
        <v>36.15633650823441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1360.7000000000003</v>
      </c>
      <c r="U14" s="16">
        <f t="shared" si="5"/>
        <v>1381.2000000000003</v>
      </c>
      <c r="W14" s="19">
        <f t="shared" si="8"/>
        <v>1360.7000000000003</v>
      </c>
    </row>
    <row r="15" spans="1:23" ht="24" customHeight="1">
      <c r="A15" s="120">
        <v>7</v>
      </c>
      <c r="B15" s="23" t="s">
        <v>58</v>
      </c>
      <c r="C15" s="41">
        <v>0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1951.1</v>
      </c>
      <c r="H15" s="18">
        <v>1872.1</v>
      </c>
      <c r="I15" s="18">
        <f t="shared" si="1"/>
        <v>95.95100199887243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79</v>
      </c>
      <c r="U15" s="16">
        <f t="shared" si="5"/>
        <v>79</v>
      </c>
      <c r="W15" s="19">
        <f t="shared" si="8"/>
        <v>79</v>
      </c>
    </row>
    <row r="16" spans="1:23" s="27" customFormat="1" ht="24" customHeight="1">
      <c r="A16" s="120">
        <v>8</v>
      </c>
      <c r="B16" s="23" t="s">
        <v>59</v>
      </c>
      <c r="C16" s="41">
        <v>-640.5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5846.5</v>
      </c>
      <c r="H16" s="18">
        <v>5054.7</v>
      </c>
      <c r="I16" s="18">
        <f t="shared" si="1"/>
        <v>86.45685452835029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791.8000000000002</v>
      </c>
      <c r="U16" s="16">
        <f t="shared" si="5"/>
        <v>151.30000000000018</v>
      </c>
      <c r="W16" s="19">
        <f t="shared" si="8"/>
        <v>791.8000000000002</v>
      </c>
    </row>
    <row r="17" spans="1:23" s="27" customFormat="1" ht="24" customHeight="1">
      <c r="A17" s="120">
        <v>9</v>
      </c>
      <c r="B17" s="23" t="s">
        <v>60</v>
      </c>
      <c r="C17" s="41">
        <f>-126.8+(-51.7)</f>
        <v>-178.5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3853.2</v>
      </c>
      <c r="H17" s="18">
        <v>992.8</v>
      </c>
      <c r="I17" s="18">
        <f t="shared" si="1"/>
        <v>25.765597425516457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2860.3999999999996</v>
      </c>
      <c r="U17" s="16">
        <f t="shared" si="5"/>
        <v>2681.8999999999996</v>
      </c>
      <c r="W17" s="19">
        <f t="shared" si="8"/>
        <v>2860.3999999999996</v>
      </c>
    </row>
    <row r="18" spans="1:23" ht="24" customHeight="1">
      <c r="A18" s="120">
        <v>10</v>
      </c>
      <c r="B18" s="25" t="s">
        <v>61</v>
      </c>
      <c r="C18" s="41">
        <v>-155.7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2393.5</v>
      </c>
      <c r="H18" s="18">
        <v>2182.7</v>
      </c>
      <c r="I18" s="18">
        <f t="shared" si="1"/>
        <v>91.19281387090035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210.80000000000018</v>
      </c>
      <c r="U18" s="16">
        <f t="shared" si="5"/>
        <v>55.100000000000364</v>
      </c>
      <c r="W18" s="19">
        <f t="shared" si="8"/>
        <v>210.80000000000018</v>
      </c>
    </row>
    <row r="19" spans="1:23" ht="24" customHeight="1">
      <c r="A19" s="120">
        <v>11</v>
      </c>
      <c r="B19" s="25" t="s">
        <v>62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712.6</v>
      </c>
      <c r="H19" s="18">
        <v>716.4</v>
      </c>
      <c r="I19" s="18">
        <f t="shared" si="1"/>
        <v>100.53325849003647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-3.7999999999999545</v>
      </c>
      <c r="U19" s="16">
        <f t="shared" si="5"/>
        <v>-3.7999999999999545</v>
      </c>
      <c r="W19" s="19">
        <f t="shared" si="8"/>
        <v>-3.7999999999999545</v>
      </c>
    </row>
    <row r="20" spans="1:23" ht="24" customHeight="1">
      <c r="A20" s="120">
        <v>12</v>
      </c>
      <c r="B20" s="23" t="s">
        <v>88</v>
      </c>
      <c r="C20" s="41">
        <f>-111.2+355.9</f>
        <v>244.7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22.9+2866.2</f>
        <v>2889.1</v>
      </c>
      <c r="H20" s="18">
        <f>1974.4+25</f>
        <v>1999.4</v>
      </c>
      <c r="I20" s="18">
        <f t="shared" si="1"/>
        <v>69.20494271572463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889.6999999999998</v>
      </c>
      <c r="U20" s="16">
        <f t="shared" si="5"/>
        <v>1134.3999999999996</v>
      </c>
      <c r="W20" s="19">
        <f t="shared" si="8"/>
        <v>889.6999999999998</v>
      </c>
    </row>
    <row r="21" spans="1:23" ht="24" customHeight="1">
      <c r="A21" s="120">
        <v>13</v>
      </c>
      <c r="B21" s="25" t="s">
        <v>63</v>
      </c>
      <c r="C21" s="41">
        <v>-0.1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0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0</v>
      </c>
      <c r="U21" s="16">
        <f t="shared" si="5"/>
        <v>-0.1</v>
      </c>
      <c r="W21" s="19">
        <f t="shared" si="8"/>
        <v>0</v>
      </c>
    </row>
    <row r="22" spans="1:23" ht="24" customHeight="1">
      <c r="A22" s="120">
        <v>14</v>
      </c>
      <c r="B22" s="25" t="s">
        <v>64</v>
      </c>
      <c r="C22" s="41">
        <v>182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329.6</v>
      </c>
      <c r="H22" s="18">
        <v>289.1</v>
      </c>
      <c r="I22" s="18">
        <f t="shared" si="1"/>
        <v>87.7123786407767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40.5</v>
      </c>
      <c r="U22" s="16">
        <f t="shared" si="5"/>
        <v>222.5</v>
      </c>
      <c r="W22" s="19">
        <f t="shared" si="8"/>
        <v>40.5</v>
      </c>
    </row>
    <row r="23" spans="1:23" ht="39.75" customHeight="1">
      <c r="A23" s="120">
        <v>15</v>
      </c>
      <c r="B23" s="25" t="s">
        <v>65</v>
      </c>
      <c r="C23" s="41">
        <v>5.4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4152.1</v>
      </c>
      <c r="H23" s="18">
        <v>3823</v>
      </c>
      <c r="I23" s="18">
        <f t="shared" si="1"/>
        <v>92.07389032056066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329.10000000000036</v>
      </c>
      <c r="U23" s="16">
        <f t="shared" si="5"/>
        <v>334.5</v>
      </c>
      <c r="W23" s="19">
        <f t="shared" si="8"/>
        <v>329.10000000000036</v>
      </c>
    </row>
    <row r="24" spans="1:23" ht="24" customHeight="1">
      <c r="A24" s="120">
        <v>16</v>
      </c>
      <c r="B24" s="25" t="s">
        <v>66</v>
      </c>
      <c r="C24" s="70"/>
      <c r="D24" s="186" t="s">
        <v>100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  <c r="W24" s="19" t="e">
        <f t="shared" si="8"/>
        <v>#VALUE!</v>
      </c>
    </row>
    <row r="25" spans="1:23" ht="36" customHeight="1">
      <c r="A25" s="120">
        <v>17</v>
      </c>
      <c r="B25" s="25" t="s">
        <v>67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6646.7</v>
      </c>
      <c r="H25" s="18">
        <v>6361.2</v>
      </c>
      <c r="I25" s="18">
        <f t="shared" si="1"/>
        <v>95.704635382972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285.5</v>
      </c>
      <c r="U25" s="16">
        <f>C25+G25-H25</f>
        <v>285.5</v>
      </c>
      <c r="W25" s="19">
        <f t="shared" si="8"/>
        <v>285.5</v>
      </c>
    </row>
    <row r="26" spans="1:23" ht="24" customHeight="1">
      <c r="A26" s="120">
        <v>18</v>
      </c>
      <c r="B26" s="23" t="s">
        <v>68</v>
      </c>
      <c r="C26" s="41">
        <v>-630.7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1824.8</v>
      </c>
      <c r="H26" s="18">
        <v>1016</v>
      </c>
      <c r="I26" s="18">
        <f t="shared" si="1"/>
        <v>55.67733450241123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808.8</v>
      </c>
      <c r="U26" s="16">
        <f>C26+G26-H26</f>
        <v>178.0999999999999</v>
      </c>
      <c r="W26" s="19">
        <f t="shared" si="8"/>
        <v>808.8</v>
      </c>
    </row>
    <row r="27" spans="1:23" s="27" customFormat="1" ht="24" customHeight="1">
      <c r="A27" s="120">
        <v>19</v>
      </c>
      <c r="B27" s="25" t="s">
        <v>69</v>
      </c>
      <c r="C27" s="41">
        <v>-149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2894.5</v>
      </c>
      <c r="H27" s="18">
        <v>2067.8</v>
      </c>
      <c r="I27" s="18">
        <f t="shared" si="1"/>
        <v>71.43893591293833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826.6999999999998</v>
      </c>
      <c r="U27" s="16">
        <f>C27+G27-H27</f>
        <v>677.6999999999998</v>
      </c>
      <c r="W27" s="19">
        <f t="shared" si="8"/>
        <v>826.6999999999998</v>
      </c>
    </row>
    <row r="28" spans="1:23" ht="39" customHeight="1">
      <c r="A28" s="120">
        <v>20</v>
      </c>
      <c r="B28" s="25" t="s">
        <v>103</v>
      </c>
      <c r="C28" s="41">
        <v>-25.3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4007.3</v>
      </c>
      <c r="H28" s="18">
        <v>1226.2</v>
      </c>
      <c r="I28" s="18">
        <f t="shared" si="1"/>
        <v>30.599156539315747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2781.1000000000004</v>
      </c>
      <c r="U28" s="16">
        <f>C28+G28-H28</f>
        <v>2755.8</v>
      </c>
      <c r="W28" s="19">
        <f t="shared" si="8"/>
        <v>2781.1000000000004</v>
      </c>
    </row>
    <row r="29" spans="1:23" ht="39" customHeight="1">
      <c r="A29" s="120">
        <v>21</v>
      </c>
      <c r="B29" s="23" t="s">
        <v>70</v>
      </c>
      <c r="C29" s="41">
        <v>0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1145.8+3832.7+291.8</f>
        <v>5270.3</v>
      </c>
      <c r="H29" s="18">
        <f>843.2+3769.6+212.5</f>
        <v>4825.3</v>
      </c>
      <c r="I29" s="18">
        <f t="shared" si="1"/>
        <v>91.55645788664782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445</v>
      </c>
      <c r="U29" s="16">
        <f>C29+G29-H29</f>
        <v>445</v>
      </c>
      <c r="W29" s="19">
        <f t="shared" si="8"/>
        <v>445</v>
      </c>
    </row>
    <row r="30" spans="1:23" ht="24" customHeight="1">
      <c r="A30" s="120">
        <v>22</v>
      </c>
      <c r="B30" s="23" t="s">
        <v>71</v>
      </c>
      <c r="C30" s="71"/>
      <c r="D30" s="188" t="s">
        <v>100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W30" s="19">
        <f t="shared" si="8"/>
        <v>0</v>
      </c>
    </row>
    <row r="31" spans="1:23" ht="24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W31" s="19" t="e">
        <f t="shared" si="8"/>
        <v>#VALUE!</v>
      </c>
    </row>
    <row r="32" spans="1:23" ht="24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W32" s="19">
        <f t="shared" si="8"/>
        <v>0</v>
      </c>
    </row>
    <row r="33" spans="1:23" ht="24" customHeight="1">
      <c r="A33" s="120">
        <v>25</v>
      </c>
      <c r="B33" s="25" t="s">
        <v>95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119</v>
      </c>
      <c r="C34" s="41">
        <f>383.4+(-35.8)</f>
        <v>347.59999999999997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f>3870.5+16323.7</f>
        <v>20194.2</v>
      </c>
      <c r="H34" s="18">
        <f>3715.9+12565.6</f>
        <v>16281.5</v>
      </c>
      <c r="I34" s="18">
        <f aca="true" t="shared" si="13" ref="I34:I49">H34/G34*100</f>
        <v>80.62463479612958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3912.7000000000007</v>
      </c>
      <c r="U34" s="16">
        <f aca="true" t="shared" si="17" ref="U34:U43">C34+G34-H34</f>
        <v>4260.299999999999</v>
      </c>
      <c r="W34" s="19">
        <f t="shared" si="8"/>
        <v>3912.7000000000007</v>
      </c>
    </row>
    <row r="35" spans="1:23" ht="24.75" customHeight="1">
      <c r="A35" s="121"/>
      <c r="B35" s="25" t="s">
        <v>75</v>
      </c>
      <c r="C35" s="41">
        <v>65.4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482</v>
      </c>
      <c r="H35" s="18">
        <v>287.5</v>
      </c>
      <c r="I35" s="18">
        <f t="shared" si="13"/>
        <v>59.64730290456431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194.5</v>
      </c>
      <c r="U35" s="16">
        <f t="shared" si="17"/>
        <v>259.9</v>
      </c>
      <c r="W35" s="19">
        <f t="shared" si="8"/>
        <v>194.5</v>
      </c>
    </row>
    <row r="36" spans="1:23" ht="37.5" customHeight="1">
      <c r="A36" s="120">
        <v>26</v>
      </c>
      <c r="B36" s="25" t="s">
        <v>104</v>
      </c>
      <c r="C36" s="41">
        <v>7.9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2536.4</v>
      </c>
      <c r="H36" s="18">
        <v>1446.5</v>
      </c>
      <c r="I36" s="18">
        <f t="shared" si="13"/>
        <v>57.029648320454186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1089.9</v>
      </c>
      <c r="U36" s="16">
        <f t="shared" si="17"/>
        <v>1097.8000000000002</v>
      </c>
      <c r="W36" s="19">
        <f t="shared" si="8"/>
        <v>1089.9</v>
      </c>
    </row>
    <row r="37" spans="1:23" ht="24" customHeight="1">
      <c r="A37" s="120">
        <v>27</v>
      </c>
      <c r="B37" s="23" t="s">
        <v>76</v>
      </c>
      <c r="C37" s="41">
        <v>-78.5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3301.9</v>
      </c>
      <c r="H37" s="18">
        <v>1448.3</v>
      </c>
      <c r="I37" s="18">
        <f t="shared" si="13"/>
        <v>43.8626245495018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1853.6000000000001</v>
      </c>
      <c r="U37" s="16">
        <f t="shared" si="17"/>
        <v>1775.1000000000001</v>
      </c>
      <c r="W37" s="19">
        <f t="shared" si="8"/>
        <v>1853.6000000000001</v>
      </c>
    </row>
    <row r="38" spans="1:23" ht="24" customHeight="1">
      <c r="A38" s="120">
        <v>28</v>
      </c>
      <c r="B38" s="25" t="s">
        <v>77</v>
      </c>
      <c r="C38" s="41">
        <v>-1152.5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9702.1</v>
      </c>
      <c r="H38" s="18">
        <v>5001.7</v>
      </c>
      <c r="I38" s="18">
        <f t="shared" si="13"/>
        <v>51.55275661970089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4700.400000000001</v>
      </c>
      <c r="U38" s="16">
        <f t="shared" si="17"/>
        <v>3547.9000000000005</v>
      </c>
      <c r="V38" s="19"/>
      <c r="W38" s="19">
        <f t="shared" si="8"/>
        <v>4700.400000000001</v>
      </c>
    </row>
    <row r="39" spans="1:23" ht="24" customHeight="1">
      <c r="A39" s="120">
        <v>29</v>
      </c>
      <c r="B39" s="25" t="s">
        <v>78</v>
      </c>
      <c r="C39" s="41">
        <v>92.7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12239.6</v>
      </c>
      <c r="H39" s="18">
        <v>5592</v>
      </c>
      <c r="I39" s="18">
        <f t="shared" si="13"/>
        <v>45.687767574103724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6647.6</v>
      </c>
      <c r="U39" s="16">
        <f t="shared" si="17"/>
        <v>6740.300000000001</v>
      </c>
      <c r="W39" s="19">
        <f t="shared" si="8"/>
        <v>6647.6</v>
      </c>
    </row>
    <row r="40" spans="1:23" s="27" customFormat="1" ht="26.25" customHeight="1">
      <c r="A40" s="120">
        <v>30</v>
      </c>
      <c r="B40" s="25" t="s">
        <v>105</v>
      </c>
      <c r="C40" s="41">
        <f>-402.8+(-44.9)</f>
        <v>-447.7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14592.8+447.8</f>
        <v>15040.599999999999</v>
      </c>
      <c r="H40" s="18">
        <f>3613.3+373.7</f>
        <v>3987</v>
      </c>
      <c r="I40" s="18">
        <f t="shared" si="13"/>
        <v>26.508251000624977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11053.599999999999</v>
      </c>
      <c r="U40" s="16">
        <f t="shared" si="17"/>
        <v>10605.899999999998</v>
      </c>
      <c r="W40" s="19">
        <f t="shared" si="8"/>
        <v>11053.599999999999</v>
      </c>
    </row>
    <row r="41" spans="1:23" ht="24.75" customHeight="1">
      <c r="A41" s="120">
        <v>31</v>
      </c>
      <c r="B41" s="25" t="s">
        <v>79</v>
      </c>
      <c r="C41" s="41">
        <v>9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572.8</v>
      </c>
      <c r="H41" s="18">
        <v>533.4</v>
      </c>
      <c r="I41" s="18">
        <f t="shared" si="13"/>
        <v>93.12150837988827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39.39999999999998</v>
      </c>
      <c r="U41" s="16">
        <f t="shared" si="17"/>
        <v>48.39999999999998</v>
      </c>
      <c r="W41" s="19">
        <f t="shared" si="8"/>
        <v>39.39999999999998</v>
      </c>
    </row>
    <row r="42" spans="1:23" s="27" customFormat="1" ht="36.75" customHeight="1">
      <c r="A42" s="120">
        <v>32</v>
      </c>
      <c r="B42" s="23" t="s">
        <v>80</v>
      </c>
      <c r="C42" s="41">
        <f>-15.7+(-30)</f>
        <v>-45.7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6020+263.1</f>
        <v>6283.1</v>
      </c>
      <c r="H42" s="18">
        <f>3518.2+203.5</f>
        <v>3721.7</v>
      </c>
      <c r="I42" s="18">
        <f t="shared" si="13"/>
        <v>59.233499387245146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2561.4000000000005</v>
      </c>
      <c r="U42" s="16">
        <f t="shared" si="17"/>
        <v>2515.7000000000007</v>
      </c>
      <c r="W42" s="19">
        <f t="shared" si="8"/>
        <v>2561.4000000000005</v>
      </c>
    </row>
    <row r="43" spans="1:23" s="27" customFormat="1" ht="23.25" customHeight="1">
      <c r="A43" s="120">
        <v>33</v>
      </c>
      <c r="B43" s="25" t="s">
        <v>81</v>
      </c>
      <c r="C43" s="41">
        <f>94.9+284.3</f>
        <v>379.20000000000005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5074.8+2489.3</f>
        <v>7564.1</v>
      </c>
      <c r="H43" s="18">
        <f>1699.3+2015.2</f>
        <v>3714.5</v>
      </c>
      <c r="I43" s="18">
        <f t="shared" si="13"/>
        <v>49.10696579897145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3849.6000000000004</v>
      </c>
      <c r="U43" s="16">
        <f t="shared" si="17"/>
        <v>4228.8</v>
      </c>
      <c r="W43" s="19">
        <f t="shared" si="8"/>
        <v>3849.6000000000004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232716.4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215982.59999999998</v>
      </c>
      <c r="H44" s="16">
        <f>H45+H46+H47</f>
        <v>134363</v>
      </c>
      <c r="I44" s="17">
        <f t="shared" si="13"/>
        <v>62.210103962078435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81619.59999999999</v>
      </c>
      <c r="U44" s="59">
        <f>SUMIF(U45:U47,"&gt;0",U45:U47)</f>
        <v>314336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83</v>
      </c>
      <c r="C45" s="41">
        <f>3728+228989</f>
        <v>232717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51072+157354</f>
        <v>208426</v>
      </c>
      <c r="H45" s="18">
        <f>33700+94133+352+517</f>
        <v>128702</v>
      </c>
      <c r="I45" s="18">
        <f t="shared" si="13"/>
        <v>61.74949382514657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79724</v>
      </c>
      <c r="U45" s="24">
        <f>C45+G45-H45</f>
        <v>312441</v>
      </c>
      <c r="W45" s="19"/>
    </row>
    <row r="46" spans="1:23" s="28" customFormat="1" ht="24.75" customHeight="1">
      <c r="A46" s="122"/>
      <c r="B46" s="23" t="s">
        <v>84</v>
      </c>
      <c r="C46" s="41">
        <v>-0.6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1903.8</v>
      </c>
      <c r="H46" s="18">
        <v>1596.6</v>
      </c>
      <c r="I46" s="18">
        <f t="shared" si="13"/>
        <v>83.86385124487866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307.20000000000005</v>
      </c>
      <c r="U46" s="24">
        <f>C46+G46-H46</f>
        <v>306.60000000000014</v>
      </c>
      <c r="W46" s="19"/>
    </row>
    <row r="47" spans="1:23" s="7" customFormat="1" ht="24.75" customHeight="1">
      <c r="A47" s="122"/>
      <c r="B47" s="23" t="s">
        <v>75</v>
      </c>
      <c r="C47" s="41">
        <v>0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5652.8</v>
      </c>
      <c r="H47" s="18">
        <v>4064.4</v>
      </c>
      <c r="I47" s="18">
        <f t="shared" si="13"/>
        <v>71.90065100481178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1588.4</v>
      </c>
      <c r="U47" s="24">
        <f>C47+G47-H47</f>
        <v>1588.4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85</v>
      </c>
      <c r="C48" s="42">
        <f>C8+C44</f>
        <v>228711.5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357662</v>
      </c>
      <c r="H48" s="16">
        <f>H44+H8</f>
        <v>222916.5</v>
      </c>
      <c r="I48" s="17">
        <f t="shared" si="13"/>
        <v>62.326022893122556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134817.5</v>
      </c>
      <c r="U48" s="59">
        <f>U44+U8</f>
        <v>363529.1</v>
      </c>
      <c r="V48" s="108">
        <f>V44+V8</f>
        <v>-80.99999999999989</v>
      </c>
      <c r="W48" s="108">
        <f>W44+W8</f>
        <v>-81.09999999999988</v>
      </c>
    </row>
    <row r="49" spans="2:21" ht="84.75" customHeight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146398.1</v>
      </c>
      <c r="U49" s="12"/>
    </row>
    <row r="50" spans="2:21" ht="33.75" customHeight="1">
      <c r="B50" s="253"/>
      <c r="C50" s="253"/>
      <c r="D50" s="253"/>
      <c r="E50" s="253"/>
      <c r="F50" s="253"/>
      <c r="G50" s="253"/>
      <c r="H50" s="253"/>
      <c r="I50" s="253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90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91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321947.5</v>
      </c>
    </row>
    <row r="55" spans="1:23" s="150" customFormat="1" ht="48.75" customHeight="1">
      <c r="A55" s="142"/>
      <c r="B55" s="235" t="s">
        <v>116</v>
      </c>
      <c r="C55" s="235"/>
      <c r="D55" s="235"/>
      <c r="E55" s="235"/>
      <c r="F55" s="235"/>
      <c r="G55" s="235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115</v>
      </c>
      <c r="V55" s="148"/>
      <c r="W55" s="149"/>
    </row>
    <row r="56" spans="2:21" ht="46.5" customHeight="1" hidden="1">
      <c r="B56" s="254" t="s">
        <v>40</v>
      </c>
      <c r="C56" s="254"/>
      <c r="D56" s="254"/>
      <c r="E56" s="254"/>
      <c r="F56" s="25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>
      <c r="A57" s="211" t="s">
        <v>114</v>
      </c>
      <c r="B57" s="211"/>
      <c r="C57" s="211"/>
      <c r="D57" s="21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42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43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-613.7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10713.800000000001</v>
      </c>
    </row>
    <row r="63" spans="2:21" ht="18.75">
      <c r="B63" s="1" t="s">
        <v>45</v>
      </c>
      <c r="C63" s="43">
        <f>C12+C14+C15+C17+C19+C20+C26</f>
        <v>-549.1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5653.5999999999985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6"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  <mergeCell ref="B50:I50"/>
    <mergeCell ref="B56:F56"/>
    <mergeCell ref="G5:I5"/>
    <mergeCell ref="T5:T7"/>
    <mergeCell ref="C5:C6"/>
    <mergeCell ref="B55:G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3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2:21" ht="18.75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37.5" customHeight="1">
      <c r="B3" s="204" t="s">
        <v>121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.75">
      <c r="B4" s="205"/>
      <c r="C4" s="205"/>
      <c r="D4" s="205"/>
      <c r="E4" s="205"/>
      <c r="F4" s="205"/>
      <c r="U4" s="74" t="s">
        <v>53</v>
      </c>
    </row>
    <row r="5" spans="1:21" ht="34.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117</v>
      </c>
      <c r="U5" s="221" t="s">
        <v>123</v>
      </c>
    </row>
    <row r="6" spans="1:21" ht="21" customHeight="1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19"/>
      <c r="B8" s="75" t="s">
        <v>54</v>
      </c>
      <c r="C8" s="47">
        <f>SUM(C9:C43)</f>
        <v>-2819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17754.899999999998</v>
      </c>
      <c r="H8" s="17">
        <f>SUM(H9:H43)</f>
        <v>12217.199999999999</v>
      </c>
      <c r="I8" s="17">
        <f aca="true" t="shared" si="1" ref="I8:I46">H8/G8*100</f>
        <v>68.81030025514083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6756.400000000001</v>
      </c>
      <c r="U8" s="60">
        <f>SUMIF(U9:U43,"&gt;0",U9:U43)</f>
        <v>3969.1</v>
      </c>
      <c r="V8" s="105">
        <f>SUMIF(T9:T43,"&lt;0",T9:T43)</f>
        <v>-1218.7000000000003</v>
      </c>
      <c r="W8" s="105">
        <f>SUMIF(U9:U43,"&lt;0",U9:U43)</f>
        <v>-1250.4000000000005</v>
      </c>
    </row>
    <row r="9" spans="1:23" ht="37.5" customHeight="1">
      <c r="A9" s="120">
        <v>1</v>
      </c>
      <c r="B9" s="23" t="s">
        <v>55</v>
      </c>
      <c r="C9" s="41">
        <v>-150.7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879.3</v>
      </c>
      <c r="H9" s="18">
        <v>658.5</v>
      </c>
      <c r="I9" s="18">
        <f t="shared" si="1"/>
        <v>74.88911634254521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220.79999999999995</v>
      </c>
      <c r="U9" s="16">
        <f aca="true" t="shared" si="3" ref="U9:U23">C9+G9-H9</f>
        <v>70.09999999999991</v>
      </c>
      <c r="W9" s="19">
        <f>G9-H9</f>
        <v>220.79999999999995</v>
      </c>
    </row>
    <row r="10" spans="1:23" ht="36.75" customHeight="1">
      <c r="A10" s="120">
        <v>2</v>
      </c>
      <c r="B10" s="53" t="s">
        <v>89</v>
      </c>
      <c r="C10" s="41">
        <v>-126.5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408.7</v>
      </c>
      <c r="H10" s="18">
        <v>0</v>
      </c>
      <c r="I10" s="18">
        <f t="shared" si="1"/>
        <v>0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408.7</v>
      </c>
      <c r="U10" s="16">
        <f t="shared" si="3"/>
        <v>282.2</v>
      </c>
      <c r="W10" s="19">
        <f aca="true" t="shared" si="6" ref="W10:W46">G10-H10</f>
        <v>408.7</v>
      </c>
    </row>
    <row r="11" spans="1:23" ht="36" customHeight="1">
      <c r="A11" s="120">
        <v>3</v>
      </c>
      <c r="B11" s="25" t="s">
        <v>106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56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87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57</v>
      </c>
      <c r="C14" s="41">
        <v>-4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111</v>
      </c>
      <c r="H14" s="18">
        <v>90.5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20.5</v>
      </c>
      <c r="U14" s="16">
        <f t="shared" si="3"/>
        <v>16.5</v>
      </c>
      <c r="W14" s="19">
        <f t="shared" si="6"/>
        <v>20.5</v>
      </c>
    </row>
    <row r="15" spans="1:23" ht="24" customHeight="1">
      <c r="A15" s="120">
        <v>7</v>
      </c>
      <c r="B15" s="23" t="s">
        <v>58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59</v>
      </c>
      <c r="C16" s="41">
        <v>-255.9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1241.2</v>
      </c>
      <c r="H16" s="18">
        <v>490.1</v>
      </c>
      <c r="I16" s="18">
        <f t="shared" si="1"/>
        <v>39.48598130841122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751.1</v>
      </c>
      <c r="U16" s="16">
        <f t="shared" si="3"/>
        <v>495.20000000000005</v>
      </c>
      <c r="W16" s="19">
        <f t="shared" si="6"/>
        <v>751.1</v>
      </c>
    </row>
    <row r="17" spans="1:23" s="27" customFormat="1" ht="24" customHeight="1">
      <c r="A17" s="120">
        <v>9</v>
      </c>
      <c r="B17" s="23" t="s">
        <v>60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61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62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88</v>
      </c>
      <c r="C20" s="41">
        <f>-0.3+0.1</f>
        <v>-0.19999999999999998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107.1+741.4</f>
        <v>848.5</v>
      </c>
      <c r="H20" s="18">
        <f>1827.6+107.7</f>
        <v>1935.3</v>
      </c>
      <c r="I20" s="18">
        <f t="shared" si="1"/>
        <v>228.08485562757807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-1086.8</v>
      </c>
      <c r="U20" s="16">
        <f t="shared" si="3"/>
        <v>-1087</v>
      </c>
      <c r="W20" s="19">
        <f t="shared" si="6"/>
        <v>-1086.8</v>
      </c>
    </row>
    <row r="21" spans="1:23" ht="24" customHeight="1">
      <c r="A21" s="120">
        <v>13</v>
      </c>
      <c r="B21" s="25" t="s">
        <v>63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-10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10</v>
      </c>
      <c r="U21" s="16">
        <f t="shared" si="3"/>
        <v>-1.6999999999999993</v>
      </c>
      <c r="W21" s="19">
        <f t="shared" si="6"/>
        <v>10</v>
      </c>
    </row>
    <row r="22" spans="1:23" ht="24" customHeight="1">
      <c r="A22" s="120">
        <v>14</v>
      </c>
      <c r="B22" s="25" t="s">
        <v>64</v>
      </c>
      <c r="C22" s="41">
        <v>-513.7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1152.8</v>
      </c>
      <c r="H22" s="18">
        <v>660</v>
      </c>
      <c r="I22" s="18">
        <f t="shared" si="1"/>
        <v>57.25190839694657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492.79999999999995</v>
      </c>
      <c r="U22" s="16">
        <f t="shared" si="3"/>
        <v>-20.90000000000009</v>
      </c>
      <c r="V22" s="19">
        <f>U22+U38</f>
        <v>687.4999999999998</v>
      </c>
      <c r="W22" s="19">
        <f t="shared" si="6"/>
        <v>492.79999999999995</v>
      </c>
    </row>
    <row r="23" spans="1:23" ht="39.75" customHeight="1">
      <c r="A23" s="120">
        <v>15</v>
      </c>
      <c r="B23" s="25" t="s">
        <v>65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66</v>
      </c>
      <c r="C24" s="41"/>
      <c r="D24" s="233" t="s">
        <v>86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W24" s="19">
        <f t="shared" si="6"/>
        <v>0</v>
      </c>
    </row>
    <row r="25" spans="1:23" ht="36" customHeight="1">
      <c r="A25" s="120">
        <v>17</v>
      </c>
      <c r="B25" s="25" t="s">
        <v>67</v>
      </c>
      <c r="C25" s="41">
        <v>-161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1261.9</v>
      </c>
      <c r="H25" s="18">
        <v>1009.5</v>
      </c>
      <c r="I25" s="18">
        <f t="shared" si="1"/>
        <v>79.99841508835883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252.4000000000001</v>
      </c>
      <c r="U25" s="16">
        <f>C25+G25-H25</f>
        <v>91.40000000000009</v>
      </c>
      <c r="W25" s="19">
        <f t="shared" si="6"/>
        <v>252.4000000000001</v>
      </c>
    </row>
    <row r="26" spans="1:23" ht="24" customHeight="1">
      <c r="A26" s="120">
        <v>18</v>
      </c>
      <c r="B26" s="23" t="s">
        <v>68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497.3</v>
      </c>
      <c r="H26" s="18">
        <v>497.3</v>
      </c>
      <c r="I26" s="18">
        <f t="shared" si="1"/>
        <v>100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0</v>
      </c>
      <c r="U26" s="16">
        <f>C26+G26-H26</f>
        <v>0</v>
      </c>
      <c r="W26" s="19">
        <f t="shared" si="6"/>
        <v>0</v>
      </c>
    </row>
    <row r="27" spans="1:23" s="27" customFormat="1" ht="24" customHeight="1">
      <c r="A27" s="120">
        <v>19</v>
      </c>
      <c r="B27" s="25" t="s">
        <v>69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103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70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71</v>
      </c>
      <c r="C30" s="71"/>
      <c r="D30" s="227" t="s">
        <v>86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W30" s="19">
        <f t="shared" si="6"/>
        <v>0</v>
      </c>
    </row>
    <row r="31" spans="1:23" ht="24" customHeight="1">
      <c r="A31" s="120">
        <v>23</v>
      </c>
      <c r="B31" s="25" t="s">
        <v>72</v>
      </c>
      <c r="C31" s="83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  <c r="W31" s="19">
        <f t="shared" si="6"/>
        <v>0</v>
      </c>
    </row>
    <row r="32" spans="1:23" ht="24" customHeight="1">
      <c r="A32" s="120">
        <v>24</v>
      </c>
      <c r="B32" s="25" t="s">
        <v>73</v>
      </c>
      <c r="C32" s="84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W32" s="19">
        <f t="shared" si="6"/>
        <v>0</v>
      </c>
    </row>
    <row r="33" spans="1:23" ht="24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119</v>
      </c>
      <c r="C34" s="41">
        <v>-480.6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1340.2</v>
      </c>
      <c r="H34" s="18">
        <f>-480.6+1349</f>
        <v>868.4</v>
      </c>
      <c r="I34" s="18">
        <v>0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471.80000000000007</v>
      </c>
      <c r="U34" s="16">
        <f aca="true" t="shared" si="14" ref="U34:U43">C34+G34-H34</f>
        <v>-8.799999999999955</v>
      </c>
      <c r="W34" s="19">
        <f t="shared" si="6"/>
        <v>471.80000000000007</v>
      </c>
    </row>
    <row r="35" spans="1:23" ht="24.75" customHeight="1">
      <c r="A35" s="121"/>
      <c r="B35" s="25" t="s">
        <v>75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2329.7</v>
      </c>
      <c r="H35" s="18">
        <v>2434.4</v>
      </c>
      <c r="I35" s="18">
        <f t="shared" si="1"/>
        <v>104.49414087650773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-104.70000000000027</v>
      </c>
      <c r="U35" s="16">
        <f t="shared" si="14"/>
        <v>-104.70000000000027</v>
      </c>
      <c r="W35" s="19">
        <f t="shared" si="6"/>
        <v>-104.70000000000027</v>
      </c>
    </row>
    <row r="36" spans="1:23" ht="37.5" customHeight="1">
      <c r="A36" s="120">
        <v>26</v>
      </c>
      <c r="B36" s="25" t="s">
        <v>104</v>
      </c>
      <c r="C36" s="41">
        <v>-0.1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591.3</v>
      </c>
      <c r="H36" s="18">
        <v>618.5</v>
      </c>
      <c r="I36" s="18">
        <f t="shared" si="1"/>
        <v>104.60003382377812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-27.200000000000045</v>
      </c>
      <c r="U36" s="16">
        <f t="shared" si="14"/>
        <v>-27.300000000000068</v>
      </c>
      <c r="W36" s="19">
        <f t="shared" si="6"/>
        <v>-27.200000000000045</v>
      </c>
    </row>
    <row r="37" spans="1:23" ht="24" customHeight="1">
      <c r="A37" s="120">
        <v>27</v>
      </c>
      <c r="B37" s="23" t="s">
        <v>76</v>
      </c>
      <c r="C37" s="41">
        <v>-369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1086.2</v>
      </c>
      <c r="H37" s="18">
        <v>697.2</v>
      </c>
      <c r="I37" s="18">
        <f t="shared" si="1"/>
        <v>64.18707420364575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389</v>
      </c>
      <c r="U37" s="16">
        <f t="shared" si="14"/>
        <v>20</v>
      </c>
      <c r="W37" s="19">
        <f t="shared" si="6"/>
        <v>389</v>
      </c>
    </row>
    <row r="38" spans="1:23" ht="24" customHeight="1">
      <c r="A38" s="120">
        <v>28</v>
      </c>
      <c r="B38" s="25" t="s">
        <v>77</v>
      </c>
      <c r="C38" s="41">
        <f>-630.2-(-513.7)</f>
        <v>-116.5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2564.7-1152.8</f>
        <v>1411.8999999999999</v>
      </c>
      <c r="H38" s="18">
        <f>1247-660</f>
        <v>587</v>
      </c>
      <c r="I38" s="18">
        <f t="shared" si="1"/>
        <v>41.575182378355414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824.8999999999999</v>
      </c>
      <c r="U38" s="16">
        <f t="shared" si="14"/>
        <v>708.3999999999999</v>
      </c>
      <c r="W38" s="19">
        <f t="shared" si="6"/>
        <v>824.8999999999999</v>
      </c>
    </row>
    <row r="39" spans="1:23" ht="24" customHeight="1">
      <c r="A39" s="120">
        <v>29</v>
      </c>
      <c r="B39" s="25" t="s">
        <v>78</v>
      </c>
      <c r="C39" s="41">
        <v>-56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1072.8</v>
      </c>
      <c r="H39" s="18">
        <v>939.8</v>
      </c>
      <c r="I39" s="18">
        <f t="shared" si="1"/>
        <v>87.60253542132736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133</v>
      </c>
      <c r="U39" s="16">
        <f t="shared" si="14"/>
        <v>77</v>
      </c>
      <c r="W39" s="19">
        <f t="shared" si="6"/>
        <v>133</v>
      </c>
    </row>
    <row r="40" spans="1:23" s="27" customFormat="1" ht="37.5" customHeight="1">
      <c r="A40" s="120">
        <v>30</v>
      </c>
      <c r="B40" s="25" t="s">
        <v>105</v>
      </c>
      <c r="C40" s="41">
        <v>-285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2144.9</v>
      </c>
      <c r="H40" s="18">
        <v>503.8</v>
      </c>
      <c r="I40" s="18">
        <f t="shared" si="1"/>
        <v>23.48827451163224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1641.1000000000001</v>
      </c>
      <c r="U40" s="16">
        <f t="shared" si="14"/>
        <v>1356.1000000000001</v>
      </c>
      <c r="W40" s="19">
        <f t="shared" si="6"/>
        <v>1641.1000000000001</v>
      </c>
    </row>
    <row r="41" spans="1:23" ht="24.75" customHeight="1">
      <c r="A41" s="120">
        <v>31</v>
      </c>
      <c r="B41" s="25" t="s">
        <v>79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80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81</v>
      </c>
      <c r="C43" s="41">
        <v>-288.1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1377.2</v>
      </c>
      <c r="H43" s="18">
        <v>236.9</v>
      </c>
      <c r="I43" s="18">
        <f t="shared" si="1"/>
        <v>17.201568399651467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1140.3</v>
      </c>
      <c r="U43" s="16">
        <f t="shared" si="14"/>
        <v>852.1999999999999</v>
      </c>
      <c r="W43" s="19">
        <f t="shared" si="6"/>
        <v>1140.3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-3655.3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51513.1</v>
      </c>
      <c r="H44" s="16">
        <f>H45+H46+H47</f>
        <v>40246.3</v>
      </c>
      <c r="I44" s="17">
        <f t="shared" si="1"/>
        <v>78.12828193216872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11266.8</v>
      </c>
      <c r="U44" s="59">
        <f>SUMIF(U45:U47,"&gt;0",U45:U47)</f>
        <v>7611.5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83</v>
      </c>
      <c r="C45" s="41">
        <v>-3638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47544</v>
      </c>
      <c r="H45" s="18">
        <f>36329+905</f>
        <v>37234</v>
      </c>
      <c r="I45" s="18">
        <f t="shared" si="1"/>
        <v>78.3148241628807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10310</v>
      </c>
      <c r="U45" s="24">
        <f>C45+G45-H45</f>
        <v>6672</v>
      </c>
      <c r="W45" s="19">
        <f t="shared" si="6"/>
        <v>10310</v>
      </c>
    </row>
    <row r="46" spans="1:23" s="28" customFormat="1" ht="24.75" customHeight="1">
      <c r="A46" s="122"/>
      <c r="B46" s="23" t="s">
        <v>84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75</v>
      </c>
      <c r="C47" s="41">
        <v>-17.3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3969.1</v>
      </c>
      <c r="H47" s="18">
        <v>3012.3</v>
      </c>
      <c r="I47" s="18">
        <f>H47/G47*100</f>
        <v>75.89377944622207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956.7999999999997</v>
      </c>
      <c r="U47" s="24">
        <f>C47+G47-H47</f>
        <v>939.4999999999995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85</v>
      </c>
      <c r="C48" s="42">
        <f>C8+C44</f>
        <v>-6474.3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69268</v>
      </c>
      <c r="H48" s="16">
        <f>H8+H44</f>
        <v>52463.5</v>
      </c>
      <c r="I48" s="17">
        <f>H48/G48*100</f>
        <v>75.73987988681642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18023.2</v>
      </c>
      <c r="U48" s="59">
        <f>U44+U8</f>
        <v>11580.6</v>
      </c>
      <c r="V48" s="108">
        <f>V44+V8</f>
        <v>-1378.6000000000004</v>
      </c>
      <c r="W48" s="108">
        <f>W44+W8</f>
        <v>-1250.4000000000005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-1331.5000000000005</v>
      </c>
    </row>
    <row r="50" spans="1:23" s="7" customFormat="1" ht="18.75" customHeight="1" hidden="1">
      <c r="A50" s="122"/>
      <c r="B50" s="7" t="s">
        <v>90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16804.5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91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16907.643789338214</v>
      </c>
      <c r="F53" s="58"/>
      <c r="G53" s="62">
        <f>G44-H44</f>
        <v>11266.799999999996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35" t="s">
        <v>116</v>
      </c>
      <c r="C54" s="235"/>
      <c r="D54" s="235"/>
      <c r="E54" s="235"/>
      <c r="F54" s="235"/>
      <c r="G54" s="235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2" customHeight="1" hidden="1">
      <c r="B55" s="254" t="s">
        <v>41</v>
      </c>
      <c r="C55" s="254"/>
      <c r="D55" s="254"/>
      <c r="E55" s="254"/>
      <c r="F55" s="2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11" t="s">
        <v>114</v>
      </c>
      <c r="B56" s="211"/>
      <c r="C56" s="211"/>
      <c r="D56" s="21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42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43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-563.2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377.5</v>
      </c>
    </row>
    <row r="63" spans="2:21" ht="18.75">
      <c r="B63" s="1" t="s">
        <v>45</v>
      </c>
      <c r="C63" s="43">
        <f>C12+C14+C15+C17+C19+C20+C26</f>
        <v>-4.2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-1070.5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  <mergeCell ref="B54:G54"/>
    <mergeCell ref="P5:R5"/>
    <mergeCell ref="G1:U1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75390625" style="14" customWidth="1"/>
    <col min="2" max="2" width="61.25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04" t="s">
        <v>96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4" t="s">
        <v>121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05"/>
      <c r="C4" s="205"/>
      <c r="D4" s="205"/>
      <c r="E4" s="205"/>
      <c r="F4" s="205"/>
      <c r="U4" s="74" t="s">
        <v>97</v>
      </c>
    </row>
    <row r="5" spans="1:21" ht="41.25" customHeight="1">
      <c r="A5" s="117"/>
      <c r="B5" s="3"/>
      <c r="C5" s="209" t="s">
        <v>1</v>
      </c>
      <c r="D5" s="242" t="s">
        <v>108</v>
      </c>
      <c r="E5" s="243"/>
      <c r="F5" s="244"/>
      <c r="G5" s="224" t="s">
        <v>124</v>
      </c>
      <c r="H5" s="225"/>
      <c r="I5" s="226"/>
      <c r="J5" s="218" t="s">
        <v>107</v>
      </c>
      <c r="K5" s="219"/>
      <c r="L5" s="220"/>
      <c r="M5" s="218" t="s">
        <v>110</v>
      </c>
      <c r="N5" s="219"/>
      <c r="O5" s="220"/>
      <c r="P5" s="218" t="s">
        <v>111</v>
      </c>
      <c r="Q5" s="219"/>
      <c r="R5" s="220"/>
      <c r="S5" s="206" t="s">
        <v>112</v>
      </c>
      <c r="T5" s="206" t="s">
        <v>122</v>
      </c>
      <c r="U5" s="221" t="s">
        <v>123</v>
      </c>
    </row>
    <row r="6" spans="1:21" ht="18.75">
      <c r="A6" s="4" t="s">
        <v>39</v>
      </c>
      <c r="B6" s="4" t="s">
        <v>49</v>
      </c>
      <c r="C6" s="210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7"/>
      <c r="T6" s="207"/>
      <c r="U6" s="22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8"/>
      <c r="T7" s="208"/>
      <c r="U7" s="223"/>
    </row>
    <row r="8" spans="1:23" s="7" customFormat="1" ht="36" customHeight="1">
      <c r="A8" s="122"/>
      <c r="B8" s="75" t="s">
        <v>54</v>
      </c>
      <c r="C8" s="40">
        <f>SUM(C9:C43)</f>
        <v>4890.699999999999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15040.500000000004</v>
      </c>
      <c r="H8" s="17">
        <f>SUM(H9:H43)</f>
        <v>12639.699999999999</v>
      </c>
      <c r="I8" s="17">
        <f aca="true" t="shared" si="1" ref="I8:I29">H8/G8*100</f>
        <v>84.03776470197131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2784.2000000000003</v>
      </c>
      <c r="U8" s="60">
        <f>SUMIF(U9:U43,"&gt;0",U9:U43)</f>
        <v>7315.000000000001</v>
      </c>
      <c r="V8" s="105">
        <f>SUMIF(T9:T43,"&lt;0",T9:T43)</f>
        <v>-383.40000000000015</v>
      </c>
      <c r="W8" s="105">
        <f>SUMIF(U9:U43,"&lt;0",U9:U43)</f>
        <v>-23.49999999999998</v>
      </c>
    </row>
    <row r="9" spans="1:21" ht="38.25" customHeight="1">
      <c r="A9" s="120">
        <v>1</v>
      </c>
      <c r="B9" s="23" t="s">
        <v>55</v>
      </c>
      <c r="C9" s="41">
        <v>408.6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2000.8</v>
      </c>
      <c r="H9" s="18">
        <v>1916.2</v>
      </c>
      <c r="I9" s="18">
        <f t="shared" si="1"/>
        <v>95.77169132347062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84.59999999999991</v>
      </c>
      <c r="U9" s="16">
        <f aca="true" t="shared" si="4" ref="U9:U22">C9+G9-H9</f>
        <v>493.20000000000005</v>
      </c>
    </row>
    <row r="10" spans="1:21" ht="38.25" customHeight="1">
      <c r="A10" s="120">
        <v>2</v>
      </c>
      <c r="B10" s="53" t="s">
        <v>89</v>
      </c>
      <c r="C10" s="41">
        <v>-35.2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295.6</v>
      </c>
      <c r="H10" s="18">
        <v>260.5</v>
      </c>
      <c r="I10" s="18">
        <f t="shared" si="1"/>
        <v>88.12584573748308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35.10000000000002</v>
      </c>
      <c r="U10" s="16">
        <f t="shared" si="4"/>
        <v>-0.0999999999999659</v>
      </c>
    </row>
    <row r="11" spans="1:21" ht="38.25" customHeight="1">
      <c r="A11" s="120">
        <v>3</v>
      </c>
      <c r="B11" s="25" t="s">
        <v>106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56</v>
      </c>
      <c r="C12" s="41">
        <v>-6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23.8</v>
      </c>
      <c r="H12" s="18">
        <v>17.8</v>
      </c>
      <c r="I12" s="18">
        <f t="shared" si="1"/>
        <v>74.78991596638656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6</v>
      </c>
      <c r="U12" s="16">
        <f t="shared" si="4"/>
        <v>0</v>
      </c>
    </row>
    <row r="13" spans="1:21" ht="23.25" customHeight="1">
      <c r="A13" s="120">
        <v>5</v>
      </c>
      <c r="B13" s="23" t="s">
        <v>87</v>
      </c>
      <c r="C13" s="41">
        <v>42.3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326.3</v>
      </c>
      <c r="H13" s="18">
        <v>305.2</v>
      </c>
      <c r="I13" s="18">
        <f t="shared" si="1"/>
        <v>93.53355807539073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21.100000000000023</v>
      </c>
      <c r="U13" s="16">
        <f t="shared" si="4"/>
        <v>63.400000000000034</v>
      </c>
    </row>
    <row r="14" spans="1:21" ht="23.25" customHeight="1">
      <c r="A14" s="120">
        <v>6</v>
      </c>
      <c r="B14" s="23" t="s">
        <v>57</v>
      </c>
      <c r="C14" s="41">
        <v>-23.6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288.6</v>
      </c>
      <c r="H14" s="18">
        <v>275.3</v>
      </c>
      <c r="I14" s="18">
        <f t="shared" si="1"/>
        <v>95.39154539154538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13.300000000000011</v>
      </c>
      <c r="U14" s="16">
        <f t="shared" si="4"/>
        <v>-10.300000000000011</v>
      </c>
    </row>
    <row r="15" spans="1:21" ht="23.25" customHeight="1">
      <c r="A15" s="120">
        <v>7</v>
      </c>
      <c r="B15" s="23" t="s">
        <v>58</v>
      </c>
      <c r="C15" s="41">
        <v>2.8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4.9</v>
      </c>
      <c r="H15" s="18">
        <v>3.3</v>
      </c>
      <c r="I15" s="18">
        <f t="shared" si="1"/>
        <v>67.3469387755102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1.6000000000000005</v>
      </c>
      <c r="U15" s="16">
        <f t="shared" si="4"/>
        <v>4.4</v>
      </c>
    </row>
    <row r="16" spans="1:21" ht="23.25" customHeight="1">
      <c r="A16" s="120">
        <v>8</v>
      </c>
      <c r="B16" s="23" t="s">
        <v>59</v>
      </c>
      <c r="C16" s="41">
        <v>235.2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615.7</v>
      </c>
      <c r="H16" s="18">
        <v>521.4</v>
      </c>
      <c r="I16" s="18">
        <f t="shared" si="1"/>
        <v>84.68409939905797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94.30000000000007</v>
      </c>
      <c r="U16" s="16">
        <f t="shared" si="4"/>
        <v>329.5000000000001</v>
      </c>
    </row>
    <row r="17" spans="1:21" ht="23.25" customHeight="1">
      <c r="A17" s="120">
        <v>9</v>
      </c>
      <c r="B17" s="23" t="s">
        <v>60</v>
      </c>
      <c r="C17" s="41">
        <v>23.5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23.5</v>
      </c>
    </row>
    <row r="18" spans="1:21" ht="23.25" customHeight="1">
      <c r="A18" s="120">
        <v>10</v>
      </c>
      <c r="B18" s="25" t="s">
        <v>61</v>
      </c>
      <c r="C18" s="41">
        <v>81.9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120.6</v>
      </c>
      <c r="H18" s="18">
        <v>116.3</v>
      </c>
      <c r="I18" s="18">
        <f t="shared" si="1"/>
        <v>96.43449419568823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4.299999999999997</v>
      </c>
      <c r="U18" s="16">
        <f t="shared" si="4"/>
        <v>86.2</v>
      </c>
    </row>
    <row r="19" spans="1:21" ht="23.25" customHeight="1">
      <c r="A19" s="120">
        <v>11</v>
      </c>
      <c r="B19" s="25" t="s">
        <v>62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88</v>
      </c>
      <c r="C20" s="41">
        <f>-12.9+2.9</f>
        <v>-10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39.1+22.5</f>
        <v>61.6</v>
      </c>
      <c r="H20" s="18">
        <f>24.7+40</f>
        <v>64.7</v>
      </c>
      <c r="I20" s="18">
        <f t="shared" si="1"/>
        <v>105.03246753246754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-3.1000000000000014</v>
      </c>
      <c r="U20" s="16">
        <f t="shared" si="4"/>
        <v>-13.100000000000001</v>
      </c>
    </row>
    <row r="21" spans="1:21" ht="23.25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64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65</v>
      </c>
      <c r="C23" s="41">
        <v>0.3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2.6</v>
      </c>
      <c r="H23" s="18">
        <v>2.9</v>
      </c>
      <c r="I23" s="18">
        <f t="shared" si="1"/>
        <v>111.53846153846155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-0.2999999999999998</v>
      </c>
      <c r="U23" s="16">
        <f>C23+G23-H23</f>
        <v>0</v>
      </c>
    </row>
    <row r="24" spans="1:21" ht="23.25" customHeight="1">
      <c r="A24" s="120">
        <v>16</v>
      </c>
      <c r="B24" s="25" t="s">
        <v>66</v>
      </c>
      <c r="C24" s="41"/>
      <c r="D24" s="194" t="s">
        <v>86</v>
      </c>
      <c r="E24" s="186"/>
      <c r="F24" s="186"/>
      <c r="G24" s="186" t="s">
        <v>100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7"/>
    </row>
    <row r="25" spans="1:21" ht="42" customHeight="1">
      <c r="A25" s="120">
        <v>17</v>
      </c>
      <c r="B25" s="25" t="s">
        <v>67</v>
      </c>
      <c r="C25" s="41">
        <v>509.4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1075.8</v>
      </c>
      <c r="H25" s="18">
        <v>1088.9</v>
      </c>
      <c r="I25" s="18">
        <f t="shared" si="1"/>
        <v>101.21769845696227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-13.100000000000136</v>
      </c>
      <c r="U25" s="16">
        <f>C25+G25-H25</f>
        <v>496.2999999999997</v>
      </c>
    </row>
    <row r="26" spans="1:21" ht="23.25" customHeight="1">
      <c r="A26" s="120">
        <v>18</v>
      </c>
      <c r="B26" s="23" t="s">
        <v>68</v>
      </c>
      <c r="C26" s="41">
        <v>0.3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</v>
      </c>
      <c r="H26" s="18">
        <v>2.6</v>
      </c>
      <c r="I26" s="18">
        <f t="shared" si="1"/>
        <v>86.66666666666667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>
        <f>G26-H26</f>
        <v>0.3999999999999999</v>
      </c>
      <c r="U26" s="16">
        <f>C26+G26-H26</f>
        <v>0.6999999999999997</v>
      </c>
    </row>
    <row r="27" spans="1:21" ht="23.25" customHeight="1">
      <c r="A27" s="120">
        <v>19</v>
      </c>
      <c r="B27" s="25" t="s">
        <v>69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103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70</v>
      </c>
      <c r="C29" s="41">
        <f>103.2+0</f>
        <v>103.2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387.1</v>
      </c>
      <c r="H29" s="18">
        <v>345</v>
      </c>
      <c r="I29" s="18">
        <f t="shared" si="1"/>
        <v>89.12425729785585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42.10000000000002</v>
      </c>
      <c r="U29" s="16">
        <f>C29+G29-H29</f>
        <v>145.3</v>
      </c>
    </row>
    <row r="30" spans="1:21" ht="23.25" customHeight="1">
      <c r="A30" s="120">
        <v>22</v>
      </c>
      <c r="B30" s="23" t="s">
        <v>71</v>
      </c>
      <c r="C30" s="71"/>
      <c r="D30" s="188" t="s">
        <v>86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1" ht="23.25" customHeight="1">
      <c r="A31" s="120">
        <v>23</v>
      </c>
      <c r="B31" s="25" t="s">
        <v>72</v>
      </c>
      <c r="C31" s="83"/>
      <c r="D31" s="190"/>
      <c r="E31" s="190"/>
      <c r="F31" s="190"/>
      <c r="G31" s="190" t="s">
        <v>100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</row>
    <row r="32" spans="1:21" ht="23.25" customHeight="1">
      <c r="A32" s="120">
        <v>24</v>
      </c>
      <c r="B32" s="25" t="s">
        <v>73</v>
      </c>
      <c r="C32" s="8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ht="23.25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119</v>
      </c>
      <c r="C34" s="41">
        <f>151.5+176.4</f>
        <v>327.9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f>454.9+0</f>
        <v>454.9</v>
      </c>
      <c r="H34" s="18">
        <f>514.6+176.4</f>
        <v>691</v>
      </c>
      <c r="I34" s="18">
        <f t="shared" si="10"/>
        <v>151.90151681688283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-236.10000000000002</v>
      </c>
      <c r="U34" s="16">
        <f aca="true" t="shared" si="13" ref="U34:U43">C34+G34-H34</f>
        <v>91.79999999999995</v>
      </c>
    </row>
    <row r="35" spans="1:21" ht="24.75" customHeight="1">
      <c r="A35" s="121"/>
      <c r="B35" s="25" t="s">
        <v>75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104</v>
      </c>
      <c r="C36" s="41">
        <v>799.6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1715.7</v>
      </c>
      <c r="H36" s="18">
        <v>350.2</v>
      </c>
      <c r="I36" s="18">
        <f t="shared" si="10"/>
        <v>20.411493850906336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1365.5</v>
      </c>
      <c r="U36" s="16">
        <f t="shared" si="13"/>
        <v>2165.1000000000004</v>
      </c>
    </row>
    <row r="37" spans="1:21" ht="23.25" customHeight="1">
      <c r="A37" s="120">
        <v>27</v>
      </c>
      <c r="B37" s="23" t="s">
        <v>76</v>
      </c>
      <c r="C37" s="41">
        <v>46.9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185</v>
      </c>
      <c r="H37" s="18">
        <v>193.4</v>
      </c>
      <c r="I37" s="18">
        <f t="shared" si="10"/>
        <v>104.54054054054053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-8.400000000000006</v>
      </c>
      <c r="U37" s="16">
        <f t="shared" si="13"/>
        <v>38.5</v>
      </c>
    </row>
    <row r="38" spans="1:21" ht="23.25" customHeight="1">
      <c r="A38" s="120">
        <v>28</v>
      </c>
      <c r="B38" s="25" t="s">
        <v>77</v>
      </c>
      <c r="C38" s="41">
        <v>503.4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1271.6</v>
      </c>
      <c r="H38" s="18">
        <v>1255.7</v>
      </c>
      <c r="I38" s="18">
        <f t="shared" si="10"/>
        <v>98.74960679458951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15.899999999999864</v>
      </c>
      <c r="U38" s="69">
        <f t="shared" si="13"/>
        <v>519.3</v>
      </c>
    </row>
    <row r="39" spans="1:21" ht="23.25" customHeight="1">
      <c r="A39" s="120">
        <v>29</v>
      </c>
      <c r="B39" s="25" t="s">
        <v>78</v>
      </c>
      <c r="C39" s="41">
        <v>339.9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1223.2</v>
      </c>
      <c r="H39" s="18">
        <v>1250.9</v>
      </c>
      <c r="I39" s="18">
        <f t="shared" si="10"/>
        <v>102.26455199476783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-27.700000000000045</v>
      </c>
      <c r="U39" s="16">
        <f t="shared" si="13"/>
        <v>312.1999999999998</v>
      </c>
    </row>
    <row r="40" spans="1:21" ht="35.25" customHeight="1">
      <c r="A40" s="120">
        <v>30</v>
      </c>
      <c r="B40" s="25" t="s">
        <v>105</v>
      </c>
      <c r="C40" s="41">
        <v>940.3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3239.3</v>
      </c>
      <c r="H40" s="18">
        <v>2363.2</v>
      </c>
      <c r="I40" s="18">
        <f t="shared" si="10"/>
        <v>72.9540332787948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876.1000000000004</v>
      </c>
      <c r="U40" s="16">
        <f t="shared" si="13"/>
        <v>1816.4000000000005</v>
      </c>
    </row>
    <row r="41" spans="1:21" ht="23.25" customHeight="1">
      <c r="A41" s="120">
        <v>31</v>
      </c>
      <c r="B41" s="25" t="s">
        <v>79</v>
      </c>
      <c r="C41" s="41">
        <v>18.7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10.2</v>
      </c>
      <c r="H41" s="18">
        <v>19.6</v>
      </c>
      <c r="I41" s="18">
        <f t="shared" si="10"/>
        <v>192.15686274509807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-9.400000000000002</v>
      </c>
      <c r="U41" s="16">
        <f t="shared" si="13"/>
        <v>9.299999999999997</v>
      </c>
    </row>
    <row r="42" spans="1:21" ht="35.25" customHeight="1">
      <c r="A42" s="120">
        <v>32</v>
      </c>
      <c r="B42" s="23" t="s">
        <v>80</v>
      </c>
      <c r="C42" s="41">
        <v>545.7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816</v>
      </c>
      <c r="H42" s="18">
        <v>901.3</v>
      </c>
      <c r="I42" s="18">
        <f t="shared" si="10"/>
        <v>110.45343137254902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-85.29999999999995</v>
      </c>
      <c r="U42" s="16">
        <f t="shared" si="13"/>
        <v>460.4000000000001</v>
      </c>
    </row>
    <row r="43" spans="1:21" ht="23.25" customHeight="1">
      <c r="A43" s="120">
        <v>33</v>
      </c>
      <c r="B43" s="25" t="s">
        <v>81</v>
      </c>
      <c r="C43" s="41">
        <v>33.4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918.2</v>
      </c>
      <c r="H43" s="18">
        <v>694.3</v>
      </c>
      <c r="I43" s="18">
        <f t="shared" si="10"/>
        <v>75.61533434981484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223.9000000000001</v>
      </c>
      <c r="U43" s="16">
        <f t="shared" si="13"/>
        <v>257.30000000000007</v>
      </c>
    </row>
    <row r="44" spans="1:23" s="7" customFormat="1" ht="23.25" customHeight="1">
      <c r="A44" s="122">
        <v>34</v>
      </c>
      <c r="B44" s="6" t="s">
        <v>82</v>
      </c>
      <c r="C44" s="42">
        <f aca="true" t="shared" si="19" ref="C44:H44">C45+C46+C47</f>
        <v>125157.2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198771.59999999998</v>
      </c>
      <c r="H44" s="42">
        <f t="shared" si="19"/>
        <v>143588.19999999998</v>
      </c>
      <c r="I44" s="17">
        <f t="shared" si="10"/>
        <v>72.23778447222843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60058.5</v>
      </c>
      <c r="U44" s="59">
        <f>SUMIF(U45:U47,"&gt;0",U45:U47)</f>
        <v>185941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83</v>
      </c>
      <c r="C45" s="41">
        <v>125008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175132</v>
      </c>
      <c r="H45" s="18">
        <f>112768+2360</f>
        <v>115128</v>
      </c>
      <c r="I45" s="18">
        <f t="shared" si="10"/>
        <v>65.73784345522235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60004</v>
      </c>
      <c r="U45" s="24">
        <f>C45+G45-H45</f>
        <v>185012</v>
      </c>
    </row>
    <row r="46" spans="1:21" s="7" customFormat="1" ht="23.25" customHeight="1">
      <c r="A46" s="122"/>
      <c r="B46" s="23" t="s">
        <v>84</v>
      </c>
      <c r="C46" s="41">
        <v>-725.3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20235.3</v>
      </c>
      <c r="H46" s="18">
        <v>25110.4</v>
      </c>
      <c r="I46" s="18">
        <f t="shared" si="10"/>
        <v>124.09205694998346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-4875.100000000002</v>
      </c>
      <c r="U46" s="24">
        <f>C46+G46-H46</f>
        <v>-5600.4000000000015</v>
      </c>
    </row>
    <row r="47" spans="1:21" s="7" customFormat="1" ht="24.75" customHeight="1">
      <c r="A47" s="122"/>
      <c r="B47" s="23" t="s">
        <v>75</v>
      </c>
      <c r="C47" s="41">
        <v>874.5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3404.3</v>
      </c>
      <c r="H47" s="18">
        <v>3349.8</v>
      </c>
      <c r="I47" s="18">
        <f>H47/G47*100</f>
        <v>98.39908351202891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54.5</v>
      </c>
      <c r="U47" s="24">
        <f>C47+G47-H47</f>
        <v>929</v>
      </c>
    </row>
    <row r="48" spans="1:23" s="7" customFormat="1" ht="23.25" customHeight="1">
      <c r="A48" s="122"/>
      <c r="B48" s="6" t="s">
        <v>85</v>
      </c>
      <c r="C48" s="42">
        <f>C8+C44</f>
        <v>130047.9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213812.09999999998</v>
      </c>
      <c r="H48" s="16">
        <f>H8+H44</f>
        <v>156227.9</v>
      </c>
      <c r="I48" s="17">
        <f t="shared" si="10"/>
        <v>73.06784789074146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62842.7</v>
      </c>
      <c r="U48" s="59">
        <f>U44+U8</f>
        <v>193256</v>
      </c>
      <c r="V48" s="108">
        <f>V44+V8</f>
        <v>-2383.9</v>
      </c>
      <c r="W48" s="108">
        <f>W44+W8</f>
        <v>-3693.5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90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91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35" t="s">
        <v>116</v>
      </c>
      <c r="C54" s="235"/>
      <c r="D54" s="235"/>
      <c r="E54" s="235"/>
      <c r="F54" s="235"/>
      <c r="G54" s="235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115</v>
      </c>
      <c r="V54" s="148"/>
      <c r="W54" s="149"/>
    </row>
    <row r="55" spans="2:21" ht="46.5" customHeight="1" hidden="1">
      <c r="B55" s="254" t="s">
        <v>41</v>
      </c>
      <c r="C55" s="254"/>
      <c r="D55" s="254"/>
      <c r="E55" s="254"/>
      <c r="F55" s="2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11" t="s">
        <v>114</v>
      </c>
      <c r="B56" s="211"/>
      <c r="C56" s="211"/>
      <c r="D56" s="21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42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43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454.4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448.2999999999999</v>
      </c>
    </row>
    <row r="63" spans="2:21" ht="18.75">
      <c r="B63" s="1" t="s">
        <v>45</v>
      </c>
      <c r="C63" s="43">
        <f>C12+C14+C15+C17+C19+C20+C26</f>
        <v>-13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5.199999999999985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5">
    <mergeCell ref="A56:D56"/>
    <mergeCell ref="B55:F55"/>
    <mergeCell ref="B4:F4"/>
    <mergeCell ref="J5:L5"/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2016-04-15T06:04:49Z</cp:lastPrinted>
  <dcterms:created xsi:type="dcterms:W3CDTF">2001-09-14T09:33:50Z</dcterms:created>
  <dcterms:modified xsi:type="dcterms:W3CDTF">2016-04-18T07:17:12Z</dcterms:modified>
  <cp:category/>
  <cp:version/>
  <cp:contentType/>
  <cp:contentStatus/>
</cp:coreProperties>
</file>