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<sst xmlns="http://schemas.openxmlformats.org/spreadsheetml/2006/main" count="1622" uniqueCount="184">
  <si>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</si>
  <si>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</si>
  <si>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</si>
  <si>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</si>
  <si>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</si>
  <si>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</si>
  <si>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</si>
  <si>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</si>
  <si>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</si>
  <si>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</si>
  <si>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</si>
  <si>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</si>
  <si>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</si>
  <si>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</si>
  <si>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</si>
  <si>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</si>
  <si>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</si>
  <si>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</si>
  <si>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</si>
  <si>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</si>
  <si>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</si>
  <si>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</si>
  <si>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</si>
  <si>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</si>
  <si>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</si>
  <si>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</si>
  <si>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</si>
  <si>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</si>
  <si>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</si>
  <si>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</si>
  <si>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</si>
  <si>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</si>
  <si>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</si>
  <si>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</si>
  <si>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</si>
  <si>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</si>
  <si>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</si>
  <si>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</si>
  <si>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</si>
  <si>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</si>
  <si>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</si>
  <si>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</si>
  <si>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</si>
  <si>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</si>
  <si>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</si>
  <si>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</si>
  <si>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</si>
  <si>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</si>
  <si>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</si>
  <si>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</si>
  <si>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</si>
  <si>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</si>
  <si>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</si>
  <si>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</si>
  <si>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</si>
  <si>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</si>
  <si>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</si>
  <si>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</si>
  <si>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</si>
  <si>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</si>
  <si>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</si>
  <si>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</si>
  <si>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</si>
  <si>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</si>
  <si>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</si>
  <si>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</si>
  <si>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</si>
  <si>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</si>
  <si>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</si>
  <si>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</si>
  <si>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</si>
  <si>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</si>
  <si>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</si>
  <si>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</si>
  <si>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</si>
  <si>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</si>
  <si>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</si>
  <si>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</si>
  <si>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</si>
  <si>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</si>
  <si>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</si>
  <si>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</si>
  <si>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</si>
  <si>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</si>
  <si>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</si>
  <si>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</si>
  <si>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</si>
  <si>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</si>
  <si>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</si>
  <si>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</si>
  <si>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</si>
  <si>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</si>
  <si>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</si>
  <si>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</si>
  <si>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</si>
  <si>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</si>
  <si>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</si>
  <si>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</si>
  <si>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</si>
  <si>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</si>
  <si>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</si>
  <si>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</si>
  <si>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</si>
  <si>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</si>
  <si>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</si>
  <si>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</si>
  <si>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</si>
  <si>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</si>
  <si>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</si>
  <si>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</si>
  <si>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</si>
  <si>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</si>
  <si>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</si>
  <si>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</si>
  <si>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</si>
  <si>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</si>
  <si>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</si>
  <si>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</si>
  <si>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</si>
  <si>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</si>
  <si>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</si>
  <si>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</si>
  <si>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</si>
  <si>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</si>
  <si>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</si>
  <si>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</si>
  <si>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</si>
  <si>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</si>
  <si>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</si>
  <si>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</si>
  <si>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</si>
  <si>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</si>
  <si>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</si>
  <si>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</si>
  <si>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</si>
  <si>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</si>
  <si>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</si>
  <si>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</si>
  <si>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</si>
  <si>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</si>
  <si>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</si>
  <si>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</si>
  <si>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</si>
  <si>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</si>
  <si>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</si>
  <si>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</si>
  <si>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</si>
  <si>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</si>
  <si>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</si>
  <si>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</si>
  <si>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</si>
  <si>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</si>
  <si>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</si>
  <si>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</si>
  <si>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</si>
  <si>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</si>
  <si>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</si>
  <si>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</si>
  <si>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</si>
  <si>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</si>
  <si>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</si>
  <si>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</si>
  <si>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</si>
  <si>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</si>
  <si>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</si>
  <si>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</si>
  <si>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</si>
  <si>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</si>
  <si>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</si>
  <si>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</si>
  <si>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</si>
  <si>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</si>
  <si>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</si>
  <si>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Залиман, КП Вишнівське</t>
  </si>
  <si>
    <t>Інформація щодо заборгованості інших споживачів за послуги з водопостачання та водовідведення станом на 01.09.2021</t>
  </si>
  <si>
    <t>Заборгованість за 2021 рік станом на 01.09.2021</t>
  </si>
  <si>
    <t>Загальна заборгованість станом на 01.09.2021 (з урахуванням боргів минулих років)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</si>
  <si>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01.09.2021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</si>
  <si>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01.09.2021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</si>
  <si>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01.09.2021</t>
  </si>
  <si>
    <t>Інформація щодо заборгованості по субсидіях на оплату послуг водопостачання та водовідведення станом на 01.09.2021</t>
  </si>
  <si>
    <t>Інформація щодо заборгованості по пільгах на оплату послуг водопостачання та водовідведення станом на 01.09.2021</t>
  </si>
  <si>
    <t>Інформація щодо заборгованості населення за послуги з водопостачання та водовідведення станом на 01.09.2021</t>
  </si>
  <si>
    <t>Інформація щодо заборгованості споживачів за послуги з водопостачання та водовідведення станом на 01.09.2021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</si>
</sst>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sz val="14"/>
      <color theme="0"/>
      <name val="Times New Roman"/>
      <family val="1"/>
    </font>
    <font>
      <sz val="18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200" fontId="79" fillId="33" borderId="10" xfId="0" applyNumberFormat="1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200" fontId="81" fillId="33" borderId="10" xfId="0" applyNumberFormat="1" applyFont="1" applyFill="1" applyBorder="1" applyAlignment="1">
      <alignment/>
    </xf>
    <xf numFmtId="200" fontId="81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view="pageBreakPreview" zoomScale="50" zoomScaleNormal="50" zoomScaleSheetLayoutView="50" zoomScalePageLayoutView="0" workbookViewId="0" topLeftCell="B3">
      <pane xSplit="1" ySplit="4" topLeftCell="C5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5" sqref="B5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hidden="1" customWidth="1"/>
    <col min="17" max="17" width="16.375" style="27" hidden="1" customWidth="1"/>
    <col min="18" max="18" width="11.00390625" style="29" hidden="1" customWidth="1"/>
    <col min="19" max="20" width="17.00390625" style="27" hidden="1" customWidth="1"/>
    <col min="21" max="21" width="11.00390625" style="29" hidden="1" customWidth="1"/>
    <col min="22" max="22" width="16.125" style="29" hidden="1" customWidth="1"/>
    <col min="23" max="23" width="15.87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customWidth="1"/>
    <col min="32" max="32" width="19.875" style="29" customWidth="1"/>
    <col min="33" max="33" width="12.875" style="29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9"/>
      <c r="AU1" s="129"/>
      <c r="AV1" s="129"/>
      <c r="AW1" s="129"/>
      <c r="AX1" s="129"/>
    </row>
    <row r="2" spans="1:50" s="95" customFormat="1" ht="30" customHeight="1" hidden="1">
      <c r="A2" s="94"/>
      <c r="B2" s="130" t="s">
        <v>183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</row>
    <row r="3" spans="1:52" s="97" customFormat="1" ht="69.75" customHeight="1">
      <c r="A3" s="9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Z3" s="98"/>
    </row>
    <row r="4" spans="2:50" ht="25.5" customHeight="1">
      <c r="B4" s="133"/>
      <c r="C4" s="133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21" t="s">
        <v>49</v>
      </c>
    </row>
    <row r="5" spans="1:58" ht="36.75" customHeight="1">
      <c r="A5" s="101" t="s">
        <v>36</v>
      </c>
      <c r="B5" s="102"/>
      <c r="C5" s="103" t="s">
        <v>1</v>
      </c>
      <c r="D5" s="122" t="s">
        <v>54</v>
      </c>
      <c r="E5" s="123"/>
      <c r="F5" s="124"/>
      <c r="G5" s="125" t="s">
        <v>55</v>
      </c>
      <c r="H5" s="126"/>
      <c r="I5" s="127"/>
      <c r="J5" s="125" t="s">
        <v>56</v>
      </c>
      <c r="K5" s="126"/>
      <c r="L5" s="127"/>
      <c r="M5" s="125" t="s">
        <v>67</v>
      </c>
      <c r="N5" s="126"/>
      <c r="O5" s="127"/>
      <c r="P5" s="125" t="s">
        <v>57</v>
      </c>
      <c r="Q5" s="126"/>
      <c r="R5" s="127"/>
      <c r="S5" s="125" t="s">
        <v>58</v>
      </c>
      <c r="T5" s="126"/>
      <c r="U5" s="127"/>
      <c r="V5" s="125" t="s">
        <v>59</v>
      </c>
      <c r="W5" s="126"/>
      <c r="X5" s="127"/>
      <c r="Y5" s="125" t="s">
        <v>68</v>
      </c>
      <c r="Z5" s="126"/>
      <c r="AA5" s="127"/>
      <c r="AB5" s="125" t="s">
        <v>60</v>
      </c>
      <c r="AC5" s="126"/>
      <c r="AD5" s="127"/>
      <c r="AE5" s="125" t="s">
        <v>61</v>
      </c>
      <c r="AF5" s="126"/>
      <c r="AG5" s="127"/>
      <c r="AH5" s="125" t="s">
        <v>62</v>
      </c>
      <c r="AI5" s="126"/>
      <c r="AJ5" s="127"/>
      <c r="AK5" s="125" t="s">
        <v>63</v>
      </c>
      <c r="AL5" s="126"/>
      <c r="AM5" s="127"/>
      <c r="AN5" s="125" t="s">
        <v>64</v>
      </c>
      <c r="AO5" s="127"/>
      <c r="AP5" s="125" t="s">
        <v>65</v>
      </c>
      <c r="AQ5" s="127"/>
      <c r="AR5" s="125" t="s">
        <v>66</v>
      </c>
      <c r="AS5" s="127"/>
      <c r="AT5" s="122" t="s">
        <v>125</v>
      </c>
      <c r="AU5" s="123"/>
      <c r="AV5" s="124"/>
      <c r="AW5" s="131" t="s">
        <v>175</v>
      </c>
      <c r="AX5" s="131" t="s">
        <v>176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32"/>
      <c r="AX6" s="132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121902.20000000001</v>
      </c>
      <c r="D7" s="37">
        <f>'насел.'!D7+пільги!D7+субсидії!D7+'держ.бюджет'!D7+'місц.-районн.бюджет'!D7+обласний!D7+інші!D7</f>
        <v>39353.81999999999</v>
      </c>
      <c r="E7" s="37">
        <f>'насел.'!E7+пільги!E7+субсидії!E7+'держ.бюджет'!E7+'місц.-районн.бюджет'!E7+обласний!E7+інші!E7</f>
        <v>32950.499999999985</v>
      </c>
      <c r="F7" s="38">
        <f aca="true" t="shared" si="0" ref="F7:F17">E7/D7*100</f>
        <v>83.72884766967982</v>
      </c>
      <c r="G7" s="37">
        <f>'насел.'!G7+пільги!G7+субсидії!G7+'держ.бюджет'!G7+'місц.-районн.бюджет'!G7+обласний!G7+інші!G7</f>
        <v>40669.62600000001</v>
      </c>
      <c r="H7" s="37">
        <f>'насел.'!H7+пільги!H7+субсидії!H7+'держ.бюджет'!H7+'місц.-районн.бюджет'!H7+обласний!H7+інші!H7</f>
        <v>36743.82000000001</v>
      </c>
      <c r="I7" s="38">
        <f aca="true" t="shared" si="1" ref="I7:I17">H7/G7*100</f>
        <v>90.34708113617765</v>
      </c>
      <c r="J7" s="37">
        <f>'насел.'!J7+пільги!J7+субсидії!J7+'держ.бюджет'!J7+'місц.-районн.бюджет'!J7+обласний!J7+інші!J7</f>
        <v>40926.92599999999</v>
      </c>
      <c r="K7" s="37">
        <f>'насел.'!K7+пільги!K7+субсидії!K7+'держ.бюджет'!K7+'місц.-районн.бюджет'!K7+обласний!K7+інші!K7</f>
        <v>40748.12600000004</v>
      </c>
      <c r="L7" s="38">
        <f>K7/J7*100</f>
        <v>99.56312379776591</v>
      </c>
      <c r="M7" s="38">
        <f>'насел.'!M7+пільги!M7+субсидії!M7+'держ.бюджет'!M7+'місц.-районн.бюджет'!M7+обласний!M7+інші!M7</f>
        <v>120950.372</v>
      </c>
      <c r="N7" s="38">
        <f>'насел.'!N7+пільги!N7+субсидії!N7+'держ.бюджет'!N7+'місц.-районн.бюджет'!N7+обласний!N7+інші!N7</f>
        <v>110442.44599999997</v>
      </c>
      <c r="O7" s="38">
        <f aca="true" t="shared" si="2" ref="O7:O17">N7/M7*100</f>
        <v>91.31220034610557</v>
      </c>
      <c r="P7" s="37">
        <f>'насел.'!P7+пільги!P7+субсидії!P7+'держ.бюджет'!P7+'місц.-районн.бюджет'!P7+обласний!P7+інші!P7</f>
        <v>42054.126000000004</v>
      </c>
      <c r="Q7" s="37">
        <f>'насел.'!Q7+пільги!Q7+субсидії!Q7+'держ.бюджет'!Q7+'місц.-районн.бюджет'!Q7+обласний!Q7+інші!Q7</f>
        <v>38474.426</v>
      </c>
      <c r="R7" s="37">
        <f aca="true" t="shared" si="3" ref="R7:R17">Q7/P7*100</f>
        <v>91.48787445969035</v>
      </c>
      <c r="S7" s="37">
        <f>'насел.'!S7+пільги!S7+субсидії!S7+'держ.бюджет'!S7+'місц.-районн.бюджет'!S7+обласний!S7+інші!S7</f>
        <v>41654.125999999975</v>
      </c>
      <c r="T7" s="37">
        <f>'насел.'!T7+пільги!T7+субсидії!T7+'держ.бюджет'!T7+'місц.-районн.бюджет'!T7+обласний!T7+інші!T7</f>
        <v>37182.426</v>
      </c>
      <c r="U7" s="38">
        <f aca="true" t="shared" si="4" ref="U7:U17">T7/S7*100</f>
        <v>89.26468892901515</v>
      </c>
      <c r="V7" s="37">
        <f>'насел.'!V7+пільги!V7+субсидії!V7+'держ.бюджет'!V7+'місц.-районн.бюджет'!V7+обласний!V7+інші!V7</f>
        <v>42466.02</v>
      </c>
      <c r="W7" s="37">
        <f>'насел.'!W7+пільги!W7+субсидії!W7+'держ.бюджет'!W7+'місц.-районн.бюджет'!W7+обласний!W7+інші!W7</f>
        <v>38183.72600000001</v>
      </c>
      <c r="X7" s="38">
        <f aca="true" t="shared" si="5" ref="X7:X17">W7/V7*100</f>
        <v>89.91595162438112</v>
      </c>
      <c r="Y7" s="37">
        <f>'насел.'!Y7+пільги!Y7+субсидії!Y7+'держ.бюджет'!Y7+'місц.-районн.бюджет'!Y7+обласний!Y7+інші!Y7</f>
        <v>126174.27200000007</v>
      </c>
      <c r="Z7" s="37">
        <f>'насел.'!Z7+пільги!Z7+субсидії!Z7+'держ.бюджет'!Z7+'місц.-районн.бюджет'!Z7+обласний!Z7+інші!Z7</f>
        <v>113840.57800000004</v>
      </c>
      <c r="AA7" s="38">
        <f aca="true" t="shared" si="6" ref="AA7:AA17">Z7/Y7*100</f>
        <v>90.22487405356297</v>
      </c>
      <c r="AB7" s="37">
        <f>'насел.'!AB7+пільги!AB7+субсидії!AB7+'держ.бюджет'!AB7+'місц.-районн.бюджет'!AB7+обласний!AB7+інші!AB7</f>
        <v>43193.63999999999</v>
      </c>
      <c r="AC7" s="37">
        <f>'насел.'!AC7+пільги!AC7+субсидії!AC7+'держ.бюджет'!AC7+'місц.-районн.бюджет'!AC7+обласний!AC7+інші!AC7</f>
        <v>40764.020000000004</v>
      </c>
      <c r="AD7" s="38">
        <f aca="true" t="shared" si="7" ref="AD7:AD17">AC7/AB7*100</f>
        <v>94.3750515122134</v>
      </c>
      <c r="AE7" s="37">
        <f>'насел.'!AE7+пільги!AE7+субсидії!AE7+'держ.бюджет'!AE7+'місц.-районн.бюджет'!AE7+обласний!AE7+інші!AE7</f>
        <v>43033.353</v>
      </c>
      <c r="AF7" s="37">
        <f>'насел.'!AF7+пільги!AF7+субсидії!AF7+'держ.бюджет'!AF7+'місц.-районн.бюджет'!AF7+обласний!AF7+інші!AF7</f>
        <v>40900.64000000001</v>
      </c>
      <c r="AG7" s="38">
        <f aca="true" t="shared" si="8" ref="AG7:AG17">AF7/AE7*100</f>
        <v>95.044046416741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86226.99299999999</v>
      </c>
      <c r="AL7" s="37">
        <f>'насел.'!AL7+пільги!AK7+субсидії!AL7+'держ.бюджет'!AL7+'місц.-районн.бюджет'!AL7+обласний!AL7+інші!AL7</f>
        <v>81664.66</v>
      </c>
      <c r="AM7" s="37">
        <f aca="true" t="shared" si="10" ref="AM7:AM17">AL7/AK7*100</f>
        <v>94.7089271685492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242.7</v>
      </c>
      <c r="AS7" s="37">
        <f>'насел.'!AS7+пільги!AR7+субсидії!AS7+'держ.бюджет'!AS7+'місц.-районн.бюджет'!AS7+обласний!AS7+інші!AS7</f>
        <v>246.5</v>
      </c>
      <c r="AT7" s="37">
        <f>'насел.'!AT7+пільги!AT7+субсидії!AT7+'держ.бюджет'!AT7+'місц.-районн.бюджет'!AT7+обласний!AT7+інші!AT7</f>
        <v>333594.33700000006</v>
      </c>
      <c r="AU7" s="37">
        <f>'насел.'!AU7+пільги!AU7+субсидії!AU7+'держ.бюджет'!AU7+'місц.-районн.бюджет'!AU7+обласний!AU7+інші!AU7</f>
        <v>306194.184</v>
      </c>
      <c r="AV7" s="38">
        <f aca="true" t="shared" si="11" ref="AV7:AV17">AU7/AT7*100</f>
        <v>91.78638545054197</v>
      </c>
      <c r="AW7" s="37">
        <f>'насел.'!AW7+пільги!AW7+субсидії!AW7+'держ.бюджет'!AW7+'місц.-районн.бюджет'!AW7+обласний!AW7+інші!AW7</f>
        <v>27400.153000000013</v>
      </c>
      <c r="AX7" s="37">
        <f>'насел.'!AX7+пільги!AX7+субсидії!AX7+'держ.бюджет'!AX7+'місц.-районн.бюджет'!AX7+обласний!AX7+інші!AX7</f>
        <v>149302.35299999997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2676</v>
      </c>
      <c r="T8" s="37">
        <f>'насел.'!T8+пільги!T8+субсидії!T8+'держ.бюджет'!T8+'місц.-районн.бюджет'!T8+обласний!T8+інші!T8</f>
        <v>2519.5</v>
      </c>
      <c r="U8" s="38">
        <f t="shared" si="4"/>
        <v>94.15171898355756</v>
      </c>
      <c r="V8" s="37">
        <f>'насел.'!V8+пільги!V8+субсидії!V8+'держ.бюджет'!V8+'місц.-районн.бюджет'!V8+обласний!V8+інші!V8</f>
        <v>2672.1000000000004</v>
      </c>
      <c r="W8" s="37">
        <f>'насел.'!W8+пільги!W8+субсидії!W8+'держ.бюджет'!W8+'місц.-районн.бюджет'!W8+обласний!W8+інші!W8</f>
        <v>2557.9</v>
      </c>
      <c r="X8" s="38">
        <f t="shared" si="5"/>
        <v>95.72620785150255</v>
      </c>
      <c r="Y8" s="37">
        <f>'насел.'!Y8+пільги!Y8+субсидії!Y8+'держ.бюджет'!Y8+'місц.-районн.бюджет'!Y8+обласний!Y8+інші!Y8</f>
        <v>8093.3</v>
      </c>
      <c r="Z8" s="37">
        <f>'насел.'!Z8+пільги!Z8+субсидії!Z8+'держ.бюджет'!Z8+'місц.-районн.бюджет'!Z8+обласний!Z8+інші!Z8</f>
        <v>7721.400000000001</v>
      </c>
      <c r="AA8" s="38">
        <f t="shared" si="6"/>
        <v>95.4048410413552</v>
      </c>
      <c r="AB8" s="37">
        <f>'насел.'!AB8+пільги!AB8+субсидії!AB8+'держ.бюджет'!AB8+'місц.-районн.бюджет'!AB8+обласний!AB8+інші!AB8</f>
        <v>2966.4999999999995</v>
      </c>
      <c r="AC8" s="37">
        <f>'насел.'!AC8+пільги!AC8+субсидії!AC8+'держ.бюджет'!AC8+'місц.-районн.бюджет'!AC8+обласний!AC8+інші!AC8</f>
        <v>2847.4</v>
      </c>
      <c r="AD8" s="38">
        <f t="shared" si="7"/>
        <v>95.98516770605092</v>
      </c>
      <c r="AE8" s="37">
        <f>'насел.'!AE8+пільги!AE8+субсидії!AE8+'держ.бюджет'!AE8+'місц.-районн.бюджет'!AE8+обласний!AE8+інші!AE8</f>
        <v>3021.7</v>
      </c>
      <c r="AF8" s="37">
        <f>'насел.'!AF8+пільги!AF8+субсидії!AF8+'держ.бюджет'!AF8+'місц.-районн.бюджет'!AF8+обласний!AF8+інші!AF8</f>
        <v>2746.9</v>
      </c>
      <c r="AG8" s="38">
        <f t="shared" si="8"/>
        <v>90.90578151371746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5988.200000000001</v>
      </c>
      <c r="AL8" s="37">
        <f>'насел.'!AL8+пільги!AK8+субсидії!AL8+'держ.бюджет'!AL8+'місц.-районн.бюджет'!AL8+обласний!AL8+інші!AL8</f>
        <v>5594.299999999999</v>
      </c>
      <c r="AM8" s="37">
        <f t="shared" si="10"/>
        <v>93.42206339133628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21665.899999999998</v>
      </c>
      <c r="AU8" s="37">
        <f>'насел.'!AU8+пільги!AU8+субсидії!AU8+'держ.бюджет'!AU8+'місц.-районн.бюджет'!AU8+обласний!AU8+інші!AU8</f>
        <v>20436.3</v>
      </c>
      <c r="AV8" s="38">
        <f t="shared" si="11"/>
        <v>94.32472225940303</v>
      </c>
      <c r="AW8" s="37">
        <f aca="true" t="shared" si="13" ref="AW8:AW73">AT8-AU8</f>
        <v>1229.5999999999985</v>
      </c>
      <c r="AX8" s="37">
        <f>'насел.'!AX8+пільги!AX8+субсидії!AX8+'держ.бюджет'!AX8+'місц.-районн.бюджет'!AX8+обласний!AX8+інші!AX8</f>
        <v>3816.0000000000045</v>
      </c>
      <c r="AY8" s="109"/>
      <c r="AZ8" s="109"/>
      <c r="BA8" s="109"/>
      <c r="BB8" s="109"/>
    </row>
    <row r="9" spans="1:54" ht="34.5" customHeight="1">
      <c r="A9" s="30" t="s">
        <v>5</v>
      </c>
      <c r="B9" s="33" t="s">
        <v>136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619.6</v>
      </c>
      <c r="K9" s="77">
        <f>'насел.'!K9+пільги!K9+субсидії!K9+'держ.бюджет'!K9+'місц.-районн.бюджет'!K9+обласний!K9+інші!K9</f>
        <v>629</v>
      </c>
      <c r="L9" s="75">
        <f t="shared" si="12"/>
        <v>101.51710781149129</v>
      </c>
      <c r="M9" s="75">
        <f>'насел.'!M9+пільги!M9+субсидії!M9+'держ.бюджет'!M9+'місц.-районн.бюджет'!M9+обласний!M9+інші!M9</f>
        <v>1919.3</v>
      </c>
      <c r="N9" s="75">
        <f>'насел.'!N9+пільги!N9+субсидії!N9+'держ.бюджет'!N9+'місц.-районн.бюджет'!N9+обласний!N9+інші!N9</f>
        <v>1713.6999999999998</v>
      </c>
      <c r="O9" s="75">
        <f t="shared" si="2"/>
        <v>89.28776116292397</v>
      </c>
      <c r="P9" s="77">
        <f>'насел.'!P9+пільги!P9+субсидії!P9+'держ.бюджет'!P9+'місц.-районн.бюджет'!P9+обласний!P9+інші!P9</f>
        <v>785.7</v>
      </c>
      <c r="Q9" s="77">
        <f>'насел.'!Q9+пільги!Q9+субсидії!Q9+'держ.бюджет'!Q9+'місц.-районн.бюджет'!Q9+обласний!Q9+інші!Q9</f>
        <v>801.7</v>
      </c>
      <c r="R9" s="77">
        <f t="shared" si="3"/>
        <v>102.03640066183021</v>
      </c>
      <c r="S9" s="77">
        <f>'насел.'!S9+пільги!S9+субсидії!S9+'держ.бюджет'!S9+'місц.-районн.бюджет'!S9+обласний!S9+інші!S9</f>
        <v>696.4</v>
      </c>
      <c r="T9" s="77">
        <f>'насел.'!T9+пільги!T9+субсидії!T9+'держ.бюджет'!T9+'місц.-районн.бюджет'!T9+обласний!T9+інші!T9</f>
        <v>625.9000000000001</v>
      </c>
      <c r="U9" s="75">
        <f t="shared" si="4"/>
        <v>89.8765077541643</v>
      </c>
      <c r="V9" s="77">
        <f>'насел.'!V9+пільги!V9+субсидії!V9+'держ.бюджет'!V9+'місц.-районн.бюджет'!V9+обласний!V9+інші!V9</f>
        <v>698.5</v>
      </c>
      <c r="W9" s="77">
        <f>'насел.'!W9+пільги!W9+субсидії!W9+'держ.бюджет'!W9+'місц.-районн.бюджет'!W9+обласний!W9+інші!W9</f>
        <v>693.7</v>
      </c>
      <c r="X9" s="75">
        <f t="shared" si="5"/>
        <v>99.31281317108089</v>
      </c>
      <c r="Y9" s="77">
        <f>'насел.'!Y9+пільги!Y9+субсидії!Y9+'держ.бюджет'!Y9+'місц.-районн.бюджет'!Y9+обласний!Y9+інші!Y9</f>
        <v>2180.6</v>
      </c>
      <c r="Z9" s="77">
        <f>'насел.'!Z9+пільги!Z9+субсидії!Z9+'держ.бюджет'!Z9+'місц.-районн.бюджет'!Z9+обласний!Z9+інші!Z9</f>
        <v>2121.3</v>
      </c>
      <c r="AA9" s="75">
        <f t="shared" si="6"/>
        <v>97.28056498211502</v>
      </c>
      <c r="AB9" s="77">
        <f>'насел.'!AB9+пільги!AB9+субсидії!AB9+'держ.бюджет'!AB9+'місц.-районн.бюджет'!AB9+обласний!AB9+інші!AB9</f>
        <v>788</v>
      </c>
      <c r="AC9" s="77">
        <f>'насел.'!AC9+пільги!AC9+субсидії!AC9+'держ.бюджет'!AC9+'місц.-районн.бюджет'!AC9+обласний!AC9+інші!AC9</f>
        <v>733.3</v>
      </c>
      <c r="AD9" s="75">
        <f t="shared" si="7"/>
        <v>93.05837563451776</v>
      </c>
      <c r="AE9" s="77">
        <f>'насел.'!AE9+пільги!AE9+субсидії!AE9+'держ.бюджет'!AE9+'місц.-районн.бюджет'!AE9+обласний!AE9+інші!AE9</f>
        <v>842.4000000000001</v>
      </c>
      <c r="AF9" s="77">
        <f>'насел.'!AF9+пільги!AF9+субсидії!AF9+'держ.бюджет'!AF9+'місц.-районн.бюджет'!AF9+обласний!AF9+інші!AF9</f>
        <v>703.7</v>
      </c>
      <c r="AG9" s="75">
        <f t="shared" si="8"/>
        <v>83.53513770180436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9"/>
        <v>#DIV/0!</v>
      </c>
      <c r="AK9" s="37">
        <f>'насел.'!AK9+пільги!AK9+субсидії!AK9+'держ.бюджет'!AK9+'місц.-районн.бюджет'!AK9+обласний!AK9+інші!AK9</f>
        <v>1630.4</v>
      </c>
      <c r="AL9" s="77">
        <f>'насел.'!AL9+пільги!AK9+субсидії!AL9+'держ.бюджет'!AL9+'місц.-районн.бюджет'!AL9+обласний!AL9+інші!AL9</f>
        <v>1437</v>
      </c>
      <c r="AM9" s="77">
        <f t="shared" si="10"/>
        <v>88.13788027477919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5730.3</v>
      </c>
      <c r="AU9" s="77">
        <f>'насел.'!AU9+пільги!AU9+субсидії!AU9+'держ.бюджет'!AU9+'місц.-районн.бюджет'!AU9+обласний!AU9+інші!AU9</f>
        <v>5272</v>
      </c>
      <c r="AV9" s="75">
        <f t="shared" si="11"/>
        <v>92.00216393557056</v>
      </c>
      <c r="AW9" s="77">
        <f t="shared" si="13"/>
        <v>458.3000000000002</v>
      </c>
      <c r="AX9" s="110">
        <f>'насел.'!AX9+пільги!AX9+субсидії!AX9+'держ.бюджет'!AX9+'місц.-районн.бюджет'!AX9+обласний!AX9+інші!AX9</f>
        <v>949.9000000000009</v>
      </c>
      <c r="AY9" s="104"/>
      <c r="AZ9" s="104"/>
      <c r="BA9" s="104"/>
      <c r="BB9" s="104"/>
    </row>
    <row r="10" spans="1:54" ht="34.5" customHeight="1">
      <c r="A10" s="30" t="s">
        <v>7</v>
      </c>
      <c r="B10" s="33" t="s">
        <v>137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919.4</v>
      </c>
      <c r="K10" s="77">
        <f>'насел.'!K10+пільги!K10+субсидії!K10+'держ.бюджет'!K10+'місц.-районн.бюджет'!K10+обласний!K10+інші!K10</f>
        <v>915</v>
      </c>
      <c r="L10" s="75">
        <f t="shared" si="12"/>
        <v>99.52142701762018</v>
      </c>
      <c r="M10" s="75">
        <f>'насел.'!M10+пільги!M10+субсидії!M10+'держ.бюджет'!M10+'місц.-районн.бюджет'!M10+обласний!M10+інші!M10</f>
        <v>2647.5</v>
      </c>
      <c r="N10" s="75">
        <f>'насел.'!N10+пільги!N10+субсидії!N10+'держ.бюджет'!N10+'місц.-районн.бюджет'!N10+обласний!N10+інші!N10</f>
        <v>2615.3999999999996</v>
      </c>
      <c r="O10" s="75">
        <f t="shared" si="2"/>
        <v>98.78753541076486</v>
      </c>
      <c r="P10" s="77">
        <f>'насел.'!P10+пільги!P10+субсидії!P10+'держ.бюджет'!P10+'місц.-районн.бюджет'!P10+обласний!P10+інші!P10</f>
        <v>944.3</v>
      </c>
      <c r="Q10" s="77">
        <f>'насел.'!Q10+пільги!Q10+субсидії!Q10+'держ.бюджет'!Q10+'місц.-районн.бюджет'!Q10+обласний!Q10+інші!Q10</f>
        <v>868.6999999999999</v>
      </c>
      <c r="R10" s="77">
        <f t="shared" si="3"/>
        <v>91.99406968124536</v>
      </c>
      <c r="S10" s="77">
        <f>'насел.'!S10+пільги!S10+субсидії!S10+'держ.бюджет'!S10+'місц.-районн.бюджет'!S10+обласний!S10+інші!S10</f>
        <v>956.1</v>
      </c>
      <c r="T10" s="77">
        <f>'насел.'!T10+пільги!T10+субсидії!T10+'держ.бюджет'!T10+'місц.-районн.бюджет'!T10+обласний!T10+інші!T10</f>
        <v>935.6</v>
      </c>
      <c r="U10" s="75">
        <f t="shared" si="4"/>
        <v>97.85587281665099</v>
      </c>
      <c r="V10" s="77">
        <f>'насел.'!V10+пільги!V10+субсидії!V10+'держ.бюджет'!V10+'місц.-районн.бюджет'!V10+обласний!V10+інші!V10</f>
        <v>876.7</v>
      </c>
      <c r="W10" s="77">
        <f>'насел.'!W10+пільги!W10+субсидії!W10+'держ.бюджет'!W10+'місц.-районн.бюджет'!W10+обласний!W10+інші!W10</f>
        <v>839.8000000000001</v>
      </c>
      <c r="X10" s="75">
        <f t="shared" si="5"/>
        <v>95.79103456142353</v>
      </c>
      <c r="Y10" s="77">
        <f>'насел.'!Y10+пільги!Y10+субсидії!Y10+'держ.бюджет'!Y10+'місц.-районн.бюджет'!Y10+обласний!Y10+інші!Y10</f>
        <v>2777.1</v>
      </c>
      <c r="Z10" s="77">
        <f>'насел.'!Z10+пільги!Z10+субсидії!Z10+'держ.бюджет'!Z10+'місц.-районн.бюджет'!Z10+обласний!Z10+інші!Z10</f>
        <v>2644.1000000000004</v>
      </c>
      <c r="AA10" s="75">
        <f t="shared" si="6"/>
        <v>95.21083144287208</v>
      </c>
      <c r="AB10" s="77">
        <f>'насел.'!AB10+пільги!AB10+субсидії!AB10+'держ.бюджет'!AB10+'місц.-районн.бюджет'!AB10+обласний!AB10+інші!AB10</f>
        <v>995.7</v>
      </c>
      <c r="AC10" s="77">
        <f>'насел.'!AC10+пільги!AC10+субсидії!AC10+'держ.бюджет'!AC10+'місц.-районн.бюджет'!AC10+обласний!AC10+інші!AC10</f>
        <v>1007.8</v>
      </c>
      <c r="AD10" s="75">
        <f t="shared" si="7"/>
        <v>101.21522546951893</v>
      </c>
      <c r="AE10" s="77">
        <f>'насел.'!AE10+пільги!AE10+субсидії!AE10+'держ.бюджет'!AE10+'місц.-районн.бюджет'!AE10+обласний!AE10+інші!AE10</f>
        <v>1013.8000000000001</v>
      </c>
      <c r="AF10" s="77">
        <f>'насел.'!AF10+пільги!AF10+субсидії!AF10+'держ.бюджет'!AF10+'місц.-районн.бюджет'!AF10+обласний!AF10+інші!AF10</f>
        <v>880.1</v>
      </c>
      <c r="AG10" s="75">
        <f t="shared" si="8"/>
        <v>86.81199447622805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9"/>
        <v>#DIV/0!</v>
      </c>
      <c r="AK10" s="37">
        <f>'насел.'!AK10+пільги!AK10+субсидії!AK10+'держ.бюджет'!AK10+'місц.-районн.бюджет'!AK10+обласний!AK10+інші!AK10</f>
        <v>2009.4999999999998</v>
      </c>
      <c r="AL10" s="77">
        <f>'насел.'!AL10+пільги!AK10+субсидії!AL10+'держ.бюджет'!AL10+'місц.-районн.бюджет'!AL10+обласний!AL10+інші!AL10</f>
        <v>1887.9</v>
      </c>
      <c r="AM10" s="77">
        <f t="shared" si="10"/>
        <v>93.94874346852453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7434.1</v>
      </c>
      <c r="AU10" s="77">
        <f>'насел.'!AU10+пільги!AU10+субсидії!AU10+'держ.бюджет'!AU10+'місц.-районн.бюджет'!AU10+обласний!AU10+інші!AU10</f>
        <v>7147.4</v>
      </c>
      <c r="AV10" s="75">
        <f t="shared" si="11"/>
        <v>96.14344708841688</v>
      </c>
      <c r="AW10" s="77">
        <f t="shared" si="13"/>
        <v>286.7000000000007</v>
      </c>
      <c r="AX10" s="110">
        <f>'насел.'!AX10+пільги!AX10+субсидії!AX10+'держ.бюджет'!AX10+'місц.-районн.бюджет'!AX10+обласний!AX10+інші!AX10</f>
        <v>1094.9000000000005</v>
      </c>
      <c r="AY10" s="104"/>
      <c r="AZ10" s="104"/>
      <c r="BA10" s="104"/>
      <c r="BB10" s="104"/>
    </row>
    <row r="11" spans="1:54" ht="34.5" customHeight="1">
      <c r="A11" s="30" t="s">
        <v>14</v>
      </c>
      <c r="B11" s="34" t="s">
        <v>172</v>
      </c>
      <c r="C11" s="77">
        <f>'насел.'!C11+пільги!C11+субсидії!C11+'держ.бюджет'!C11+'місц.-районн.бюджет'!C11+обласний!C11+інші!C11</f>
        <v>954</v>
      </c>
      <c r="D11" s="152">
        <f>'насел.'!D11+пільги!D11+субсидії!D11+'держ.бюджет'!D11+'місц.-районн.бюджет'!D11+обласний!D11+інші!D11</f>
        <v>521.3</v>
      </c>
      <c r="E11" s="152">
        <f>'насел.'!E11+пільги!E11+субсидії!E11+'держ.бюджет'!E11+'місц.-районн.бюджет'!E11+обласний!E11+інші!E11</f>
        <v>502.6</v>
      </c>
      <c r="F11" s="153">
        <f t="shared" si="0"/>
        <v>96.41281411854979</v>
      </c>
      <c r="G11" s="152">
        <f>'насел.'!G11+пільги!G11+субсидії!G11+'держ.бюджет'!G11+'місц.-районн.бюджет'!G11+обласний!G11+інші!G11</f>
        <v>417.70000000000005</v>
      </c>
      <c r="H11" s="152">
        <f>'насел.'!H11+пільги!H11+субсидії!H11+'держ.бюджет'!H11+'місц.-районн.бюджет'!H11+обласний!H11+інші!H11</f>
        <v>403.4</v>
      </c>
      <c r="I11" s="153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443.79999999999995</v>
      </c>
      <c r="K11" s="77">
        <f>'насел.'!K11+пільги!K11+субсидії!K11+'держ.бюджет'!K11+'місц.-районн.бюджет'!K11+обласний!K11+інші!K11</f>
        <v>442</v>
      </c>
      <c r="L11" s="153">
        <f t="shared" si="12"/>
        <v>99.59441189725102</v>
      </c>
      <c r="M11" s="153">
        <f>'насел.'!M11+пільги!M11+субсидії!M11+'держ.бюджет'!M11+'місц.-районн.бюджет'!M11+обласний!M11+інші!M11</f>
        <v>1382.8</v>
      </c>
      <c r="N11" s="153">
        <f>'насел.'!N11+пільги!N11+субсидії!N11+'держ.бюджет'!N11+'місц.-районн.бюджет'!N11+обласний!N11+інші!N11</f>
        <v>1347.9999999999998</v>
      </c>
      <c r="O11" s="153">
        <f t="shared" si="2"/>
        <v>97.48336708128433</v>
      </c>
      <c r="P11" s="152">
        <f>'насел.'!P11+пільги!P11+субсидії!P11+'держ.бюджет'!P11+'місц.-районн.бюджет'!P11+обласний!P11+інші!P11</f>
        <v>436.59999999999997</v>
      </c>
      <c r="Q11" s="152">
        <f>'насел.'!Q11+пільги!Q11+субсидії!Q11+'держ.бюджет'!Q11+'місц.-районн.бюджет'!Q11+обласний!Q11+інші!Q11</f>
        <v>437.9</v>
      </c>
      <c r="R11" s="77">
        <f t="shared" si="3"/>
        <v>100.29775538250114</v>
      </c>
      <c r="S11" s="152">
        <f>'насел.'!S11+пільги!S11+субсидії!S11+'держ.бюджет'!S11+'місц.-районн.бюджет'!S11+обласний!S11+інші!S11</f>
        <v>456.7</v>
      </c>
      <c r="T11" s="152">
        <f>'насел.'!T11+пільги!T11+субсидії!T11+'держ.бюджет'!T11+'місц.-районн.бюджет'!T11+обласний!T11+інші!T11</f>
        <v>438.7</v>
      </c>
      <c r="U11" s="153">
        <f t="shared" si="4"/>
        <v>96.05868184804028</v>
      </c>
      <c r="V11" s="152">
        <f>'насел.'!V11+пільги!V11+субсидії!V11+'держ.бюджет'!V11+'місц.-районн.бюджет'!V11+обласний!V11+інші!V11</f>
        <v>500.00000000000006</v>
      </c>
      <c r="W11" s="152">
        <f>'насел.'!W11+пільги!W11+субсидії!W11+'держ.бюджет'!W11+'місц.-районн.бюджет'!W11+обласний!W11+інші!W11</f>
        <v>480.1</v>
      </c>
      <c r="X11" s="153">
        <f t="shared" si="5"/>
        <v>96.02</v>
      </c>
      <c r="Y11" s="152">
        <f>'насел.'!Y11+пільги!Y11+субсидії!Y11+'держ.бюджет'!Y11+'місц.-районн.бюджет'!Y11+обласний!Y11+інші!Y11</f>
        <v>1393.3000000000002</v>
      </c>
      <c r="Z11" s="152">
        <f>'насел.'!Z11+пільги!Z11+субсидії!Z11+'держ.бюджет'!Z11+'місц.-районн.бюджет'!Z11+обласний!Z11+інші!Z11</f>
        <v>1356.7</v>
      </c>
      <c r="AA11" s="153">
        <f t="shared" si="6"/>
        <v>97.37314289815545</v>
      </c>
      <c r="AB11" s="152">
        <f>'насел.'!AB11+пільги!AB11+субсидії!AB11+'держ.бюджет'!AB11+'місц.-районн.бюджет'!AB11+обласний!AB11+інші!AB11</f>
        <v>501.5</v>
      </c>
      <c r="AC11" s="152">
        <f>'насел.'!AC11+пільги!AC11+субсидії!AC11+'держ.бюджет'!AC11+'місц.-районн.бюджет'!AC11+обласний!AC11+інші!AC11</f>
        <v>479.5</v>
      </c>
      <c r="AD11" s="153">
        <f t="shared" si="7"/>
        <v>95.61316051844466</v>
      </c>
      <c r="AE11" s="152">
        <f>'насел.'!AE11+пільги!AE11+субсидії!AE11+'держ.бюджет'!AE11+'місц.-районн.бюджет'!AE11+обласний!AE11+інші!AE11</f>
        <v>536.5999999999999</v>
      </c>
      <c r="AF11" s="152">
        <f>'насел.'!AF11+пільги!AF11+субсидії!AF11+'держ.бюджет'!AF11+'місц.-районн.бюджет'!AF11+обласний!AF11+інші!AF11</f>
        <v>567.5</v>
      </c>
      <c r="AG11" s="75">
        <f t="shared" si="8"/>
        <v>105.75847931420054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9"/>
        <v>#DIV/0!</v>
      </c>
      <c r="AK11" s="37">
        <f>'насел.'!AK11+пільги!AK11+субсидії!AK11+'держ.бюджет'!AK11+'місц.-районн.бюджет'!AK11+обласний!AK11+інші!AK11</f>
        <v>1038.1</v>
      </c>
      <c r="AL11" s="152">
        <f>'насел.'!AL11+пільги!AK11+субсидії!AL11+'держ.бюджет'!AL11+'місц.-районн.бюджет'!AL11+обласний!AL11+інші!AL11</f>
        <v>1047</v>
      </c>
      <c r="AM11" s="152">
        <f t="shared" si="10"/>
        <v>100.85733551680956</v>
      </c>
      <c r="AN11" s="37">
        <f>'насел.'!AN11+пільги!AN11+субсидії!AN11+'держ.бюджет'!AN11+'місц.-районн.бюджет'!AN11+обласний!AN11+інші!AN11</f>
        <v>0</v>
      </c>
      <c r="AO11" s="152">
        <f>'насел.'!AO11+пільги!AN11+субсидії!AO11+'держ.бюджет'!AO11+'місц.-районн.бюджет'!AO11+обласний!AO11+інші!AO11</f>
        <v>0</v>
      </c>
      <c r="AP11" s="152">
        <f>'насел.'!AP11+пільги!AO11+субсидії!AP11+'держ.бюджет'!AP11+'місц.-районн.бюджет'!AP11+обласний!AP11+інші!AP11</f>
        <v>0</v>
      </c>
      <c r="AQ11" s="152">
        <f>'насел.'!AQ11+пільги!AP11+субсидії!AQ11+'держ.бюджет'!AQ11+'місц.-районн.бюджет'!AQ11+обласний!AQ11+інші!AQ11</f>
        <v>0</v>
      </c>
      <c r="AR11" s="152">
        <f>'насел.'!AR11+пільги!AQ11+субсидії!AR11+'держ.бюджет'!AR11+'місц.-районн.бюджет'!AR11+обласний!AR11+інші!AR11</f>
        <v>0</v>
      </c>
      <c r="AS11" s="152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3814.2</v>
      </c>
      <c r="AU11" s="77">
        <f>'насел.'!AU11+пільги!AU11+субсидії!AU11+'держ.бюджет'!AU11+'місц.-районн.бюджет'!AU11+обласний!AU11+інші!AU11</f>
        <v>3751.7</v>
      </c>
      <c r="AV11" s="75">
        <f t="shared" si="11"/>
        <v>98.36138639819622</v>
      </c>
      <c r="AW11" s="77">
        <f t="shared" si="13"/>
        <v>62.5</v>
      </c>
      <c r="AX11" s="110">
        <f>'насел.'!AX11+пільги!AX11+субсидії!AX11+'держ.бюджет'!AX11+'місц.-районн.бюджет'!AX11+обласний!AX11+інші!AX11</f>
        <v>1016.5000000000005</v>
      </c>
      <c r="AY11" s="104"/>
      <c r="AZ11" s="104"/>
      <c r="BA11" s="104"/>
      <c r="BB11" s="104"/>
    </row>
    <row r="12" spans="1:54" ht="34.5" customHeight="1">
      <c r="A12" s="30" t="s">
        <v>17</v>
      </c>
      <c r="B12" s="34" t="s">
        <v>171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96.2</v>
      </c>
      <c r="K12" s="77">
        <f>'насел.'!K12+пільги!K12+субсидії!K12+'держ.бюджет'!K12+'місц.-районн.бюджет'!K12+обласний!K12+інші!K12</f>
        <v>58.699999999999996</v>
      </c>
      <c r="L12" s="75">
        <f t="shared" si="12"/>
        <v>61.018711018711016</v>
      </c>
      <c r="M12" s="75">
        <f>'насел.'!M12+пільги!M12+субсидії!M12+'держ.бюджет'!M12+'місц.-районн.бюджет'!M12+обласний!M12+інші!M12</f>
        <v>180.09999999999997</v>
      </c>
      <c r="N12" s="75">
        <f>'насел.'!N12+пільги!N12+субсидії!N12+'держ.бюджет'!N12+'місц.-районн.бюджет'!N12+обласний!N12+інші!N12</f>
        <v>135.29999999999998</v>
      </c>
      <c r="O12" s="75">
        <f t="shared" si="2"/>
        <v>75.12493059411437</v>
      </c>
      <c r="P12" s="77">
        <f>'насел.'!P12+пільги!P12+субсидії!P12+'держ.бюджет'!P12+'місц.-районн.бюджет'!P12+обласний!P12+інші!P12</f>
        <v>96.70000000000002</v>
      </c>
      <c r="Q12" s="77">
        <f>'насел.'!Q12+пільги!Q12+субсидії!Q12+'держ.бюджет'!Q12+'місц.-районн.бюджет'!Q12+обласний!Q12+інші!Q12</f>
        <v>89.8</v>
      </c>
      <c r="R12" s="77">
        <f t="shared" si="3"/>
        <v>92.86452947259563</v>
      </c>
      <c r="S12" s="77">
        <f>'насел.'!S12+пільги!S12+субсидії!S12+'держ.бюджет'!S12+'місц.-районн.бюджет'!S12+обласний!S12+інші!S12</f>
        <v>101.5</v>
      </c>
      <c r="T12" s="77">
        <f>'насел.'!T12+пільги!T12+субсидії!T12+'держ.бюджет'!T12+'місц.-районн.бюджет'!T12+обласний!T12+інші!T12</f>
        <v>88.6</v>
      </c>
      <c r="U12" s="75">
        <f t="shared" si="4"/>
        <v>87.29064039408865</v>
      </c>
      <c r="V12" s="77">
        <f>'насел.'!V12+пільги!V12+субсидії!V12+'держ.бюджет'!V12+'місц.-районн.бюджет'!V12+обласний!V12+інші!V12</f>
        <v>98.7</v>
      </c>
      <c r="W12" s="77">
        <f>'насел.'!W12+пільги!W12+субсидії!W12+'держ.бюджет'!W12+'місц.-районн.бюджет'!W12+обласний!W12+інші!W12</f>
        <v>92.9</v>
      </c>
      <c r="X12" s="75">
        <f t="shared" si="5"/>
        <v>94.12360688956434</v>
      </c>
      <c r="Y12" s="77">
        <f>'насел.'!Y12+пільги!Y12+субсидії!Y12+'держ.бюджет'!Y12+'місц.-районн.бюджет'!Y12+обласний!Y12+інші!Y12</f>
        <v>296.9</v>
      </c>
      <c r="Z12" s="77">
        <f>'насел.'!Z12+пільги!Z12+субсидії!Z12+'держ.бюджет'!Z12+'місц.-районн.бюджет'!Z12+обласний!Z12+інші!Z12</f>
        <v>271.3</v>
      </c>
      <c r="AA12" s="75">
        <f t="shared" si="6"/>
        <v>91.37756820478276</v>
      </c>
      <c r="AB12" s="77">
        <f>'насел.'!AB12+пільги!AB12+субсидії!AB12+'держ.бюджет'!AB12+'місц.-районн.бюджет'!AB12+обласний!AB12+інші!AB12</f>
        <v>130.5</v>
      </c>
      <c r="AC12" s="77">
        <f>'насел.'!AC12+пільги!AC12+субсидії!AC12+'держ.бюджет'!AC12+'місц.-районн.бюджет'!AC12+обласний!AC12+інші!AC12</f>
        <v>117.19999999999999</v>
      </c>
      <c r="AD12" s="75">
        <f t="shared" si="7"/>
        <v>89.80842911877393</v>
      </c>
      <c r="AE12" s="77">
        <f>'насел.'!AE12+пільги!AE12+субсидії!AE12+'держ.бюджет'!AE12+'місц.-районн.бюджет'!AE12+обласний!AE12+інші!AE12</f>
        <v>124</v>
      </c>
      <c r="AF12" s="77">
        <f>'насел.'!AF12+пільги!AF12+субсидії!AF12+'держ.бюджет'!AF12+'місц.-районн.бюджет'!AF12+обласний!AF12+інші!AF12</f>
        <v>103.89999999999999</v>
      </c>
      <c r="AG12" s="75">
        <f t="shared" si="8"/>
        <v>83.79032258064515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9"/>
        <v>#DIV/0!</v>
      </c>
      <c r="AK12" s="37">
        <f>'насел.'!AK12+пільги!AK12+субсидії!AK12+'держ.бюджет'!AK12+'місц.-районн.бюджет'!AK12+обласний!AK12+інші!AK12</f>
        <v>254.49999999999997</v>
      </c>
      <c r="AL12" s="77">
        <f>'насел.'!AL12+пільги!AK12+субсидії!AL12+'держ.бюджет'!AL12+'місц.-районн.бюджет'!AL12+обласний!AL12+інші!AL12</f>
        <v>221.09999999999997</v>
      </c>
      <c r="AM12" s="77">
        <f t="shared" si="10"/>
        <v>86.8762278978389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731.5</v>
      </c>
      <c r="AU12" s="77">
        <f>'насел.'!AU12+пільги!AU12+субсидії!AU12+'держ.бюджет'!AU12+'місц.-районн.бюджет'!AU12+обласний!AU12+інші!AU12</f>
        <v>627.7</v>
      </c>
      <c r="AV12" s="75">
        <f t="shared" si="11"/>
        <v>85.80997949419003</v>
      </c>
      <c r="AW12" s="77">
        <f t="shared" si="13"/>
        <v>103.79999999999995</v>
      </c>
      <c r="AX12" s="110">
        <f>'насел.'!AX12+пільги!AX12+субсидії!AX12+'держ.бюджет'!AX12+'місц.-районн.бюджет'!AX12+обласний!AX12+інші!AX12</f>
        <v>135.79999999999993</v>
      </c>
      <c r="AY12" s="104"/>
      <c r="AZ12" s="104"/>
      <c r="BA12" s="104"/>
      <c r="BB12" s="104"/>
    </row>
    <row r="13" spans="1:54" ht="34.5" customHeight="1">
      <c r="A13" s="30" t="s">
        <v>19</v>
      </c>
      <c r="B13" s="33" t="s">
        <v>155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484.50000000000006</v>
      </c>
      <c r="K13" s="77">
        <f>'насел.'!K13+пільги!K13+субсидії!K13+'держ.бюджет'!K13+'місц.-районн.бюджет'!K13+обласний!K13+інші!K13</f>
        <v>478.4</v>
      </c>
      <c r="L13" s="75">
        <f t="shared" si="12"/>
        <v>98.7409700722394</v>
      </c>
      <c r="M13" s="75">
        <f>'насел.'!M13+пільги!M13+субсидії!M13+'держ.бюджет'!M13+'місц.-районн.бюджет'!M13+обласний!M13+інші!M13</f>
        <v>1454.6999999999998</v>
      </c>
      <c r="N13" s="75">
        <f>'насел.'!N13+пільги!N13+субсидії!N13+'держ.бюджет'!N13+'місц.-районн.бюджет'!N13+обласний!N13+інші!N13</f>
        <v>1308.2</v>
      </c>
      <c r="O13" s="75">
        <f t="shared" si="2"/>
        <v>89.92919502302883</v>
      </c>
      <c r="P13" s="77">
        <f>'насел.'!P13+пільги!P13+субсидії!P13+'держ.бюджет'!P13+'місц.-районн.бюджет'!P13+обласний!P13+інші!P13</f>
        <v>481.90000000000003</v>
      </c>
      <c r="Q13" s="77">
        <f>'насел.'!Q13+пільги!Q13+субсидії!Q13+'держ.бюджет'!Q13+'місц.-районн.бюджет'!Q13+обласний!Q13+інші!Q13</f>
        <v>445.9</v>
      </c>
      <c r="R13" s="77">
        <f t="shared" si="3"/>
        <v>92.52957045030088</v>
      </c>
      <c r="S13" s="77">
        <f>'насел.'!S13+пільги!S13+субсидії!S13+'держ.бюджет'!S13+'місц.-районн.бюджет'!S13+обласний!S13+інші!S13</f>
        <v>465.29999999999995</v>
      </c>
      <c r="T13" s="77">
        <f>'насел.'!T13+пільги!T13+субсидії!T13+'держ.бюджет'!T13+'місц.-районн.бюджет'!T13+обласний!T13+інші!T13</f>
        <v>430.7</v>
      </c>
      <c r="U13" s="75">
        <f t="shared" si="4"/>
        <v>92.56393724478832</v>
      </c>
      <c r="V13" s="77">
        <f>'насел.'!V13+пільги!V13+субсидії!V13+'держ.бюджет'!V13+'місц.-районн.бюджет'!V13+обласний!V13+інші!V13</f>
        <v>498.2</v>
      </c>
      <c r="W13" s="77">
        <f>'насел.'!W13+пільги!W13+субсидії!W13+'держ.бюджет'!W13+'місц.-районн.бюджет'!W13+обласний!W13+інші!W13</f>
        <v>451.40000000000003</v>
      </c>
      <c r="X13" s="75">
        <f t="shared" si="5"/>
        <v>90.60618225612205</v>
      </c>
      <c r="Y13" s="77">
        <f>'насел.'!Y13+пільги!Y13+субсидії!Y13+'держ.бюджет'!Y13+'місц.-районн.бюджет'!Y13+обласний!Y13+інші!Y13</f>
        <v>1445.3999999999999</v>
      </c>
      <c r="Z13" s="77">
        <f>'насел.'!Z13+пільги!Z13+субсидії!Z13+'держ.бюджет'!Z13+'місц.-районн.бюджет'!Z13+обласний!Z13+інші!Z13</f>
        <v>1328</v>
      </c>
      <c r="AA13" s="75">
        <f t="shared" si="6"/>
        <v>91.87768091877682</v>
      </c>
      <c r="AB13" s="77">
        <f>'насел.'!AB13+пільги!AB13+субсидії!AB13+'держ.бюджет'!AB13+'місц.-районн.бюджет'!AB13+обласний!AB13+інші!AB13</f>
        <v>550.8</v>
      </c>
      <c r="AC13" s="77">
        <f>'насел.'!AC13+пільги!AC13+субсидії!AC13+'держ.бюджет'!AC13+'місц.-районн.бюджет'!AC13+обласний!AC13+інші!AC13</f>
        <v>509.6</v>
      </c>
      <c r="AD13" s="75">
        <f t="shared" si="7"/>
        <v>92.51997095134351</v>
      </c>
      <c r="AE13" s="77">
        <f>'насел.'!AE13+пільги!AE13+субсидії!AE13+'держ.бюджет'!AE13+'місц.-районн.бюджет'!AE13+обласний!AE13+інші!AE13</f>
        <v>504.9000000000001</v>
      </c>
      <c r="AF13" s="77">
        <f>'насел.'!AF13+пільги!AF13+субсидії!AF13+'держ.бюджет'!AF13+'місц.-районн.бюджет'!AF13+обласний!AF13+інші!AF13</f>
        <v>491.70000000000005</v>
      </c>
      <c r="AG13" s="75">
        <f t="shared" si="8"/>
        <v>97.38562091503266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9"/>
        <v>#DIV/0!</v>
      </c>
      <c r="AK13" s="37">
        <f>'насел.'!AK13+пільги!AK13+субсидії!AK13+'держ.бюджет'!AK13+'місц.-районн.бюджет'!AK13+обласний!AK13+інші!AK13</f>
        <v>1055.7</v>
      </c>
      <c r="AL13" s="77">
        <f>'насел.'!AL13+пільги!AK13+субсидії!AL13+'держ.бюджет'!AL13+'місц.-районн.бюджет'!AL13+обласний!AL13+інші!AL13</f>
        <v>1001.3</v>
      </c>
      <c r="AM13" s="77">
        <f t="shared" si="10"/>
        <v>94.84702093397745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3955.8</v>
      </c>
      <c r="AU13" s="77">
        <f>'насел.'!AU13+пільги!AU13+субсидії!AU13+'держ.бюджет'!AU13+'місц.-районн.бюджет'!AU13+обласний!AU13+інші!AU13</f>
        <v>3637.5</v>
      </c>
      <c r="AV13" s="75">
        <f t="shared" si="11"/>
        <v>91.9535871378735</v>
      </c>
      <c r="AW13" s="77">
        <f t="shared" si="13"/>
        <v>318.3000000000002</v>
      </c>
      <c r="AX13" s="110">
        <f>'насел.'!AX13+пільги!AX13+субсидії!AX13+'держ.бюджет'!AX13+'місц.-районн.бюджет'!AX13+обласний!AX13+інші!AX13</f>
        <v>618.8999999999994</v>
      </c>
      <c r="AY13" s="104"/>
      <c r="AZ13" s="104"/>
      <c r="BA13" s="104"/>
      <c r="BB13" s="104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9003.9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7482.9</v>
      </c>
      <c r="Q14" s="37">
        <f>'насел.'!Q14+пільги!Q14+субсидії!Q14+'держ.бюджет'!Q14+'місц.-районн.бюджет'!Q14+обласний!Q14+інші!Q14</f>
        <v>7130</v>
      </c>
      <c r="R14" s="37">
        <f t="shared" si="3"/>
        <v>95.28391399056517</v>
      </c>
      <c r="S14" s="37">
        <f>'насел.'!S14+пільги!S14+субсидії!S14+'держ.бюджет'!S14+'місц.-районн.бюджет'!S14+обласний!S14+інші!S14</f>
        <v>7780.5</v>
      </c>
      <c r="T14" s="37">
        <f>'насел.'!T14+пільги!T14+субсидії!T14+'держ.бюджет'!T14+'місц.-районн.бюджет'!T14+обласний!T14+інші!T14</f>
        <v>7145.5</v>
      </c>
      <c r="U14" s="38">
        <f t="shared" si="4"/>
        <v>91.83857078593921</v>
      </c>
      <c r="V14" s="37">
        <f>'насел.'!V14+пільги!V14+субсидії!V14+'держ.бюджет'!V14+'місц.-районн.бюджет'!V14+обласний!V14+інші!V14</f>
        <v>7666.000000000001</v>
      </c>
      <c r="W14" s="37">
        <f>'насел.'!W14+пільги!W14+субсидії!W14+'держ.бюджет'!W14+'місц.-районн.бюджет'!W14+обласний!W14+інші!W14</f>
        <v>7358.4</v>
      </c>
      <c r="X14" s="38">
        <f t="shared" si="5"/>
        <v>95.98747717192798</v>
      </c>
      <c r="Y14" s="37">
        <f>'насел.'!Y14+пільги!Y14+субсидії!Y14+'держ.бюджет'!Y14+'місц.-районн.бюджет'!Y14+обласний!Y14+інші!Y14</f>
        <v>22929.4</v>
      </c>
      <c r="Z14" s="37">
        <f>'насел.'!Z14+пільги!Z14+субсидії!Z14+'держ.бюджет'!Z14+'місц.-районн.бюджет'!Z14+обласний!Z14+інші!Z14</f>
        <v>21633.9</v>
      </c>
      <c r="AA14" s="38">
        <f t="shared" si="6"/>
        <v>94.35004840946559</v>
      </c>
      <c r="AB14" s="37">
        <f>'насел.'!AB14+пільги!AB14+субсидії!AB14+'держ.бюджет'!AB14+'місц.-районн.бюджет'!AB14+обласний!AB14+інші!AB14</f>
        <v>8109.4</v>
      </c>
      <c r="AC14" s="37">
        <f>'насел.'!AC14+пільги!AC14+субсидії!AC14+'держ.бюджет'!AC14+'місц.-районн.бюджет'!AC14+обласний!AC14+інші!AC14</f>
        <v>8082.000000000001</v>
      </c>
      <c r="AD14" s="38">
        <f t="shared" si="7"/>
        <v>99.66212050213335</v>
      </c>
      <c r="AE14" s="37">
        <f>'насел.'!AE14+пільги!AE14+субсидії!AE14+'держ.бюджет'!AE14+'місц.-районн.бюджет'!AE14+обласний!AE14+інші!AE14</f>
        <v>8186.100000000002</v>
      </c>
      <c r="AF14" s="37">
        <f>'насел.'!AF14+пільги!AF14+субсидії!AF14+'держ.бюджет'!AF14+'місц.-районн.бюджет'!AF14+обласний!AF14+інші!AF14</f>
        <v>7913.2</v>
      </c>
      <c r="AG14" s="38">
        <f t="shared" si="8"/>
        <v>96.6663001917885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16295.500000000002</v>
      </c>
      <c r="AL14" s="37">
        <f>'насел.'!AL14+пільги!AK14+субсидії!AL14+'держ.бюджет'!AL14+'місц.-районн.бюджет'!AL14+обласний!AL14+інші!AL14</f>
        <v>15995.2</v>
      </c>
      <c r="AM14" s="37">
        <f t="shared" si="10"/>
        <v>98.15715995213402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60984.200000000004</v>
      </c>
      <c r="AU14" s="37">
        <f>'насел.'!AU14+пільги!AU14+субсидії!AU14+'держ.бюджет'!AU14+'місц.-районн.бюджет'!AU14+обласний!AU14+інші!AU14</f>
        <v>57803.100000000006</v>
      </c>
      <c r="AV14" s="38">
        <f t="shared" si="11"/>
        <v>94.78373086799532</v>
      </c>
      <c r="AW14" s="37">
        <f t="shared" si="13"/>
        <v>3181.0999999999985</v>
      </c>
      <c r="AX14" s="110">
        <f>'насел.'!AX14+пільги!AX14+субсидії!AX14+'держ.бюджет'!AX14+'місц.-районн.бюджет'!AX14+обласний!AX14+інші!AX14</f>
        <v>12185</v>
      </c>
      <c r="AY14" s="109"/>
      <c r="AZ14" s="109"/>
      <c r="BA14" s="109"/>
      <c r="BB14" s="109"/>
    </row>
    <row r="15" spans="1:54" ht="34.5" customHeight="1">
      <c r="A15" s="30" t="s">
        <v>2</v>
      </c>
      <c r="B15" s="33" t="s">
        <v>152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3129.6000000000004</v>
      </c>
      <c r="K15" s="77">
        <f>'насел.'!K15+пільги!K15+субсидії!K15+'держ.бюджет'!K15+'місц.-районн.бюджет'!K15+обласний!K15+інші!K15</f>
        <v>3441.9</v>
      </c>
      <c r="L15" s="75">
        <f t="shared" si="12"/>
        <v>109.97891104294477</v>
      </c>
      <c r="M15" s="75">
        <f>'насел.'!M15+пільги!M15+субсидії!M15+'держ.бюджет'!M15+'місц.-районн.бюджет'!M15+обласний!M15+інші!M15</f>
        <v>9513.5</v>
      </c>
      <c r="N15" s="75">
        <f>'насел.'!N15+пільги!N15+субсидії!N15+'держ.бюджет'!N15+'місц.-районн.бюджет'!N15+обласний!N15+інші!N15</f>
        <v>9219.1</v>
      </c>
      <c r="O15" s="75">
        <f t="shared" si="2"/>
        <v>96.90545014978716</v>
      </c>
      <c r="P15" s="77">
        <f>'насел.'!P15+пільги!P15+субсидії!P15+'держ.бюджет'!P15+'місц.-районн.бюджет'!P15+обласний!P15+інші!P15</f>
        <v>3168</v>
      </c>
      <c r="Q15" s="77">
        <f>'насел.'!Q15+пільги!Q15+субсидії!Q15+'держ.бюджет'!Q15+'місц.-районн.бюджет'!Q15+обласний!Q15+інші!Q15</f>
        <v>2923.4</v>
      </c>
      <c r="R15" s="77">
        <f t="shared" si="3"/>
        <v>92.2790404040404</v>
      </c>
      <c r="S15" s="77">
        <f>'насел.'!S15+пільги!S15+субсидії!S15+'держ.бюджет'!S15+'місц.-районн.бюджет'!S15+обласний!S15+інші!S15</f>
        <v>3249.7000000000003</v>
      </c>
      <c r="T15" s="77">
        <f>'насел.'!T15+пільги!T15+субсидії!T15+'держ.бюджет'!T15+'місц.-районн.бюджет'!T15+обласний!T15+інші!T15</f>
        <v>2997.4</v>
      </c>
      <c r="U15" s="75">
        <f t="shared" si="4"/>
        <v>92.23620641905406</v>
      </c>
      <c r="V15" s="77">
        <f>'насел.'!V15+пільги!V15+субсидії!V15+'держ.бюджет'!V15+'місц.-районн.бюджет'!V15+обласний!V15+інші!V15</f>
        <v>3177.6000000000004</v>
      </c>
      <c r="W15" s="77">
        <f>'насел.'!W15+пільги!W15+субсидії!W15+'держ.бюджет'!W15+'місц.-районн.бюджет'!W15+обласний!W15+інші!W15</f>
        <v>3175.3</v>
      </c>
      <c r="X15" s="75">
        <f t="shared" si="5"/>
        <v>99.92761832829808</v>
      </c>
      <c r="Y15" s="77">
        <f>'насел.'!Y15+пільги!Y15+субсидії!Y15+'держ.бюджет'!Y15+'місц.-районн.бюджет'!Y15+обласний!Y15+інші!Y15</f>
        <v>9595.3</v>
      </c>
      <c r="Z15" s="77">
        <f>'насел.'!Z15+пільги!Z15+субсидії!Z15+'держ.бюджет'!Z15+'місц.-районн.бюджет'!Z15+обласний!Z15+інші!Z15</f>
        <v>9096.1</v>
      </c>
      <c r="AA15" s="75">
        <f t="shared" si="6"/>
        <v>94.7974529196586</v>
      </c>
      <c r="AB15" s="77">
        <f>'насел.'!AB15+пільги!AB15+субсидії!AB15+'держ.бюджет'!AB15+'місц.-районн.бюджет'!AB15+обласний!AB15+інші!AB15</f>
        <v>3426.4000000000005</v>
      </c>
      <c r="AC15" s="77">
        <f>'насел.'!AC15+пільги!AC15+субсидії!AC15+'держ.бюджет'!AC15+'місц.-районн.бюджет'!AC15+обласний!AC15+інші!AC15</f>
        <v>3339.5</v>
      </c>
      <c r="AD15" s="75">
        <f t="shared" si="7"/>
        <v>97.46381041326173</v>
      </c>
      <c r="AE15" s="77">
        <f>'насел.'!AE15+пільги!AE15+субсидії!AE15+'держ.бюджет'!AE15+'місц.-районн.бюджет'!AE15+обласний!AE15+інші!AE15</f>
        <v>3448.5</v>
      </c>
      <c r="AF15" s="77">
        <f>'насел.'!AF15+пільги!AF15+субсидії!AF15+'держ.бюджет'!AF15+'місц.-районн.бюджет'!AF15+обласний!AF15+інші!AF15</f>
        <v>3389.3999999999996</v>
      </c>
      <c r="AG15" s="75">
        <f t="shared" si="8"/>
        <v>98.28621139625923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9"/>
        <v>#DIV/0!</v>
      </c>
      <c r="AK15" s="37">
        <f>'насел.'!AK15+пільги!AK15+субсидії!AK15+'держ.бюджет'!AK15+'місц.-районн.бюджет'!AK15+обласний!AK15+інші!AK15</f>
        <v>6874.900000000001</v>
      </c>
      <c r="AL15" s="77">
        <f>'насел.'!AL15+пільги!AK15+субсидії!AL15+'держ.бюджет'!AL15+'місц.-районн.бюджет'!AL15+обласний!AL15+інші!AL15</f>
        <v>6728.9000000000015</v>
      </c>
      <c r="AM15" s="77">
        <f t="shared" si="10"/>
        <v>97.87633274665815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25983.7</v>
      </c>
      <c r="AU15" s="77">
        <f>'насел.'!AU15+пільги!AU15+субсидії!AU15+'держ.бюджет'!AU15+'місц.-районн.бюджет'!AU15+обласний!AU15+інші!AU15</f>
        <v>25044.100000000002</v>
      </c>
      <c r="AV15" s="75">
        <f t="shared" si="11"/>
        <v>96.3838868213534</v>
      </c>
      <c r="AW15" s="77">
        <f t="shared" si="13"/>
        <v>939.5999999999985</v>
      </c>
      <c r="AX15" s="110">
        <f>'насел.'!AX15+пільги!AX15+субсидії!AX15+'держ.бюджет'!AX15+'місц.-районн.бюджет'!AX15+обласний!AX15+інші!AX15</f>
        <v>4045.1000000000004</v>
      </c>
      <c r="AY15" s="104"/>
      <c r="AZ15" s="104"/>
      <c r="BA15" s="104"/>
      <c r="BB15" s="104"/>
    </row>
    <row r="16" spans="1:54" ht="34.5" customHeight="1">
      <c r="A16" s="30" t="s">
        <v>3</v>
      </c>
      <c r="B16" s="71" t="s">
        <v>138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360.0999999999999</v>
      </c>
      <c r="K16" s="77">
        <f>'насел.'!K16+пільги!K16+субсидії!K16+'держ.бюджет'!K16+'місц.-районн.бюджет'!K16+обласний!K16+інші!K16</f>
        <v>348.5</v>
      </c>
      <c r="L16" s="75">
        <f t="shared" si="12"/>
        <v>96.77867259094698</v>
      </c>
      <c r="M16" s="75">
        <f>'насел.'!M16+пільги!M16+субсидії!M16+'держ.бюджет'!M16+'місц.-районн.бюджет'!M16+обласний!M16+інші!M16</f>
        <v>1075.4</v>
      </c>
      <c r="N16" s="75">
        <f>'насел.'!N16+пільги!N16+субсидії!N16+'держ.бюджет'!N16+'місц.-районн.бюджет'!N16+обласний!N16+інші!N16</f>
        <v>996.8</v>
      </c>
      <c r="O16" s="75">
        <f t="shared" si="2"/>
        <v>92.6910916868142</v>
      </c>
      <c r="P16" s="77">
        <f>'насел.'!P16+пільги!P16+субсидії!P16+'держ.бюджет'!P16+'місц.-районн.бюджет'!P16+обласний!P16+інші!P16</f>
        <v>363.1</v>
      </c>
      <c r="Q16" s="77">
        <f>'насел.'!Q16+пільги!Q16+субсидії!Q16+'держ.бюджет'!Q16+'місц.-районн.бюджет'!Q16+обласний!Q16+інші!Q16</f>
        <v>354.40000000000003</v>
      </c>
      <c r="R16" s="77">
        <f t="shared" si="3"/>
        <v>97.60396584962821</v>
      </c>
      <c r="S16" s="77">
        <f>'насел.'!S16+пільги!S16+субсидії!S16+'держ.бюджет'!S16+'місц.-районн.бюджет'!S16+обласний!S16+інші!S16</f>
        <v>356.6</v>
      </c>
      <c r="T16" s="77">
        <f>'насел.'!T16+пільги!T16+субсидії!T16+'держ.бюджет'!T16+'місц.-районн.бюджет'!T16+обласний!T16+інші!T16</f>
        <v>344.50000000000006</v>
      </c>
      <c r="U16" s="75">
        <f t="shared" si="4"/>
        <v>96.60684240044868</v>
      </c>
      <c r="V16" s="77">
        <f>'насел.'!V16+пільги!V16+субсидії!V16+'держ.бюджет'!V16+'місц.-районн.бюджет'!V16+обласний!V16+інші!V16</f>
        <v>379.5</v>
      </c>
      <c r="W16" s="77">
        <f>'насел.'!W16+пільги!W16+субсидії!W16+'держ.бюджет'!W16+'місц.-районн.бюджет'!W16+обласний!W16+інші!W16</f>
        <v>332.29999999999995</v>
      </c>
      <c r="X16" s="75">
        <f t="shared" si="5"/>
        <v>87.56258234519103</v>
      </c>
      <c r="Y16" s="77">
        <f>'насел.'!Y16+пільги!Y16+субсидії!Y16+'держ.бюджет'!Y16+'місц.-районн.бюджет'!Y16+обласний!Y16+інші!Y16</f>
        <v>1099.2</v>
      </c>
      <c r="Z16" s="77">
        <f>'насел.'!Z16+пільги!Z16+субсидії!Z16+'держ.бюджет'!Z16+'місц.-районн.бюджет'!Z16+обласний!Z16+інші!Z16</f>
        <v>1031.1999999999998</v>
      </c>
      <c r="AA16" s="75">
        <f t="shared" si="6"/>
        <v>93.81368267831148</v>
      </c>
      <c r="AB16" s="77">
        <f>'насел.'!AB16+пільги!AB16+субсидії!AB16+'держ.бюджет'!AB16+'місц.-районн.бюджет'!AB16+обласний!AB16+інші!AB16</f>
        <v>386.80000000000007</v>
      </c>
      <c r="AC16" s="77">
        <f>'насел.'!AC16+пільги!AC16+субсидії!AC16+'держ.бюджет'!AC16+'місц.-районн.бюджет'!AC16+обласний!AC16+інші!AC16</f>
        <v>375.40000000000003</v>
      </c>
      <c r="AD16" s="75">
        <f t="shared" si="7"/>
        <v>97.05274043433299</v>
      </c>
      <c r="AE16" s="77">
        <f>'насел.'!AE16+пільги!AE16+субсидії!AE16+'держ.бюджет'!AE16+'місц.-районн.бюджет'!AE16+обласний!AE16+інші!AE16</f>
        <v>386.8</v>
      </c>
      <c r="AF16" s="77">
        <f>'насел.'!AF16+пільги!AF16+субсидії!AF16+'держ.бюджет'!AF16+'місц.-районн.бюджет'!AF16+обласний!AF16+інші!AF16</f>
        <v>379.70000000000005</v>
      </c>
      <c r="AG16" s="75">
        <f t="shared" si="8"/>
        <v>98.16442605997932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9"/>
        <v>#DIV/0!</v>
      </c>
      <c r="AK16" s="37">
        <f>'насел.'!AK16+пільги!AK16+субсидії!AK16+'держ.бюджет'!AK16+'місц.-районн.бюджет'!AK16+обласний!AK16+інші!AK16</f>
        <v>773.6</v>
      </c>
      <c r="AL16" s="77">
        <f>'насел.'!AL16+пільги!AK16+субсидії!AL16+'держ.бюджет'!AL16+'місц.-районн.бюджет'!AL16+обласний!AL16+інші!AL16</f>
        <v>755.1</v>
      </c>
      <c r="AM16" s="77">
        <f t="shared" si="10"/>
        <v>97.60858324715616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2948.2</v>
      </c>
      <c r="AU16" s="77">
        <f>'насел.'!AU16+пільги!AU16+субсидії!AU16+'держ.бюджет'!AU16+'місц.-районн.бюджет'!AU16+обласний!AU16+інші!AU16</f>
        <v>2783.0999999999995</v>
      </c>
      <c r="AV16" s="75">
        <f t="shared" si="11"/>
        <v>94.39997286479884</v>
      </c>
      <c r="AW16" s="77">
        <f t="shared" si="13"/>
        <v>165.10000000000036</v>
      </c>
      <c r="AX16" s="110">
        <f>'насел.'!AX16+пільги!AX16+субсидії!AX16+'держ.бюджет'!AX16+'місц.-районн.бюджет'!AX16+обласний!AX16+інші!AX16</f>
        <v>664.7</v>
      </c>
      <c r="AY16" s="104">
        <f>547.2+117.8</f>
        <v>665</v>
      </c>
      <c r="AZ16" s="104"/>
      <c r="BA16" s="104"/>
      <c r="BB16" s="104"/>
    </row>
    <row r="17" spans="1:54" s="113" customFormat="1" ht="34.5" customHeight="1">
      <c r="A17" s="112" t="s">
        <v>6</v>
      </c>
      <c r="B17" s="33" t="s">
        <v>151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460.09999999999997</v>
      </c>
      <c r="K17" s="77">
        <f>'насел.'!K17+пільги!K17+субсидії!K17+'держ.бюджет'!K17+'місц.-районн.бюджет'!K17+обласний!K17+інші!K17</f>
        <v>494.7</v>
      </c>
      <c r="L17" s="76">
        <f t="shared" si="12"/>
        <v>107.52010432514672</v>
      </c>
      <c r="M17" s="75">
        <f>'насел.'!M17+пільги!M17+субсидії!M17+'держ.бюджет'!M17+'місц.-районн.бюджет'!M17+обласний!M17+інші!M17</f>
        <v>1381.5000000000002</v>
      </c>
      <c r="N17" s="75">
        <f>'насел.'!N17+пільги!N17+субсидії!N17+'держ.бюджет'!N17+'місц.-районн.бюджет'!N17+обласний!N17+інші!N17</f>
        <v>1240.6</v>
      </c>
      <c r="O17" s="75">
        <f t="shared" si="2"/>
        <v>89.80094100615271</v>
      </c>
      <c r="P17" s="77">
        <f>'насел.'!P17+пільги!P17+субсидії!P17+'держ.бюджет'!P17+'місц.-районн.бюджет'!P17+обласний!P17+інші!P17</f>
        <v>454.59999999999997</v>
      </c>
      <c r="Q17" s="77">
        <f>'насел.'!Q17+пільги!Q17+субсидії!Q17+'держ.бюджет'!Q17+'місц.-районн.бюджет'!Q17+обласний!Q17+інші!Q17</f>
        <v>435.2</v>
      </c>
      <c r="R17" s="77">
        <f t="shared" si="3"/>
        <v>95.73251209854818</v>
      </c>
      <c r="S17" s="77">
        <f>'насел.'!S17+пільги!S17+субсидії!S17+'держ.бюджет'!S17+'місц.-районн.бюджет'!S17+обласний!S17+інші!S17</f>
        <v>398.59999999999997</v>
      </c>
      <c r="T17" s="77">
        <f>'насел.'!T17+пільги!T17+субсидії!T17+'держ.бюджет'!T17+'місц.-районн.бюджет'!T17+обласний!T17+інші!T17</f>
        <v>384.7</v>
      </c>
      <c r="U17" s="118">
        <f t="shared" si="4"/>
        <v>96.51279478173608</v>
      </c>
      <c r="V17" s="77">
        <f>'насел.'!V17+пільги!V17+субсидії!V17+'держ.бюджет'!V17+'місц.-районн.бюджет'!V17+обласний!V17+інші!V17</f>
        <v>435.29999999999995</v>
      </c>
      <c r="W17" s="77">
        <f>'насел.'!W17+пільги!W17+субсидії!W17+'держ.бюджет'!W17+'місц.-районн.бюджет'!W17+обласний!W17+інші!W17</f>
        <v>427.8</v>
      </c>
      <c r="X17" s="118">
        <f t="shared" si="5"/>
        <v>98.27705031013096</v>
      </c>
      <c r="Y17" s="77">
        <f>'насел.'!Y17+пільги!Y17+субсидії!Y17+'держ.бюджет'!Y17+'місц.-районн.бюджет'!Y17+обласний!Y17+інші!Y17</f>
        <v>1288.5000000000002</v>
      </c>
      <c r="Z17" s="77">
        <f>'насел.'!Z17+пільги!Z17+субсидії!Z17+'держ.бюджет'!Z17+'місц.-районн.бюджет'!Z17+обласний!Z17+інші!Z17</f>
        <v>1247.7</v>
      </c>
      <c r="AA17" s="75">
        <f t="shared" si="6"/>
        <v>96.8335273573923</v>
      </c>
      <c r="AB17" s="77">
        <f>'насел.'!AB17+пільги!AB17+субсидії!AB17+'держ.бюджет'!AB17+'місц.-районн.бюджет'!AB17+обласний!AB17+інші!AB17</f>
        <v>499.79999999999995</v>
      </c>
      <c r="AC17" s="77">
        <f>'насел.'!AC17+пільги!AC17+субсидії!AC17+'держ.бюджет'!AC17+'місц.-районн.бюджет'!AC17+обласний!AC17+інші!AC17</f>
        <v>485.6</v>
      </c>
      <c r="AD17" s="118">
        <f t="shared" si="7"/>
        <v>97.15886354541819</v>
      </c>
      <c r="AE17" s="77">
        <f>'насел.'!AE17+пільги!AE17+субсидії!AE17+'держ.бюджет'!AE17+'місц.-районн.бюджет'!AE17+обласний!AE17+інші!AE17</f>
        <v>470.5</v>
      </c>
      <c r="AF17" s="77">
        <f>'насел.'!AF17+пільги!AF17+субсидії!AF17+'держ.бюджет'!AF17+'місц.-районн.бюджет'!AF17+обласний!AF17+інші!AF17</f>
        <v>467.99999999999994</v>
      </c>
      <c r="AG17" s="75">
        <f t="shared" si="8"/>
        <v>99.46865037194472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9"/>
        <v>#DIV/0!</v>
      </c>
      <c r="AK17" s="37">
        <f>'насел.'!AK17+пільги!AK17+субсидії!AK17+'держ.бюджет'!AK17+'місц.-районн.бюджет'!AK17+обласний!AK17+інші!AK17</f>
        <v>970.3</v>
      </c>
      <c r="AL17" s="77">
        <f>'насел.'!AL17+пільги!AK17+субсидії!AL17+'держ.бюджет'!AL17+'місц.-районн.бюджет'!AL17+обласний!AL17+інші!AL17</f>
        <v>953.5999999999999</v>
      </c>
      <c r="AM17" s="77">
        <f t="shared" si="10"/>
        <v>98.27888281974646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3640.3000000000006</v>
      </c>
      <c r="AU17" s="77">
        <f>'насел.'!AU17+пільги!AU17+субсидії!AU17+'держ.бюджет'!AU17+'місц.-районн.бюджет'!AU17+обласний!AU17+інші!AU17</f>
        <v>3441.8999999999996</v>
      </c>
      <c r="AV17" s="75">
        <f t="shared" si="11"/>
        <v>94.54989973353842</v>
      </c>
      <c r="AW17" s="77">
        <f t="shared" si="13"/>
        <v>198.400000000001</v>
      </c>
      <c r="AX17" s="110">
        <f>'насел.'!AX17+пільги!AX17+субсидії!AX17+'держ.бюджет'!AX17+'місц.-районн.бюджет'!AX17+обласний!AX17+інші!AX17</f>
        <v>771.5000000000007</v>
      </c>
      <c r="AY17" s="104"/>
      <c r="AZ17" s="104"/>
      <c r="BA17" s="104"/>
      <c r="BB17" s="104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ht="34.5" customHeight="1">
      <c r="A19" s="30" t="s">
        <v>2</v>
      </c>
      <c r="B19" s="33" t="s">
        <v>144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3404.7999999999997</v>
      </c>
      <c r="K19" s="77">
        <f>'насел.'!K19+пільги!K19+субсидії!K19+'держ.бюджет'!K19+'місц.-районн.бюджет'!K19+обласний!K19+інші!K19</f>
        <v>3197.6000000000004</v>
      </c>
      <c r="L19" s="75">
        <f aca="true" t="shared" si="16" ref="L19:L31">K19/J19*100</f>
        <v>93.91447368421055</v>
      </c>
      <c r="M19" s="75">
        <f>'насел.'!M19+пільги!M19+субсидії!M19+'держ.бюджет'!M19+'місц.-районн.бюджет'!M19+обласний!M19+інші!M19</f>
        <v>9492.400000000001</v>
      </c>
      <c r="N19" s="75">
        <f>'насел.'!N19+пільги!N19+субсидії!N19+'держ.бюджет'!N19+'місц.-районн.бюджет'!N19+обласний!N19+інші!N19</f>
        <v>8444.5</v>
      </c>
      <c r="O19" s="75">
        <f aca="true" t="shared" si="17" ref="O19:O31">N19/M19*100</f>
        <v>88.96064219796888</v>
      </c>
      <c r="P19" s="77">
        <f>'насел.'!P19+пільги!P19+субсидії!P19+'держ.бюджет'!P19+'місц.-районн.бюджет'!P19+обласний!P19+інші!P19</f>
        <v>3385.6</v>
      </c>
      <c r="Q19" s="77">
        <f>'насел.'!Q19+пільги!Q19+субсидії!Q19+'держ.бюджет'!Q19+'місц.-районн.бюджет'!Q19+обласний!Q19+інші!Q19</f>
        <v>3306.3999999999996</v>
      </c>
      <c r="R19" s="77">
        <f aca="true" t="shared" si="18" ref="R19:R31">Q19/P19*100</f>
        <v>97.66068052930056</v>
      </c>
      <c r="S19" s="77">
        <f>'насел.'!S19+пільги!S19+субсидії!S19+'держ.бюджет'!S19+'місц.-районн.бюджет'!S19+обласний!S19+інші!S19</f>
        <v>3641.2000000000003</v>
      </c>
      <c r="T19" s="77">
        <f>'насел.'!T19+пільги!T19+субсидії!T19+'держ.бюджет'!T19+'місц.-районн.бюджет'!T19+обласний!T19+інші!T19</f>
        <v>3288.1</v>
      </c>
      <c r="U19" s="75">
        <f aca="true" t="shared" si="19" ref="U19:U31">T19/S19*100</f>
        <v>90.30264747885312</v>
      </c>
      <c r="V19" s="77">
        <f>'насел.'!V19+пільги!V19+субсидії!V19+'держ.бюджет'!V19+'місц.-районн.бюджет'!V19+обласний!V19+інші!V19</f>
        <v>3538.6</v>
      </c>
      <c r="W19" s="77">
        <f>'насел.'!W19+пільги!W19+субсидії!W19+'держ.бюджет'!W19+'місц.-районн.бюджет'!W19+обласний!W19+інші!W19</f>
        <v>3293.8</v>
      </c>
      <c r="X19" s="75">
        <f aca="true" t="shared" si="20" ref="X19:X31">W19/V19*100</f>
        <v>93.0820098343978</v>
      </c>
      <c r="Y19" s="77">
        <f>'насел.'!Y19+пільги!Y19+субсидії!Y19+'держ.бюджет'!Y19+'місц.-районн.бюджет'!Y19+обласний!Y19+інші!Y19</f>
        <v>10565.4</v>
      </c>
      <c r="Z19" s="77">
        <f>'насел.'!Z19+пільги!Z19+субсидії!Z19+'держ.бюджет'!Z19+'місц.-районн.бюджет'!Z19+обласний!Z19+інші!Z19</f>
        <v>9888.3</v>
      </c>
      <c r="AA19" s="75">
        <f aca="true" t="shared" si="21" ref="AA19:AA31">Z19/Y19*100</f>
        <v>93.59134533477199</v>
      </c>
      <c r="AB19" s="77">
        <f>'насел.'!AB19+пільги!AB19+субсидії!AB19+'держ.бюджет'!AB19+'місц.-районн.бюджет'!AB19+обласний!AB19+інші!AB19</f>
        <v>3677.7000000000003</v>
      </c>
      <c r="AC19" s="77">
        <f>'насел.'!AC19+пільги!AC19+субсидії!AC19+'держ.бюджет'!AC19+'місц.-районн.бюджет'!AC19+обласний!AC19+інші!AC19</f>
        <v>3749.1999999999994</v>
      </c>
      <c r="AD19" s="75">
        <f aca="true" t="shared" si="22" ref="AD19:AD31">AC19/AB19*100</f>
        <v>101.94414987628136</v>
      </c>
      <c r="AE19" s="77">
        <f>'насел.'!AE19+пільги!AE19+субсидії!AE19+'держ.бюджет'!AE19+'місц.-районн.бюджет'!AE19+обласний!AE19+інші!AE19</f>
        <v>3842.2000000000003</v>
      </c>
      <c r="AF19" s="77">
        <f>'насел.'!AF19+пільги!AF19+субсидії!AF19+'держ.бюджет'!AF19+'місц.-районн.бюджет'!AF19+обласний!AF19+інші!AF19</f>
        <v>3631.6</v>
      </c>
      <c r="AG19" s="75">
        <f aca="true" t="shared" si="23" ref="AG19:AG31">AF19/AE19*100</f>
        <v>94.51876529071885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7519.900000000001</v>
      </c>
      <c r="AL19" s="77">
        <f>'насел.'!AL19+пільги!AK19+субсидії!AL19+'держ.бюджет'!AL19+'місц.-районн.бюджет'!AL19+обласний!AL19+інші!AL19</f>
        <v>7380.8</v>
      </c>
      <c r="AM19" s="77">
        <f aca="true" t="shared" si="25" ref="AM19:AM31">AL19/AK19*100</f>
        <v>98.15024135959254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27577.7</v>
      </c>
      <c r="AU19" s="77">
        <f>'насел.'!AU19+пільги!AU19+субсидії!AU19+'держ.бюджет'!AU19+'місц.-районн.бюджет'!AU19+обласний!AU19+інші!AU19</f>
        <v>25713.600000000002</v>
      </c>
      <c r="AV19" s="75">
        <f aca="true" t="shared" si="26" ref="AV19:AV31">AU19/AT19*100</f>
        <v>93.24055305554852</v>
      </c>
      <c r="AW19" s="77">
        <f t="shared" si="13"/>
        <v>1864.0999999999985</v>
      </c>
      <c r="AX19" s="110">
        <f>'насел.'!AX19+пільги!AX19+субсидії!AX19+'держ.бюджет'!AX19+'місц.-районн.бюджет'!AX19+обласний!AX19+інші!AX19</f>
        <v>6625.499999999998</v>
      </c>
      <c r="AY19" s="104"/>
      <c r="AZ19" s="104"/>
      <c r="BA19" s="104"/>
      <c r="BB19" s="104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77.8</v>
      </c>
      <c r="Q21" s="77">
        <f>'насел.'!Q21+пільги!Q21+субсидії!Q21+'держ.бюджет'!Q21+'місц.-районн.бюджет'!Q21+обласний!Q21+інші!Q21</f>
        <v>75.8</v>
      </c>
      <c r="R21" s="77">
        <f t="shared" si="18"/>
        <v>97.42930591259639</v>
      </c>
      <c r="S21" s="77">
        <f>'насел.'!S21+пільги!S21+субсидії!S21+'держ.бюджет'!S21+'місц.-районн.бюджет'!S21+обласний!S21+інші!S21</f>
        <v>98.10000000000001</v>
      </c>
      <c r="T21" s="77">
        <f>'насел.'!T21+пільги!T21+субсидії!T21+'держ.бюджет'!T21+'місц.-районн.бюджет'!T21+обласний!T21+інші!T21</f>
        <v>94.8</v>
      </c>
      <c r="U21" s="118">
        <f t="shared" si="19"/>
        <v>96.63608562691131</v>
      </c>
      <c r="V21" s="77">
        <f>'насел.'!V21+пільги!V21+субсидії!V21+'держ.бюджет'!V21+'місц.-районн.бюджет'!V21+обласний!V21+інші!V21</f>
        <v>101.6</v>
      </c>
      <c r="W21" s="77">
        <f>'насел.'!W21+пільги!W21+субсидії!W21+'держ.бюджет'!W21+'місц.-районн.бюджет'!W21+обласний!W21+інші!W21</f>
        <v>99.1</v>
      </c>
      <c r="X21" s="118">
        <f t="shared" si="20"/>
        <v>97.53937007874016</v>
      </c>
      <c r="Y21" s="77">
        <f>'насел.'!Y21+пільги!Y21+субсидії!Y21+'держ.бюджет'!Y21+'місц.-районн.бюджет'!Y21+обласний!Y21+інші!Y21</f>
        <v>277.5</v>
      </c>
      <c r="Z21" s="77">
        <f>'насел.'!Z21+пільги!Z21+субсидії!Z21+'держ.бюджет'!Z21+'місц.-районн.бюджет'!Z21+обласний!Z21+інші!Z21</f>
        <v>269.7</v>
      </c>
      <c r="AA21" s="75">
        <f t="shared" si="21"/>
        <v>97.18918918918918</v>
      </c>
      <c r="AB21" s="77">
        <f>'насел.'!AB21+пільги!AB21+субсидії!AB21+'держ.бюджет'!AB21+'місц.-районн.бюджет'!AB21+обласний!AB21+інші!AB21</f>
        <v>85.60000000000001</v>
      </c>
      <c r="AC21" s="77">
        <f>'насел.'!AC21+пільги!AC21+субсидії!AC21+'держ.бюджет'!AC21+'місц.-районн.бюджет'!AC21+обласний!AC21+інші!AC21</f>
        <v>86.2</v>
      </c>
      <c r="AD21" s="118">
        <f t="shared" si="22"/>
        <v>100.70093457943925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85.60000000000001</v>
      </c>
      <c r="AL21" s="77">
        <f>'насел.'!AL21+пільги!AK21+субсидії!AL21+'держ.бюджет'!AL21+'місц.-районн.бюджет'!AL21+обласний!AL21+інші!AL21</f>
        <v>86.2</v>
      </c>
      <c r="AM21" s="77">
        <f t="shared" si="25"/>
        <v>100.70093457943925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576.4000000000001</v>
      </c>
      <c r="AU21" s="77">
        <f>'насел.'!AU21+пільги!AU21+субсидії!AU21+'держ.бюджет'!AU21+'місц.-районн.бюджет'!AU21+обласний!AU21+інші!AU21</f>
        <v>553.3000000000001</v>
      </c>
      <c r="AV21" s="75">
        <f t="shared" si="26"/>
        <v>95.99236641221374</v>
      </c>
      <c r="AW21" s="77">
        <f t="shared" si="13"/>
        <v>23.100000000000023</v>
      </c>
      <c r="AX21" s="110">
        <f>'насел.'!AX21+пільги!AX21+субсидії!AX21+'держ.бюджет'!AX21+'місц.-районн.бюджет'!AX21+обласний!AX21+інші!AX21</f>
        <v>55.700000000000045</v>
      </c>
      <c r="AY21" s="104"/>
      <c r="AZ21" s="104"/>
      <c r="BA21" s="104"/>
      <c r="BB21" s="104"/>
    </row>
    <row r="22" spans="1:54" ht="45.75" customHeight="1">
      <c r="A22" s="30" t="s">
        <v>2</v>
      </c>
      <c r="B22" s="33" t="s">
        <v>173</v>
      </c>
      <c r="C22" s="77">
        <f>'насел.'!C22+пільги!C22+субсидії!C22+'держ.бюджет'!C22+'місц.-районн.бюджет'!C22+обласний!C22+інші!C22</f>
        <v>31.700000000000003</v>
      </c>
      <c r="D22" s="77">
        <f>'насел.'!D22+пільги!D22+субсидії!D22+'держ.бюджет'!D22+'місц.-районн.бюджет'!D22+обласний!D22+інші!D22</f>
        <v>27.1</v>
      </c>
      <c r="E22" s="77">
        <f>'насел.'!E22+пільги!E22+субсидії!E22+'держ.бюджет'!E22+'місц.-районн.бюджет'!E22+обласний!E22+інші!E22</f>
        <v>27.1</v>
      </c>
      <c r="F22" s="75">
        <f t="shared" si="14"/>
        <v>100</v>
      </c>
      <c r="G22" s="77">
        <f>'насел.'!G22+пільги!G22+субсидії!G22+'держ.бюджет'!G22+'місц.-районн.бюджет'!G22+обласний!G22+інші!G22</f>
        <v>31.200000000000003</v>
      </c>
      <c r="H22" s="77">
        <f>'насел.'!H22+пільги!H22+субсидії!H22+'держ.бюджет'!H22+'місц.-районн.бюджет'!H22+обласний!H22+інші!H22</f>
        <v>27.4</v>
      </c>
      <c r="I22" s="75">
        <f t="shared" si="15"/>
        <v>87.8205128205128</v>
      </c>
      <c r="J22" s="77">
        <f>'насел.'!J22+пільги!J22+субсидії!J22+'держ.бюджет'!J22+'місц.-районн.бюджет'!J22+обласний!J22+інші!J22</f>
        <v>24.9</v>
      </c>
      <c r="K22" s="77">
        <f>'насел.'!K22+пільги!K22+субсидії!K22+'держ.бюджет'!K22+'місц.-районн.бюджет'!K22+обласний!K22+інші!K22</f>
        <v>21.1</v>
      </c>
      <c r="L22" s="75">
        <f t="shared" si="16"/>
        <v>84.73895582329318</v>
      </c>
      <c r="M22" s="75">
        <f>'насел.'!M22+пільги!M22+субсидії!M22+'держ.бюджет'!M22+'місц.-районн.бюджет'!M22+обласний!M22+інші!M22</f>
        <v>83.2</v>
      </c>
      <c r="N22" s="75">
        <f>'насел.'!N22+пільги!N22+субсидії!N22+'держ.бюджет'!N22+'місц.-районн.бюджет'!N22+обласний!N22+інші!N22</f>
        <v>75.6</v>
      </c>
      <c r="O22" s="75">
        <f t="shared" si="17"/>
        <v>90.8653846153846</v>
      </c>
      <c r="P22" s="77">
        <f>'насел.'!P22+пільги!P22+субсидії!P22+'держ.бюджет'!P22+'місц.-районн.бюджет'!P22+обласний!P22+інші!P22</f>
        <v>33.8</v>
      </c>
      <c r="Q22" s="77">
        <f>'насел.'!Q22+пільги!Q22+субсидії!Q22+'держ.бюджет'!Q22+'місц.-районн.бюджет'!Q22+обласний!Q22+інші!Q22</f>
        <v>34.8</v>
      </c>
      <c r="R22" s="77">
        <f t="shared" si="18"/>
        <v>102.9585798816568</v>
      </c>
      <c r="S22" s="77">
        <f>'насел.'!S22+пільги!S22+субсидії!S22+'держ.бюджет'!S22+'місц.-районн.бюджет'!S22+обласний!S22+інші!S22</f>
        <v>36.3</v>
      </c>
      <c r="T22" s="77">
        <f>'насел.'!T22+пільги!T22+субсидії!T22+'держ.бюджет'!T22+'місц.-районн.бюджет'!T22+обласний!T22+інші!T22</f>
        <v>36</v>
      </c>
      <c r="U22" s="75">
        <f t="shared" si="19"/>
        <v>99.17355371900827</v>
      </c>
      <c r="V22" s="77">
        <f>'насел.'!V22+пільги!V22+субсидії!V22+'держ.бюджет'!V22+'місц.-районн.бюджет'!V22+обласний!V22+інші!V22</f>
        <v>33.400000000000006</v>
      </c>
      <c r="W22" s="77">
        <f>'насел.'!W22+пільги!W22+субсидії!W22+'держ.бюджет'!W22+'місц.-районн.бюджет'!W22+обласний!W22+інші!W22</f>
        <v>30.099999999999998</v>
      </c>
      <c r="X22" s="75">
        <f t="shared" si="20"/>
        <v>90.1197604790419</v>
      </c>
      <c r="Y22" s="77">
        <f>'насел.'!Y22+пільги!Y22+субсидії!Y22+'держ.бюджет'!Y22+'місц.-районн.бюджет'!Y22+обласний!Y22+інші!Y22</f>
        <v>103.5</v>
      </c>
      <c r="Z22" s="77">
        <f>'насел.'!Z22+пільги!Z22+субсидії!Z22+'держ.бюджет'!Z22+'місц.-районн.бюджет'!Z22+обласний!Z22+інші!Z22</f>
        <v>100.89999999999999</v>
      </c>
      <c r="AA22" s="75">
        <f t="shared" si="21"/>
        <v>97.487922705314</v>
      </c>
      <c r="AB22" s="77">
        <f>'насел.'!AB22+пільги!AB22+субсидії!AB22+'держ.бюджет'!AB22+'місц.-районн.бюджет'!AB22+обласний!AB22+інші!AB22</f>
        <v>33.1</v>
      </c>
      <c r="AC22" s="77">
        <f>'насел.'!AC22+пільги!AC22+субсидії!AC22+'держ.бюджет'!AC22+'місц.-районн.бюджет'!AC22+обласний!AC22+інші!AC22</f>
        <v>46.1</v>
      </c>
      <c r="AD22" s="75">
        <f t="shared" si="22"/>
        <v>139.2749244712991</v>
      </c>
      <c r="AE22" s="77">
        <f>'насел.'!AE22+пільги!AE22+субсидії!AE22+'держ.бюджет'!AE22+'місц.-районн.бюджет'!AE22+обласний!AE22+інші!AE22</f>
        <v>38.1</v>
      </c>
      <c r="AF22" s="77">
        <f>'насел.'!AF22+пільги!AF22+субсидії!AF22+'держ.бюджет'!AF22+'місц.-районн.бюджет'!AF22+обласний!AF22+інші!AF22</f>
        <v>44.5</v>
      </c>
      <c r="AG22" s="75">
        <f t="shared" si="23"/>
        <v>116.7979002624672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71.2</v>
      </c>
      <c r="AL22" s="77">
        <f>'насел.'!AL22+пільги!AK22+субсидії!AL22+'держ.бюджет'!AL22+'місц.-районн.бюджет'!AL22+обласний!AL22+інші!AL22</f>
        <v>90.60000000000001</v>
      </c>
      <c r="AM22" s="77">
        <f t="shared" si="25"/>
        <v>127.24719101123596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257.9</v>
      </c>
      <c r="AU22" s="77">
        <f>'насел.'!AU22+пільги!AU22+субсидії!AU22+'держ.бюджет'!AU22+'місц.-районн.бюджет'!AU22+обласний!AU22+інші!AU22</f>
        <v>267.1</v>
      </c>
      <c r="AV22" s="75">
        <f t="shared" si="26"/>
        <v>103.56727413726252</v>
      </c>
      <c r="AW22" s="77">
        <f t="shared" si="13"/>
        <v>-9.200000000000045</v>
      </c>
      <c r="AX22" s="110">
        <f>'насел.'!AX22+пільги!AX22+субсидії!AX22+'держ.бюджет'!AX22+'місц.-районн.бюджет'!AX22+обласний!AX22+інші!AX22</f>
        <v>22.499999999999943</v>
      </c>
      <c r="AY22" s="104">
        <f>2+18.4+2.1</f>
        <v>22.5</v>
      </c>
      <c r="AZ22" s="104"/>
      <c r="BA22" s="104"/>
      <c r="BB22" s="104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3315.399999999999</v>
      </c>
      <c r="T23" s="37">
        <f>'насел.'!T23+пільги!T23+субсидії!T23+'держ.бюджет'!T23+'місц.-районн.бюджет'!T23+обласний!T23+інші!T23</f>
        <v>3219.7000000000003</v>
      </c>
      <c r="U23" s="38">
        <f t="shared" si="19"/>
        <v>97.11347047113473</v>
      </c>
      <c r="V23" s="37">
        <f>'насел.'!V23+пільги!V23+субсидії!V23+'держ.бюджет'!V23+'місц.-районн.бюджет'!V23+обласний!V23+інші!V23</f>
        <v>3433.7</v>
      </c>
      <c r="W23" s="37">
        <f>'насел.'!W23+пільги!W23+субсидії!W23+'держ.бюджет'!W23+'місц.-районн.бюджет'!W23+обласний!W23+інші!W23</f>
        <v>3174.7000000000003</v>
      </c>
      <c r="X23" s="38">
        <f t="shared" si="20"/>
        <v>92.45711623030552</v>
      </c>
      <c r="Y23" s="37">
        <f>'насел.'!Y23+пільги!Y23+субсидії!Y23+'держ.бюджет'!Y23+'місц.-районн.бюджет'!Y23+обласний!Y23+інші!Y23</f>
        <v>10015.2</v>
      </c>
      <c r="Z23" s="37">
        <f>'насел.'!Z23+пільги!Z23+субсидії!Z23+'держ.бюджет'!Z23+'місц.-районн.бюджет'!Z23+обласний!Z23+інші!Z23</f>
        <v>9529.699999999999</v>
      </c>
      <c r="AA23" s="38">
        <f t="shared" si="21"/>
        <v>95.15236840003193</v>
      </c>
      <c r="AB23" s="37">
        <f>'насел.'!AB23+пільги!AB23+субсидії!AB23+'держ.бюджет'!AB23+'місц.-районн.бюджет'!AB23+обласний!AB23+інші!AB23</f>
        <v>3615.9</v>
      </c>
      <c r="AC23" s="37">
        <f>'насел.'!AC23+пільги!AC23+субсидії!AC23+'держ.бюджет'!AC23+'місц.-районн.бюджет'!AC23+обласний!AC23+інші!AC23</f>
        <v>3244.4000000000005</v>
      </c>
      <c r="AD23" s="38">
        <f t="shared" si="22"/>
        <v>89.72593268619156</v>
      </c>
      <c r="AE23" s="37">
        <f>'насел.'!AE23+пільги!AE23+субсидії!AE23+'держ.бюджет'!AE23+'місц.-районн.бюджет'!AE23+обласний!AE23+інші!AE23</f>
        <v>3690.6</v>
      </c>
      <c r="AF23" s="37">
        <f>'насел.'!AF23+пільги!AF23+субсидії!AF23+'держ.бюджет'!AF23+'місц.-районн.бюджет'!AF23+обласний!AF23+інші!AF23</f>
        <v>3616.1</v>
      </c>
      <c r="AG23" s="38">
        <f t="shared" si="23"/>
        <v>97.98135804476237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7306.5</v>
      </c>
      <c r="AL23" s="37">
        <f>'насел.'!AL23+пільги!AK23+субсидії!AL23+'держ.бюджет'!AL23+'місц.-районн.бюджет'!AL23+обласний!AL23+інші!AL23</f>
        <v>6860.5</v>
      </c>
      <c r="AM23" s="37">
        <f t="shared" si="25"/>
        <v>93.89584616437419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242.7</v>
      </c>
      <c r="AS23" s="37">
        <f>'насел.'!AS23+пільги!AR23+субсидії!AS23+'держ.бюджет'!AS23+'місц.-районн.бюджет'!AS23+обласний!AS23+інші!AS23</f>
        <v>246.5</v>
      </c>
      <c r="AT23" s="37">
        <f>'насел.'!AT23+пільги!AT23+субсидії!AT23+'держ.бюджет'!AT23+'місц.-районн.бюджет'!AT23+обласний!AT23+інші!AT23</f>
        <v>27507.099999999995</v>
      </c>
      <c r="AU23" s="37">
        <f>'насел.'!AU23+пільги!AU23+субсидії!AU23+'держ.бюджет'!AU23+'місц.-районн.бюджет'!AU23+обласний!AU23+інші!AU23</f>
        <v>25858.100000000002</v>
      </c>
      <c r="AV23" s="38">
        <f t="shared" si="26"/>
        <v>94.00518411610096</v>
      </c>
      <c r="AW23" s="37">
        <f t="shared" si="13"/>
        <v>1648.9999999999927</v>
      </c>
      <c r="AX23" s="110">
        <f>'насел.'!AX23+пільги!AX23+субсидії!AX23+'держ.бюджет'!AX23+'місц.-районн.бюджет'!AX23+обласний!AX23+інші!AX23</f>
        <v>5636.699999999999</v>
      </c>
      <c r="AY23" s="109"/>
      <c r="AZ23" s="109"/>
      <c r="BA23" s="109"/>
      <c r="BB23" s="109"/>
    </row>
    <row r="24" spans="1:54" ht="34.5" customHeight="1">
      <c r="A24" s="30" t="s">
        <v>12</v>
      </c>
      <c r="B24" s="34" t="s">
        <v>141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288.8</v>
      </c>
      <c r="K24" s="77">
        <f>'насел.'!K24+пільги!K24+субсидії!K24+'держ.бюджет'!K24+'місц.-районн.бюджет'!K24+обласний!K24+інші!K24</f>
        <v>324.7</v>
      </c>
      <c r="L24" s="75">
        <f t="shared" si="16"/>
        <v>112.43074792243766</v>
      </c>
      <c r="M24" s="75">
        <f>'насел.'!M24+пільги!M24+субсидії!M24+'держ.бюджет'!M24+'місц.-районн.бюджет'!M24+обласний!M24+інші!M24</f>
        <v>846.1</v>
      </c>
      <c r="N24" s="75">
        <f>'насел.'!N24+пільги!N24+субсидії!N24+'держ.бюджет'!N24+'місц.-районн.бюджет'!N24+обласний!N24+інші!N24</f>
        <v>821.8000000000001</v>
      </c>
      <c r="O24" s="75">
        <f t="shared" si="17"/>
        <v>97.12799905448529</v>
      </c>
      <c r="P24" s="77">
        <f>'насел.'!P24+пільги!P24+субсидії!P24+'держ.бюджет'!P24+'місц.-районн.бюджет'!P24+обласний!P24+інші!P24</f>
        <v>269.50000000000006</v>
      </c>
      <c r="Q24" s="77">
        <f>'насел.'!Q24+пільги!Q24+субсидії!Q24+'держ.бюджет'!Q24+'місц.-районн.бюджет'!Q24+обласний!Q24+інші!Q24</f>
        <v>266.00000000000006</v>
      </c>
      <c r="R24" s="77">
        <f t="shared" si="18"/>
        <v>98.7012987012987</v>
      </c>
      <c r="S24" s="77">
        <f>'насел.'!S24+пільги!S24+субсидії!S24+'держ.бюджет'!S24+'місц.-районн.бюджет'!S24+обласний!S24+інші!S24</f>
        <v>272.20000000000005</v>
      </c>
      <c r="T24" s="77">
        <f>'насел.'!T24+пільги!T24+субсидії!T24+'держ.бюджет'!T24+'місц.-районн.бюджет'!T24+обласний!T24+інші!T24</f>
        <v>278.40000000000003</v>
      </c>
      <c r="U24" s="75">
        <f t="shared" si="19"/>
        <v>102.27773695811904</v>
      </c>
      <c r="V24" s="77">
        <f>'насел.'!V24+пільги!V24+субсидії!V24+'держ.бюджет'!V24+'місц.-районн.бюджет'!V24+обласний!V24+інші!V24</f>
        <v>302</v>
      </c>
      <c r="W24" s="77">
        <f>'насел.'!W24+пільги!W24+субсидії!W24+'держ.бюджет'!W24+'місц.-районн.бюджет'!W24+обласний!W24+інші!W24</f>
        <v>279.4</v>
      </c>
      <c r="X24" s="75">
        <f t="shared" si="20"/>
        <v>92.51655629139071</v>
      </c>
      <c r="Y24" s="77">
        <f>'насел.'!Y24+пільги!Y24+субсидії!Y24+'держ.бюджет'!Y24+'місц.-районн.бюджет'!Y24+обласний!Y24+інші!Y24</f>
        <v>843.6999999999999</v>
      </c>
      <c r="Z24" s="77">
        <f>'насел.'!Z24+пільги!Z24+субсидії!Z24+'держ.бюджет'!Z24+'місц.-районн.бюджет'!Z24+обласний!Z24+інші!Z24</f>
        <v>823.8</v>
      </c>
      <c r="AA24" s="75">
        <f t="shared" si="21"/>
        <v>97.64134170913832</v>
      </c>
      <c r="AB24" s="77">
        <f>'насел.'!AB24+пільги!AB24+субсидії!AB24+'держ.бюджет'!AB24+'місц.-районн.бюджет'!AB24+обласний!AB24+інші!AB24</f>
        <v>320.4</v>
      </c>
      <c r="AC24" s="77">
        <f>'насел.'!AC24+пільги!AC24+субсидії!AC24+'держ.бюджет'!AC24+'місц.-районн.бюджет'!AC24+обласний!AC24+інші!AC24</f>
        <v>286.8</v>
      </c>
      <c r="AD24" s="75">
        <f t="shared" si="22"/>
        <v>89.51310861423222</v>
      </c>
      <c r="AE24" s="77">
        <f>'насел.'!AE24+пільги!AE24+субсидії!AE24+'держ.бюджет'!AE24+'місц.-районн.бюджет'!AE24+обласний!AE24+інші!AE24</f>
        <v>298.5</v>
      </c>
      <c r="AF24" s="77">
        <f>'насел.'!AF24+пільги!AF24+субсидії!AF24+'держ.бюджет'!AF24+'місц.-районн.бюджет'!AF24+обласний!AF24+інші!AF24</f>
        <v>302.7</v>
      </c>
      <c r="AG24" s="75">
        <f t="shared" si="23"/>
        <v>101.40703517587939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618.9</v>
      </c>
      <c r="AL24" s="77">
        <f>'насел.'!AL24+пільги!AK24+субсидії!AL24+'держ.бюджет'!AL24+'місц.-районн.бюджет'!AL24+обласний!AL24+інші!AL24</f>
        <v>589.5</v>
      </c>
      <c r="AM24" s="77">
        <f t="shared" si="25"/>
        <v>95.24963645176928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2308.7000000000003</v>
      </c>
      <c r="AU24" s="77">
        <f>'насел.'!AU24+пільги!AU24+субсидії!AU24+'держ.бюджет'!AU24+'місц.-районн.бюджет'!AU24+обласний!AU24+інші!AU24</f>
        <v>2235.1</v>
      </c>
      <c r="AV24" s="75">
        <f t="shared" si="26"/>
        <v>96.81205873435265</v>
      </c>
      <c r="AW24" s="77">
        <f t="shared" si="13"/>
        <v>73.60000000000036</v>
      </c>
      <c r="AX24" s="110">
        <f>'насел.'!AX24+пільги!AX24+субсидії!AX24+'держ.бюджет'!AX24+'місц.-районн.бюджет'!AX24+обласний!AX24+інші!AX24</f>
        <v>319.8000000000001</v>
      </c>
      <c r="AY24" s="104"/>
      <c r="AZ24" s="104"/>
      <c r="BA24" s="104"/>
      <c r="BB24" s="104"/>
    </row>
    <row r="25" spans="1:54" ht="34.5" customHeight="1">
      <c r="A25" s="30" t="s">
        <v>16</v>
      </c>
      <c r="B25" s="34" t="s">
        <v>146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188.00000000000003</v>
      </c>
      <c r="K25" s="77">
        <f>'насел.'!K25+пільги!K25+субсидії!K25+'держ.бюджет'!K25+'місц.-районн.бюджет'!K25+обласний!K25+інші!K25</f>
        <v>290.8</v>
      </c>
      <c r="L25" s="75">
        <f t="shared" si="16"/>
        <v>154.68085106382975</v>
      </c>
      <c r="M25" s="75">
        <f>'насел.'!M25+пільги!M25+субсидії!M25+'держ.бюджет'!M25+'місц.-районн.бюджет'!M25+обласний!M25+інші!M25</f>
        <v>712.0999999999999</v>
      </c>
      <c r="N25" s="75">
        <f>'насел.'!N25+пільги!N25+субсидії!N25+'держ.бюджет'!N25+'місц.-районн.бюджет'!N25+обласний!N25+інші!N25</f>
        <v>762.4</v>
      </c>
      <c r="O25" s="75">
        <f t="shared" si="17"/>
        <v>107.06361466086224</v>
      </c>
      <c r="P25" s="77">
        <f>'насел.'!P25+пільги!P25+субсидії!P25+'держ.бюджет'!P25+'місц.-районн.бюджет'!P25+обласний!P25+інші!P25</f>
        <v>239.9</v>
      </c>
      <c r="Q25" s="77">
        <f>'насел.'!Q25+пільги!Q25+субсидії!Q25+'держ.бюджет'!Q25+'місц.-районн.бюджет'!Q25+обласний!Q25+інші!Q25</f>
        <v>251.99999999999997</v>
      </c>
      <c r="R25" s="77">
        <f t="shared" si="18"/>
        <v>105.04376823676532</v>
      </c>
      <c r="S25" s="77">
        <f>'насел.'!S25+пільги!S25+субсидії!S25+'держ.бюджет'!S25+'місц.-районн.бюджет'!S25+обласний!S25+інші!S25</f>
        <v>288.00000000000006</v>
      </c>
      <c r="T25" s="77">
        <f>'насел.'!T25+пільги!T25+субсидії!T25+'держ.бюджет'!T25+'місц.-районн.бюджет'!T25+обласний!T25+інші!T25</f>
        <v>248.49999999999997</v>
      </c>
      <c r="U25" s="75">
        <f t="shared" si="19"/>
        <v>86.2847222222222</v>
      </c>
      <c r="V25" s="77">
        <f>'насел.'!V25+пільги!V25+субсидії!V25+'держ.бюджет'!V25+'місц.-районн.бюджет'!V25+обласний!V25+інші!V25</f>
        <v>347.8</v>
      </c>
      <c r="W25" s="77">
        <f>'насел.'!W25+пільги!W25+субсидії!W25+'держ.бюджет'!W25+'місц.-районн.бюджет'!W25+обласний!W25+інші!W25</f>
        <v>231.8</v>
      </c>
      <c r="X25" s="75">
        <f t="shared" si="20"/>
        <v>66.64749856239219</v>
      </c>
      <c r="Y25" s="77">
        <f>'насел.'!Y25+пільги!Y25+субсидії!Y25+'держ.бюджет'!Y25+'місц.-районн.бюджет'!Y25+обласний!Y25+інші!Y25</f>
        <v>875.7</v>
      </c>
      <c r="Z25" s="77">
        <f>'насел.'!Z25+пільги!Z25+субсидії!Z25+'держ.бюджет'!Z25+'місц.-районн.бюджет'!Z25+обласний!Z25+інші!Z25</f>
        <v>732.3</v>
      </c>
      <c r="AA25" s="75">
        <f t="shared" si="21"/>
        <v>83.62452894826995</v>
      </c>
      <c r="AB25" s="77">
        <f>'насел.'!AB25+пільги!AB25+субсидії!AB25+'держ.бюджет'!AB25+'місц.-районн.бюджет'!AB25+обласний!AB25+інші!AB25</f>
        <v>435.9</v>
      </c>
      <c r="AC25" s="77">
        <f>'насел.'!AC25+пільги!AC25+субсидії!AC25+'держ.бюджет'!AC25+'місц.-районн.бюджет'!AC25+обласний!AC25+інші!AC25</f>
        <v>287.3</v>
      </c>
      <c r="AD25" s="75">
        <f t="shared" si="22"/>
        <v>65.90961229639827</v>
      </c>
      <c r="AE25" s="77">
        <f>'насел.'!AE25+пільги!AE25+субсидії!AE25+'держ.бюджет'!AE25+'місц.-районн.бюджет'!AE25+обласний!AE25+інші!AE25</f>
        <v>347.1</v>
      </c>
      <c r="AF25" s="77">
        <f>'насел.'!AF25+пільги!AF25+субсидії!AF25+'держ.бюджет'!AF25+'місц.-районн.бюджет'!AF25+обласний!AF25+інші!AF25</f>
        <v>339.8</v>
      </c>
      <c r="AG25" s="75">
        <f t="shared" si="23"/>
        <v>97.8968596946125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782.9999999999998</v>
      </c>
      <c r="AL25" s="77">
        <f>'насел.'!AL25+пільги!AK25+субсидії!AL25+'держ.бюджет'!AL25+'місц.-районн.бюджет'!AL25+обласний!AL25+інші!AL25</f>
        <v>627.1</v>
      </c>
      <c r="AM25" s="77">
        <f t="shared" si="25"/>
        <v>80.08939974457219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2370.8</v>
      </c>
      <c r="AU25" s="77">
        <f>'насел.'!AU25+пільги!AU25+субсидії!AU25+'держ.бюджет'!AU25+'місц.-районн.бюджет'!AU25+обласний!AU25+інші!AU25</f>
        <v>2121.7999999999997</v>
      </c>
      <c r="AV25" s="75">
        <f t="shared" si="26"/>
        <v>89.4972161295765</v>
      </c>
      <c r="AW25" s="77">
        <f t="shared" si="13"/>
        <v>249.00000000000045</v>
      </c>
      <c r="AX25" s="110">
        <f>'насел.'!AX25+пільги!AX25+субсидії!AX25+'держ.бюджет'!AX25+'місц.-районн.бюджет'!AX25+обласний!AX25+інші!AX25</f>
        <v>460.1</v>
      </c>
      <c r="AY25" s="104"/>
      <c r="AZ25" s="104"/>
      <c r="BA25" s="104"/>
      <c r="BB25" s="104"/>
    </row>
    <row r="26" spans="1:54" ht="34.5" customHeight="1">
      <c r="A26" s="30" t="s">
        <v>18</v>
      </c>
      <c r="B26" s="34" t="s">
        <v>145</v>
      </c>
      <c r="C26" s="77">
        <f>'насел.'!C26+пільги!C26+субсидії!C26+'держ.бюджет'!C26+'місц.-районн.бюджет'!C26+обласний!C26+інші!C26</f>
        <v>3124.6000000000004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2618</v>
      </c>
      <c r="K26" s="77">
        <f>'насел.'!K26+пільги!K26+субсидії!K26+'держ.бюджет'!K26+'місц.-районн.бюджет'!K26+обласний!K26+інші!K26</f>
        <v>2680.8999999999996</v>
      </c>
      <c r="L26" s="75">
        <f t="shared" si="16"/>
        <v>102.40259740259738</v>
      </c>
      <c r="M26" s="75">
        <f>'насел.'!M26+пільги!M26+субсидії!M26+'держ.бюджет'!M26+'місц.-районн.бюджет'!M26+обласний!M26+інші!M26</f>
        <v>7742.299999999999</v>
      </c>
      <c r="N26" s="75">
        <f>'насел.'!N26+пільги!N26+субсидії!N26+'держ.бюджет'!N26+'місц.-районн.бюджет'!N26+обласний!N26+інші!N26</f>
        <v>6953.8</v>
      </c>
      <c r="O26" s="75">
        <f t="shared" si="17"/>
        <v>89.81568784469732</v>
      </c>
      <c r="P26" s="77">
        <f>'насел.'!P26+пільги!P26+субсидії!P26+'держ.бюджет'!P26+'місц.-районн.бюджет'!P26+обласний!P26+інші!P26</f>
        <v>2527.2</v>
      </c>
      <c r="Q26" s="77">
        <f>'насел.'!Q26+пільги!Q26+субсидії!Q26+'держ.бюджет'!Q26+'місц.-районн.бюджет'!Q26+обласний!Q26+інші!Q26</f>
        <v>2372.2</v>
      </c>
      <c r="R26" s="77">
        <f t="shared" si="18"/>
        <v>93.86672997784109</v>
      </c>
      <c r="S26" s="77">
        <f>'насел.'!S26+пільги!S26+субсидії!S26+'держ.бюджет'!S26+'місц.-районн.бюджет'!S26+обласний!S26+інші!S26</f>
        <v>2510.7999999999997</v>
      </c>
      <c r="T26" s="77">
        <f>'насел.'!T26+пільги!T26+субсидії!T26+'держ.бюджет'!T26+'місц.-районн.бюджет'!T26+обласний!T26+інші!T26</f>
        <v>2454.7000000000003</v>
      </c>
      <c r="U26" s="75">
        <f t="shared" si="19"/>
        <v>97.76565238171104</v>
      </c>
      <c r="V26" s="77">
        <f>'насел.'!V26+пільги!V26+субсидії!V26+'держ.бюджет'!V26+'місц.-районн.бюджет'!V26+обласний!V26+інші!V26</f>
        <v>2547.6</v>
      </c>
      <c r="W26" s="77">
        <f>'насел.'!W26+пільги!W26+субсидії!W26+'держ.бюджет'!W26+'місц.-районн.бюджет'!W26+обласний!W26+інші!W26</f>
        <v>2419.4000000000005</v>
      </c>
      <c r="X26" s="75">
        <f t="shared" si="20"/>
        <v>94.96781284346054</v>
      </c>
      <c r="Y26" s="77">
        <f>'насел.'!Y26+пільги!Y26+субсидії!Y26+'держ.бюджет'!Y26+'місц.-районн.бюджет'!Y26+обласний!Y26+інші!Y26</f>
        <v>7585.599999999999</v>
      </c>
      <c r="Z26" s="77">
        <f>'насел.'!Z26+пільги!Z26+субсидії!Z26+'держ.бюджет'!Z26+'місц.-районн.бюджет'!Z26+обласний!Z26+інші!Z26</f>
        <v>7246.299999999999</v>
      </c>
      <c r="AA26" s="75">
        <f t="shared" si="21"/>
        <v>95.52705125500948</v>
      </c>
      <c r="AB26" s="77">
        <f>'насел.'!AB26+пільги!AB26+субсидії!AB26+'держ.бюджет'!AB26+'місц.-районн.бюджет'!AB26+обласний!AB26+інші!AB26</f>
        <v>2622.7000000000003</v>
      </c>
      <c r="AC26" s="77">
        <f>'насел.'!AC26+пільги!AC26+субсидії!AC26+'держ.бюджет'!AC26+'місц.-районн.бюджет'!AC26+обласний!AC26+інші!AC26</f>
        <v>2417.4</v>
      </c>
      <c r="AD26" s="75">
        <f t="shared" si="22"/>
        <v>92.17218896556983</v>
      </c>
      <c r="AE26" s="77">
        <f>'насел.'!AE26+пільги!AE26+субсидії!AE26+'держ.бюджет'!AE26+'місц.-районн.бюджет'!AE26+обласний!AE26+інші!AE26</f>
        <v>2794.2999999999997</v>
      </c>
      <c r="AF26" s="77">
        <f>'насел.'!AF26+пільги!AF26+субсидії!AF26+'держ.бюджет'!AF26+'місц.-районн.бюджет'!AF26+обласний!AF26+інші!AF26</f>
        <v>2729.6000000000004</v>
      </c>
      <c r="AG26" s="75">
        <f t="shared" si="23"/>
        <v>97.684572164764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5417</v>
      </c>
      <c r="AL26" s="77">
        <f>'насел.'!AL26+пільги!AK26+субсидії!AL26+'держ.бюджет'!AL26+'місц.-районн.бюджет'!AL26+обласний!AL26+інші!AL26</f>
        <v>5146.999999999999</v>
      </c>
      <c r="AM26" s="77">
        <f t="shared" si="25"/>
        <v>95.01569134207124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242.7</v>
      </c>
      <c r="AS26" s="77">
        <f>'насел.'!AS26+пільги!AR26+субсидії!AS26+'держ.бюджет'!AS26+'місц.-районн.бюджет'!AS26+обласний!AS26+інші!AS26</f>
        <v>246.5</v>
      </c>
      <c r="AT26" s="77">
        <f>'насел.'!AT26+пільги!AT26+субсидії!AT26+'держ.бюджет'!AT26+'місц.-районн.бюджет'!AT26+обласний!AT26+інші!AT26</f>
        <v>20987.6</v>
      </c>
      <c r="AU26" s="77">
        <f>'насел.'!AU26+пільги!AU26+субсидії!AU26+'держ.бюджет'!AU26+'місц.-районн.бюджет'!AU26+обласний!AU26+інші!AU26</f>
        <v>19593.599999999995</v>
      </c>
      <c r="AV26" s="75">
        <f t="shared" si="26"/>
        <v>93.35798280889667</v>
      </c>
      <c r="AW26" s="77">
        <f t="shared" si="13"/>
        <v>1394.0000000000036</v>
      </c>
      <c r="AX26" s="110">
        <f>'насел.'!AX26+пільги!AX26+субсидії!AX26+'держ.бюджет'!AX26+'місц.-районн.бюджет'!AX26+обласний!AX26+інші!AX26</f>
        <v>4518.600000000001</v>
      </c>
      <c r="AY26" s="104"/>
      <c r="AZ26" s="104"/>
      <c r="BA26" s="104"/>
      <c r="BB26" s="104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ht="34.5" customHeight="1">
      <c r="A28" s="30" t="s">
        <v>24</v>
      </c>
      <c r="B28" s="34" t="s">
        <v>150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231.99999999999997</v>
      </c>
      <c r="K28" s="77">
        <f>'насел.'!K28+пільги!K28+субсидії!K28+'держ.бюджет'!K28+'місц.-районн.бюджет'!K28+обласний!K28+інші!K28</f>
        <v>246.1</v>
      </c>
      <c r="L28" s="75">
        <f t="shared" si="16"/>
        <v>106.07758620689656</v>
      </c>
      <c r="M28" s="75">
        <f>'насел.'!M28+пільги!M28+субсидії!M28+'держ.бюджет'!M28+'місц.-районн.бюджет'!M28+обласний!M28+інші!M28</f>
        <v>642.2</v>
      </c>
      <c r="N28" s="75">
        <f>'насел.'!N28+пільги!N28+субсидії!N28+'держ.бюджет'!N28+'місц.-районн.бюджет'!N28+обласний!N28+інші!N28</f>
        <v>683.4</v>
      </c>
      <c r="O28" s="75">
        <f t="shared" si="17"/>
        <v>106.41544690127685</v>
      </c>
      <c r="P28" s="77">
        <f>'насел.'!P28+пільги!P28+субсидії!P28+'держ.бюджет'!P28+'місц.-районн.бюджет'!P28+обласний!P28+інші!P28</f>
        <v>229.5</v>
      </c>
      <c r="Q28" s="77">
        <f>'насел.'!Q28+пільги!Q28+субсидії!Q28+'держ.бюджет'!Q28+'місц.-районн.бюджет'!Q28+обласний!Q28+інші!Q28</f>
        <v>245.10000000000002</v>
      </c>
      <c r="R28" s="77">
        <f t="shared" si="18"/>
        <v>106.79738562091505</v>
      </c>
      <c r="S28" s="77">
        <f>'насел.'!S28+пільги!S28+субсидії!S28+'держ.бюджет'!S28+'місц.-районн.бюджет'!S28+обласний!S28+інші!S28</f>
        <v>244.39999999999998</v>
      </c>
      <c r="T28" s="77">
        <f>'насел.'!T28+пільги!T28+субсидії!T28+'держ.бюджет'!T28+'місц.-районн.бюджет'!T28+обласний!T28+інші!T28</f>
        <v>238.1</v>
      </c>
      <c r="U28" s="75">
        <f t="shared" si="19"/>
        <v>97.42225859247137</v>
      </c>
      <c r="V28" s="77">
        <f>'насел.'!V28+пільги!V28+субсидії!V28+'держ.бюджет'!V28+'місц.-районн.бюджет'!V28+обласний!V28+інші!V28</f>
        <v>236.3</v>
      </c>
      <c r="W28" s="77">
        <f>'насел.'!W28+пільги!W28+субсидії!W28+'держ.бюджет'!W28+'місц.-районн.бюджет'!W28+обласний!W28+інші!W28</f>
        <v>244.10000000000002</v>
      </c>
      <c r="X28" s="75">
        <f t="shared" si="20"/>
        <v>103.30088870080407</v>
      </c>
      <c r="Y28" s="77">
        <f>'насел.'!Y28+пільги!Y28+субсидії!Y28+'держ.бюджет'!Y28+'місц.-районн.бюджет'!Y28+обласний!Y28+інші!Y28</f>
        <v>710.2</v>
      </c>
      <c r="Z28" s="77">
        <f>'насел.'!Z28+пільги!Z28+субсидії!Z28+'держ.бюджет'!Z28+'місц.-районн.бюджет'!Z28+обласний!Z28+інші!Z28</f>
        <v>727.3</v>
      </c>
      <c r="AA28" s="75">
        <f t="shared" si="21"/>
        <v>102.4077724584624</v>
      </c>
      <c r="AB28" s="77">
        <f>'насел.'!AB28+пільги!AB28+субсидії!AB28+'держ.бюджет'!AB28+'місц.-районн.бюджет'!AB28+обласний!AB28+інші!AB28</f>
        <v>236.9</v>
      </c>
      <c r="AC28" s="77">
        <f>'насел.'!AC28+пільги!AC28+субсидії!AC28+'держ.бюджет'!AC28+'місц.-районн.бюджет'!AC28+обласний!AC28+інші!AC28</f>
        <v>252.90000000000003</v>
      </c>
      <c r="AD28" s="75">
        <f t="shared" si="22"/>
        <v>106.75390460109753</v>
      </c>
      <c r="AE28" s="77">
        <f>'насел.'!AE28+пільги!AE28+субсидії!AE28+'держ.бюджет'!AE28+'місц.-районн.бюджет'!AE28+обласний!AE28+інші!AE28</f>
        <v>250.70000000000002</v>
      </c>
      <c r="AF28" s="77">
        <f>'насел.'!AF28+пільги!AF28+субсидії!AF28+'держ.бюджет'!AF28+'місц.-районн.бюджет'!AF28+обласний!AF28+інші!AF28</f>
        <v>244.00000000000003</v>
      </c>
      <c r="AG28" s="75">
        <f t="shared" si="23"/>
        <v>97.3274830474671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487.6</v>
      </c>
      <c r="AL28" s="77">
        <f>'насел.'!AL28+пільги!AK28+субсидії!AL28+'держ.бюджет'!AL28+'місц.-районн.бюджет'!AL28+обласний!AL28+інші!AL28</f>
        <v>496.90000000000003</v>
      </c>
      <c r="AM28" s="77">
        <f t="shared" si="25"/>
        <v>101.90730106644791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1840</v>
      </c>
      <c r="AU28" s="77">
        <f>'насел.'!AU28+пільги!AU28+субсидії!AU28+'держ.бюджет'!AU28+'місц.-районн.бюджет'!AU28+обласний!AU28+інші!AU28</f>
        <v>1907.6000000000001</v>
      </c>
      <c r="AV28" s="75">
        <f t="shared" si="26"/>
        <v>103.67391304347827</v>
      </c>
      <c r="AW28" s="77">
        <f t="shared" si="13"/>
        <v>-67.60000000000014</v>
      </c>
      <c r="AX28" s="110">
        <f>'насел.'!AX28+пільги!AX28+субсидії!AX28+'держ.бюджет'!AX28+'місц.-районн.бюджет'!AX28+обласний!AX28+інші!AX28</f>
        <v>338.20000000000016</v>
      </c>
      <c r="AY28" s="104"/>
      <c r="AZ28" s="104"/>
      <c r="BA28" s="104"/>
      <c r="BB28" s="104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7688.6</v>
      </c>
      <c r="D30" s="37">
        <f>'насел.'!D30+пільги!D30+субсидії!D30+'держ.бюджет'!D30+'місц.-районн.бюджет'!D30+обласний!D30+інші!D30</f>
        <v>4183.299999999999</v>
      </c>
      <c r="E30" s="37">
        <f>'насел.'!E30+пільги!E30+субсидії!E30+'держ.бюджет'!E30+'місц.-районн.бюджет'!E30+обласний!E30+інші!E30</f>
        <v>3904.2000000000003</v>
      </c>
      <c r="F30" s="38">
        <f t="shared" si="14"/>
        <v>93.32823369110514</v>
      </c>
      <c r="G30" s="37">
        <f>'насел.'!G30+пільги!G30+субсидії!G30+'держ.бюджет'!G30+'місц.-районн.бюджет'!G30+обласний!G30+інші!G30</f>
        <v>4278.999999999999</v>
      </c>
      <c r="H30" s="37">
        <f>'насел.'!H30+пільги!H30+субсидії!H30+'держ.бюджет'!H30+'місц.-районн.бюджет'!H30+обласний!H30+інші!H30</f>
        <v>4117.199999999999</v>
      </c>
      <c r="I30" s="38">
        <f t="shared" si="15"/>
        <v>96.2187426968918</v>
      </c>
      <c r="J30" s="37">
        <f>'насел.'!J30+пільги!J30+субсидії!J30+'держ.бюджет'!J30+'місц.-районн.бюджет'!J30+обласний!J30+інші!J30</f>
        <v>5591.599999999999</v>
      </c>
      <c r="K30" s="37">
        <f>'насел.'!K30+пільги!K30+субсидії!K30+'держ.бюджет'!K30+'місц.-районн.бюджет'!K30+обласний!K30+інші!K30</f>
        <v>4363.5</v>
      </c>
      <c r="L30" s="38">
        <f t="shared" si="16"/>
        <v>78.03669790399887</v>
      </c>
      <c r="M30" s="38">
        <f>'насел.'!M30+пільги!M30+субсидії!M30+'держ.бюджет'!M30+'місц.-районн.бюджет'!M30+обласний!M30+інші!M30</f>
        <v>14053.899999999998</v>
      </c>
      <c r="N30" s="38">
        <f>'насел.'!N30+пільги!N30+субсидії!N30+'держ.бюджет'!N30+'місц.-районн.бюджет'!N30+обласний!N30+інші!N30</f>
        <v>12384.900000000001</v>
      </c>
      <c r="O30" s="38">
        <f t="shared" si="17"/>
        <v>88.12429290090297</v>
      </c>
      <c r="P30" s="37">
        <f>'насел.'!P30+пільги!P30+субсидії!P30+'держ.бюджет'!P30+'місц.-районн.бюджет'!P30+обласний!P30+інші!P30</f>
        <v>5681.3</v>
      </c>
      <c r="Q30" s="37">
        <f>'насел.'!Q30+пільги!Q30+субсидії!Q30+'держ.бюджет'!Q30+'місц.-районн.бюджет'!Q30+обласний!Q30+інші!Q30</f>
        <v>5403.000000000001</v>
      </c>
      <c r="R30" s="37">
        <f t="shared" si="18"/>
        <v>95.10147325436081</v>
      </c>
      <c r="S30" s="37">
        <f>'насел.'!S30+пільги!S30+субсидії!S30+'держ.бюджет'!S30+'місц.-районн.бюджет'!S30+обласний!S30+інші!S30</f>
        <v>5410.500000000001</v>
      </c>
      <c r="T30" s="37">
        <f>'насел.'!T30+пільги!T30+субсидії!T30+'держ.бюджет'!T30+'місц.-районн.бюджет'!T30+обласний!T30+інші!T30</f>
        <v>5222</v>
      </c>
      <c r="U30" s="38">
        <f t="shared" si="19"/>
        <v>96.5160336382959</v>
      </c>
      <c r="V30" s="37">
        <f>'насел.'!V30+пільги!V30+субсидії!V30+'держ.бюджет'!V30+'місц.-районн.бюджет'!V30+обласний!V30+інші!V30</f>
        <v>5798.7</v>
      </c>
      <c r="W30" s="37">
        <f>'насел.'!W30+пільги!W30+субсидії!W30+'держ.бюджет'!W30+'місц.-районн.бюджет'!W30+обласний!W30+інші!W30</f>
        <v>5235</v>
      </c>
      <c r="X30" s="38">
        <f t="shared" si="20"/>
        <v>90.27885560556676</v>
      </c>
      <c r="Y30" s="37">
        <f>'насел.'!Y30+пільги!Y30+субсидії!Y30+'держ.бюджет'!Y30+'місц.-районн.бюджет'!Y30+обласний!Y30+інші!Y30</f>
        <v>16890.5</v>
      </c>
      <c r="Z30" s="37">
        <f>'насел.'!Z30+пільги!Z30+субсидії!Z30+'держ.бюджет'!Z30+'місц.-районн.бюджет'!Z30+обласний!Z30+інші!Z30</f>
        <v>15860.000000000004</v>
      </c>
      <c r="AA30" s="38">
        <f t="shared" si="21"/>
        <v>93.89893727243127</v>
      </c>
      <c r="AB30" s="37">
        <f>'насел.'!AB30+пільги!AB30+субсидії!AB30+'держ.бюджет'!AB30+'місц.-районн.бюджет'!AB30+обласний!AB30+інші!AB30</f>
        <v>5509.6</v>
      </c>
      <c r="AC30" s="37">
        <f>'насел.'!AC30+пільги!AC30+субсидії!AC30+'держ.бюджет'!AC30+'місц.-районн.бюджет'!AC30+обласний!AC30+інші!AC30</f>
        <v>5479.299999999999</v>
      </c>
      <c r="AD30" s="38">
        <f t="shared" si="22"/>
        <v>99.45005082038621</v>
      </c>
      <c r="AE30" s="37">
        <f>'насел.'!AE30+пільги!AE30+субсидії!AE30+'держ.бюджет'!AE30+'місц.-районн.бюджет'!AE30+обласний!AE30+інші!AE30</f>
        <v>5893.220000000001</v>
      </c>
      <c r="AF30" s="37">
        <f>'насел.'!AF30+пільги!AF30+субсидії!AF30+'держ.бюджет'!AF30+'місц.-районн.бюджет'!AF30+обласний!AF30+інші!AF30</f>
        <v>5664.5</v>
      </c>
      <c r="AG30" s="38">
        <f t="shared" si="23"/>
        <v>96.11892988892319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11402.82</v>
      </c>
      <c r="AL30" s="37">
        <f>'насел.'!AL30+пільги!AK30+субсидії!AL30+'держ.бюджет'!AL30+'місц.-районн.бюджет'!AL30+обласний!AL30+інші!AL30</f>
        <v>11143.8</v>
      </c>
      <c r="AM30" s="37">
        <f t="shared" si="25"/>
        <v>97.72845664493519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42347.22</v>
      </c>
      <c r="AU30" s="37">
        <f>'насел.'!AU30+пільги!AU30+субсидії!AU30+'держ.бюджет'!AU30+'місц.-районн.бюджет'!AU30+обласний!AU30+інші!AU30</f>
        <v>39388.700000000004</v>
      </c>
      <c r="AV30" s="38">
        <f t="shared" si="26"/>
        <v>93.01366181770611</v>
      </c>
      <c r="AW30" s="37">
        <f t="shared" si="13"/>
        <v>2958.519999999997</v>
      </c>
      <c r="AX30" s="110">
        <f>'насел.'!AX30+пільги!AX30+субсидії!AX30+'держ.бюджет'!AX30+'місц.-районн.бюджет'!AX30+обласний!AX30+інші!AX30</f>
        <v>10647.119999999992</v>
      </c>
      <c r="AY30" s="109"/>
      <c r="AZ30" s="109"/>
      <c r="BA30" s="109"/>
      <c r="BB30" s="109"/>
    </row>
    <row r="31" spans="1:54" ht="34.5" customHeight="1">
      <c r="A31" s="30" t="s">
        <v>8</v>
      </c>
      <c r="B31" s="33" t="s">
        <v>164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214.3</v>
      </c>
      <c r="K31" s="77">
        <f>'насел.'!K31+пільги!K31+субсидії!K31+'держ.бюджет'!K31+'місц.-районн.бюджет'!K31+обласний!K31+інші!K31</f>
        <v>207.9</v>
      </c>
      <c r="L31" s="75">
        <f t="shared" si="16"/>
        <v>97.01353243117126</v>
      </c>
      <c r="M31" s="75">
        <f>'насел.'!M31+пільги!M31+субсидії!M31+'держ.бюджет'!M31+'місц.-районн.бюджет'!M31+обласний!M31+інші!M31</f>
        <v>586.8</v>
      </c>
      <c r="N31" s="75">
        <f>'насел.'!N31+пільги!N31+субсидії!N31+'держ.бюджет'!N31+'місц.-районн.бюджет'!N31+обласний!N31+інші!N31</f>
        <v>590.8000000000001</v>
      </c>
      <c r="O31" s="75">
        <f t="shared" si="17"/>
        <v>100.6816632583504</v>
      </c>
      <c r="P31" s="77">
        <f>'насел.'!P31+пільги!P31+субсидії!P31+'держ.бюджет'!P31+'місц.-районн.бюджет'!P31+обласний!P31+інші!P31</f>
        <v>207.8</v>
      </c>
      <c r="Q31" s="77">
        <f>'насел.'!Q31+пільги!Q31+субсидії!Q31+'держ.бюджет'!Q31+'місц.-районн.бюджет'!Q31+обласний!Q31+інші!Q31</f>
        <v>203.60000000000002</v>
      </c>
      <c r="R31" s="77">
        <f t="shared" si="18"/>
        <v>97.97882579403273</v>
      </c>
      <c r="S31" s="77">
        <f>'насел.'!S31+пільги!S31+субсидії!S31+'держ.бюджет'!S31+'місц.-районн.бюджет'!S31+обласний!S31+інші!S31</f>
        <v>196.89999999999998</v>
      </c>
      <c r="T31" s="77">
        <f>'насел.'!T31+пільги!T31+субсидії!T31+'держ.бюджет'!T31+'місц.-районн.бюджет'!T31+обласний!T31+інші!T31</f>
        <v>199.6</v>
      </c>
      <c r="U31" s="75">
        <f t="shared" si="19"/>
        <v>101.37125444388016</v>
      </c>
      <c r="V31" s="77">
        <f>'насел.'!V31+пільги!V31+субсидії!V31+'держ.бюджет'!V31+'місц.-районн.бюджет'!V31+обласний!V31+інші!V31</f>
        <v>208.2</v>
      </c>
      <c r="W31" s="77">
        <f>'насел.'!W31+пільги!W31+субсидії!W31+'держ.бюджет'!W31+'місц.-районн.бюджет'!W31+обласний!W31+інші!W31</f>
        <v>192.90000000000003</v>
      </c>
      <c r="X31" s="75">
        <f t="shared" si="20"/>
        <v>92.6512968299712</v>
      </c>
      <c r="Y31" s="77">
        <f>'насел.'!Y31+пільги!Y31+субсидії!Y31+'держ.бюджет'!Y31+'місц.-районн.бюджет'!Y31+обласний!Y31+інші!Y31</f>
        <v>612.9000000000002</v>
      </c>
      <c r="Z31" s="77">
        <f>'насел.'!Z31+пільги!Z31+субсидії!Z31+'держ.бюджет'!Z31+'місц.-районн.бюджет'!Z31+обласний!Z31+інші!Z31</f>
        <v>596.1</v>
      </c>
      <c r="AA31" s="75">
        <f t="shared" si="21"/>
        <v>97.25893294175229</v>
      </c>
      <c r="AB31" s="77">
        <f>'насел.'!AB31+пільги!AB31+субсидії!AB31+'держ.бюджет'!AB31+'місц.-районн.бюджет'!AB31+обласний!AB31+інші!AB31</f>
        <v>222.3</v>
      </c>
      <c r="AC31" s="77">
        <f>'насел.'!AC31+пільги!AC31+субсидії!AC31+'держ.бюджет'!AC31+'місц.-районн.бюджет'!AC31+обласний!AC31+інші!AC31</f>
        <v>196.8</v>
      </c>
      <c r="AD31" s="75">
        <f t="shared" si="22"/>
        <v>88.52901484480432</v>
      </c>
      <c r="AE31" s="77">
        <f>'насел.'!AE31+пільги!AE31+субсидії!AE31+'держ.бюджет'!AE31+'місц.-районн.бюджет'!AE31+обласний!AE31+інші!AE31</f>
        <v>212.59999999999997</v>
      </c>
      <c r="AF31" s="77">
        <f>'насел.'!AF31+пільги!AF31+субсидії!AF31+'держ.бюджет'!AF31+'місц.-районн.бюджет'!AF31+обласний!AF31+інші!AF31</f>
        <v>199.60000000000002</v>
      </c>
      <c r="AG31" s="75">
        <f t="shared" si="23"/>
        <v>93.88523047977425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434.8999999999999</v>
      </c>
      <c r="AL31" s="77">
        <f>'насел.'!AL31+пільги!AK31+субсидії!AL31+'держ.бюджет'!AL31+'місц.-районн.бюджет'!AL31+обласний!AL31+інші!AL31</f>
        <v>396.4</v>
      </c>
      <c r="AM31" s="77">
        <f t="shared" si="25"/>
        <v>91.14739020464476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1634.6000000000001</v>
      </c>
      <c r="AU31" s="77">
        <f>'насел.'!AU31+пільги!AU31+субсидії!AU31+'держ.бюджет'!AU31+'місц.-районн.бюджет'!AU31+обласний!AU31+інші!AU31</f>
        <v>1583.3</v>
      </c>
      <c r="AV31" s="75">
        <f t="shared" si="26"/>
        <v>96.86161752110607</v>
      </c>
      <c r="AW31" s="77">
        <f t="shared" si="13"/>
        <v>51.30000000000018</v>
      </c>
      <c r="AX31" s="110">
        <f>'насел.'!AX31+пільги!AX31+субсидії!AX31+'держ.бюджет'!AX31+'місц.-районн.бюджет'!AX31+обласний!AX31+інші!AX31</f>
        <v>568.2000000000002</v>
      </c>
      <c r="AY31" s="104"/>
      <c r="AZ31" s="104"/>
      <c r="BA31" s="104"/>
      <c r="BB31" s="104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103.5</v>
      </c>
      <c r="F32" s="75">
        <f aca="true" t="shared" si="27" ref="F32:F38">E32/D32*100</f>
        <v>77.81954887218043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315.5</v>
      </c>
      <c r="O32" s="75">
        <f aca="true" t="shared" si="30" ref="O32:O38">N32/M32*100</f>
        <v>86.77117711771179</v>
      </c>
      <c r="P32" s="77">
        <f>'насел.'!P32+пільги!P32+субсидії!P32+'держ.бюджет'!P32+'місц.-районн.бюджет'!P32+обласний!P32+інші!P32</f>
        <v>112.6</v>
      </c>
      <c r="Q32" s="77">
        <f>'насел.'!Q32+пільги!Q32+субсидії!Q32+'держ.бюджет'!Q32+'місц.-районн.бюджет'!Q32+обласний!Q32+інші!Q32</f>
        <v>77.7</v>
      </c>
      <c r="R32" s="77">
        <f aca="true" t="shared" si="31" ref="R32:R38">Q32/P32*100</f>
        <v>69.00532859680285</v>
      </c>
      <c r="S32" s="77">
        <f>'насел.'!S32+пільги!S32+субсидії!S32+'держ.бюджет'!S32+'місц.-районн.бюджет'!S32+обласний!S32+інші!S32</f>
        <v>140.4</v>
      </c>
      <c r="T32" s="77">
        <f>'насел.'!T32+пільги!T32+субсидії!T32+'держ.бюджет'!T32+'місц.-районн.бюджет'!T32+обласний!T32+інші!T32</f>
        <v>141.4</v>
      </c>
      <c r="U32" s="75">
        <f aca="true" t="shared" si="32" ref="U32:U38">T32/S32*100</f>
        <v>100.71225071225072</v>
      </c>
      <c r="V32" s="77">
        <f>'насел.'!V32+пільги!V32+субсидії!V32+'держ.бюджет'!V32+'місц.-районн.бюджет'!V32+обласний!V32+інші!V32</f>
        <v>144.29999999999998</v>
      </c>
      <c r="W32" s="77">
        <f>'насел.'!W32+пільги!W32+субсидії!W32+'держ.бюджет'!W32+'місц.-районн.бюджет'!W32+обласний!W32+інші!W32</f>
        <v>127.1</v>
      </c>
      <c r="X32" s="75">
        <f aca="true" t="shared" si="33" ref="X32:X38">W32/V32*100</f>
        <v>88.08038808038809</v>
      </c>
      <c r="Y32" s="77">
        <f>'насел.'!Y32+пільги!Y32+субсидії!Y32+'держ.бюджет'!Y32+'місц.-районн.бюджет'!Y32+обласний!Y32+інші!Y32</f>
        <v>397.29999999999995</v>
      </c>
      <c r="Z32" s="77">
        <f>'насел.'!Z32+пільги!Z32+субсидії!Z32+'держ.бюджет'!Z32+'місц.-районн.бюджет'!Z32+обласний!Z32+інші!Z32</f>
        <v>346.2</v>
      </c>
      <c r="AA32" s="75">
        <f aca="true" t="shared" si="34" ref="AA32:AA38">Z32/Y32*100</f>
        <v>87.1381827334508</v>
      </c>
      <c r="AB32" s="77">
        <f>'насел.'!AB32+пільги!AB32+субсидії!AB32+'держ.бюджет'!AB32+'місц.-районн.бюджет'!AB32+обласний!AB32+інші!AB32</f>
        <v>150.10000000000002</v>
      </c>
      <c r="AC32" s="77">
        <f>'насел.'!AC32+пільги!AC32+субсидії!AC32+'держ.бюджет'!AC32+'місц.-районн.бюджет'!AC32+обласний!AC32+інші!AC32</f>
        <v>123</v>
      </c>
      <c r="AD32" s="75">
        <f aca="true" t="shared" si="35" ref="AD32:AD38">AC32/AB32*100</f>
        <v>81.94536975349766</v>
      </c>
      <c r="AE32" s="77">
        <f>'насел.'!AE32+пільги!AE32+субсидії!AE32+'держ.бюджет'!AE32+'місц.-районн.бюджет'!AE32+обласний!AE32+інші!AE32</f>
        <v>138.8</v>
      </c>
      <c r="AF32" s="77">
        <f>'насел.'!AF32+пільги!AF32+субсидії!AF32+'держ.бюджет'!AF32+'місц.-районн.бюджет'!AF32+обласний!AF32+інші!AF32</f>
        <v>168</v>
      </c>
      <c r="AG32" s="75">
        <f aca="true" t="shared" si="36" ref="AG32:AG38">AF32/AE32*100</f>
        <v>121.03746397694523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288.90000000000003</v>
      </c>
      <c r="AL32" s="77">
        <f>'насел.'!AL32+пільги!AK32+субсидії!AL32+'держ.бюджет'!AL32+'місц.-районн.бюджет'!AL32+обласний!AL32+інші!AL32</f>
        <v>291</v>
      </c>
      <c r="AM32" s="77">
        <f aca="true" t="shared" si="38" ref="AM32:AM38">AL32/AK32*100</f>
        <v>100.72689511941849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1049.8</v>
      </c>
      <c r="AU32" s="77">
        <f>'насел.'!AU32+пільги!AU32+субсидії!AU32+'держ.бюджет'!AU32+'місц.-районн.бюджет'!AU32+обласний!AU32+інші!AU32</f>
        <v>952.6999999999999</v>
      </c>
      <c r="AV32" s="75">
        <f aca="true" t="shared" si="39" ref="AV32:AV38">AU32/AT32*100</f>
        <v>90.75061916555535</v>
      </c>
      <c r="AW32" s="77">
        <f t="shared" si="13"/>
        <v>97.10000000000002</v>
      </c>
      <c r="AX32" s="110">
        <f>'насел.'!AX32+пільги!AX32+субсидії!AX32+'держ.бюджет'!AX32+'місц.-районн.бюджет'!AX32+обласний!AX32+інші!AX32</f>
        <v>228.49999999999997</v>
      </c>
      <c r="AY32" s="104"/>
      <c r="AZ32" s="104"/>
      <c r="BA32" s="104"/>
      <c r="BB32" s="104"/>
    </row>
    <row r="33" spans="1:54" ht="34.5" customHeight="1">
      <c r="A33" s="30" t="s">
        <v>10</v>
      </c>
      <c r="B33" s="33" t="s">
        <v>170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98.2</v>
      </c>
      <c r="K33" s="77">
        <f>'насел.'!K33+пільги!K33+субсидії!K33+'держ.бюджет'!K33+'місц.-районн.бюджет'!K33+обласний!K33+інші!K33</f>
        <v>103.6</v>
      </c>
      <c r="L33" s="75">
        <f t="shared" si="29"/>
        <v>105.49898167006108</v>
      </c>
      <c r="M33" s="75">
        <f>'насел.'!M33+пільги!M33+субсидії!M33+'держ.бюджет'!M33+'місц.-районн.бюджет'!M33+обласний!M33+інші!M33</f>
        <v>283.5</v>
      </c>
      <c r="N33" s="75">
        <f>'насел.'!N33+пільги!N33+субсидії!N33+'держ.бюджет'!N33+'місц.-районн.бюджет'!N33+обласний!N33+інші!N33</f>
        <v>278.90000000000003</v>
      </c>
      <c r="O33" s="75">
        <f t="shared" si="30"/>
        <v>98.37742504409172</v>
      </c>
      <c r="P33" s="77">
        <f>'насел.'!P33+пільги!P33+субсидії!P33+'держ.бюджет'!P33+'місц.-районн.бюджет'!P33+обласний!P33+інші!P33</f>
        <v>95</v>
      </c>
      <c r="Q33" s="77">
        <f>'насел.'!Q33+пільги!Q33+субсидії!Q33+'держ.бюджет'!Q33+'місц.-районн.бюджет'!Q33+обласний!Q33+інші!Q33</f>
        <v>102.80000000000001</v>
      </c>
      <c r="R33" s="77">
        <f t="shared" si="31"/>
        <v>108.2105263157895</v>
      </c>
      <c r="S33" s="77">
        <f>'насел.'!S33+пільги!S33+субсидії!S33+'держ.бюджет'!S33+'місц.-районн.бюджет'!S33+обласний!S33+інші!S33</f>
        <v>91.19999999999999</v>
      </c>
      <c r="T33" s="77">
        <f>'насел.'!T33+пільги!T33+субсидії!T33+'держ.бюджет'!T33+'місц.-районн.бюджет'!T33+обласний!T33+інші!T33</f>
        <v>87.10000000000001</v>
      </c>
      <c r="U33" s="75">
        <f t="shared" si="32"/>
        <v>95.5043859649123</v>
      </c>
      <c r="V33" s="77">
        <f>'насел.'!V33+пільги!V33+субсидії!V33+'держ.бюджет'!V33+'місц.-районн.бюджет'!V33+обласний!V33+інші!V33</f>
        <v>98.69999999999999</v>
      </c>
      <c r="W33" s="77">
        <f>'насел.'!W33+пільги!W33+субсидії!W33+'держ.бюджет'!W33+'місц.-районн.бюджет'!W33+обласний!W33+інші!W33</f>
        <v>82.90000000000002</v>
      </c>
      <c r="X33" s="75">
        <f t="shared" si="33"/>
        <v>83.99189463019253</v>
      </c>
      <c r="Y33" s="77">
        <f>'насел.'!Y33+пільги!Y33+субсидії!Y33+'держ.бюджет'!Y33+'місц.-районн.бюджет'!Y33+обласний!Y33+інші!Y33</f>
        <v>284.90000000000003</v>
      </c>
      <c r="Z33" s="77">
        <f>'насел.'!Z33+пільги!Z33+субсидії!Z33+'держ.бюджет'!Z33+'місц.-районн.бюджет'!Z33+обласний!Z33+інші!Z33</f>
        <v>272.8</v>
      </c>
      <c r="AA33" s="75">
        <f t="shared" si="34"/>
        <v>95.75289575289575</v>
      </c>
      <c r="AB33" s="77">
        <f>'насел.'!AB33+пільги!AB33+субсидії!AB33+'держ.бюджет'!AB33+'місц.-районн.бюджет'!AB33+обласний!AB33+інші!AB33</f>
        <v>107.00000000000001</v>
      </c>
      <c r="AC33" s="77">
        <f>'насел.'!AC33+пільги!AC33+субсидії!AC33+'держ.бюджет'!AC33+'місц.-районн.бюджет'!AC33+обласний!AC33+інші!AC33</f>
        <v>104.5</v>
      </c>
      <c r="AD33" s="75">
        <f t="shared" si="35"/>
        <v>97.66355140186914</v>
      </c>
      <c r="AE33" s="77">
        <f>'насел.'!AE33+пільги!AE33+субсидії!AE33+'держ.бюджет'!AE33+'місц.-районн.бюджет'!AE33+обласний!AE33+інші!AE33</f>
        <v>105.3</v>
      </c>
      <c r="AF33" s="77">
        <f>'насел.'!AF33+пільги!AF33+субсидії!AF33+'держ.бюджет'!AF33+'місц.-районн.бюджет'!AF33+обласний!AF33+інші!AF33</f>
        <v>97.69999999999999</v>
      </c>
      <c r="AG33" s="75">
        <f t="shared" si="36"/>
        <v>92.78252611585944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212.3</v>
      </c>
      <c r="AL33" s="77">
        <f>'насел.'!AL33+пільги!AK33+субсидії!AL33+'держ.бюджет'!AL33+'місц.-районн.бюджет'!AL33+обласний!AL33+інші!AL33</f>
        <v>202.20000000000002</v>
      </c>
      <c r="AM33" s="77">
        <f t="shared" si="38"/>
        <v>95.24258125294395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780.7</v>
      </c>
      <c r="AU33" s="77">
        <f>'насел.'!AU33+пільги!AU33+субсидії!AU33+'держ.бюджет'!AU33+'місц.-районн.бюджет'!AU33+обласний!AU33+інші!AU33</f>
        <v>753.9000000000001</v>
      </c>
      <c r="AV33" s="75">
        <f t="shared" si="39"/>
        <v>96.56718329704113</v>
      </c>
      <c r="AW33" s="77">
        <f t="shared" si="13"/>
        <v>26.799999999999955</v>
      </c>
      <c r="AX33" s="110">
        <f>'насел.'!AX33+пільги!AX33+субсидії!AX33+'держ.бюджет'!AX33+'місц.-районн.бюджет'!AX33+обласний!AX33+інші!AX33</f>
        <v>207.50000000000003</v>
      </c>
      <c r="AY33" s="104"/>
      <c r="AZ33" s="104"/>
      <c r="BA33" s="104"/>
      <c r="BB33" s="104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ht="34.5" customHeight="1">
      <c r="A35" s="30" t="s">
        <v>29</v>
      </c>
      <c r="B35" s="35" t="s">
        <v>159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4703.4</v>
      </c>
      <c r="K35" s="77">
        <f>'насел.'!K35+пільги!K35+субсидії!K35+'держ.бюджет'!K35+'місц.-районн.бюджет'!K35+обласний!K35+інші!K35</f>
        <v>3473.7000000000003</v>
      </c>
      <c r="L35" s="75">
        <f t="shared" si="29"/>
        <v>73.8550835565761</v>
      </c>
      <c r="M35" s="75">
        <f>'насел.'!M35+пільги!M35+субсидії!M35+'держ.бюджет'!M35+'місц.-районн.бюджет'!M35+обласний!M35+інші!M35</f>
        <v>11446.399999999998</v>
      </c>
      <c r="N35" s="75">
        <f>'насел.'!N35+пільги!N35+субсидії!N35+'держ.бюджет'!N35+'місц.-районн.бюджет'!N35+обласний!N35+інші!N35</f>
        <v>9924.5</v>
      </c>
      <c r="O35" s="75">
        <f t="shared" si="30"/>
        <v>86.70411657813813</v>
      </c>
      <c r="P35" s="77">
        <f>'насел.'!P35+пільги!P35+субсидії!P35+'держ.бюджет'!P35+'місц.-районн.бюджет'!P35+обласний!P35+інші!P35</f>
        <v>4832.6</v>
      </c>
      <c r="Q35" s="77">
        <f>'насел.'!Q35+пільги!Q35+субсидії!Q35+'держ.бюджет'!Q35+'місц.-районн.бюджет'!Q35+обласний!Q35+інші!Q35</f>
        <v>4583.200000000001</v>
      </c>
      <c r="R35" s="77">
        <f t="shared" si="31"/>
        <v>94.83921698464596</v>
      </c>
      <c r="S35" s="77">
        <f>'насел.'!S35+пільги!S35+субсидії!S35+'держ.бюджет'!S35+'місц.-районн.бюджет'!S35+обласний!S35+інші!S35</f>
        <v>4514</v>
      </c>
      <c r="T35" s="77">
        <f>'насел.'!T35+пільги!T35+субсидії!T35+'держ.бюджет'!T35+'місц.-районн.бюджет'!T35+обласний!T35+інші!T35</f>
        <v>4336.099999999999</v>
      </c>
      <c r="U35" s="75">
        <f t="shared" si="32"/>
        <v>96.05892778023924</v>
      </c>
      <c r="V35" s="77">
        <f>'насел.'!V35+пільги!V35+субсидії!V35+'держ.бюджет'!V35+'місц.-районн.бюджет'!V35+обласний!V35+інші!V35</f>
        <v>4829.9</v>
      </c>
      <c r="W35" s="77">
        <f>'насел.'!W35+пільги!W35+субсидії!W35+'держ.бюджет'!W35+'місц.-районн.бюджет'!W35+обласний!W35+інші!W35</f>
        <v>4392.6</v>
      </c>
      <c r="X35" s="75">
        <f t="shared" si="33"/>
        <v>90.94598231847452</v>
      </c>
      <c r="Y35" s="77">
        <f>'насел.'!Y35+пільги!Y35+субсидії!Y35+'держ.бюджет'!Y35+'місц.-районн.бюджет'!Y35+обласний!Y35+інші!Y35</f>
        <v>14176.5</v>
      </c>
      <c r="Z35" s="77">
        <f>'насел.'!Z35+пільги!Z35+субсидії!Z35+'держ.бюджет'!Z35+'місц.-районн.бюджет'!Z35+обласний!Z35+інші!Z35</f>
        <v>13311.900000000001</v>
      </c>
      <c r="AA35" s="75">
        <f t="shared" si="34"/>
        <v>93.90117447889114</v>
      </c>
      <c r="AB35" s="77">
        <f>'насел.'!AB35+пільги!AB35+субсидії!AB35+'держ.бюджет'!AB35+'місц.-районн.бюджет'!AB35+обласний!AB35+інші!AB35</f>
        <v>4556.299999999999</v>
      </c>
      <c r="AC35" s="77">
        <f>'насел.'!AC35+пільги!AC35+субсидії!AC35+'держ.бюджет'!AC35+'місц.-районн.бюджет'!AC35+обласний!AC35+інші!AC35</f>
        <v>4579.300000000001</v>
      </c>
      <c r="AD35" s="75">
        <f t="shared" si="35"/>
        <v>100.50479555779913</v>
      </c>
      <c r="AE35" s="77">
        <f>'насел.'!AE35+пільги!AE35+субсидії!AE35+'держ.бюджет'!AE35+'місц.-районн.бюджет'!AE35+обласний!AE35+інші!AE35</f>
        <v>4819.42</v>
      </c>
      <c r="AF35" s="77">
        <f>'насел.'!AF35+пільги!AF35+субсидії!AF35+'держ.бюджет'!AF35+'місц.-районн.бюджет'!AF35+обласний!AF35+інші!AF35</f>
        <v>4712.5</v>
      </c>
      <c r="AG35" s="75">
        <f t="shared" si="36"/>
        <v>97.78147577924314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9375.72</v>
      </c>
      <c r="AL35" s="77">
        <f>'насел.'!AL35+пільги!AK35+субсидії!AL35+'держ.бюджет'!AL35+'місц.-районн.бюджет'!AL35+обласний!AL35+інші!AL35</f>
        <v>9291.800000000001</v>
      </c>
      <c r="AM35" s="77">
        <f t="shared" si="38"/>
        <v>99.10492207531797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34998.619999999995</v>
      </c>
      <c r="AU35" s="77">
        <f>'насел.'!AU35+пільги!AU35+субсидії!AU35+'держ.бюджет'!AU35+'місц.-районн.бюджет'!AU35+обласний!AU35+інші!AU35</f>
        <v>32528.2</v>
      </c>
      <c r="AV35" s="75">
        <f t="shared" si="39"/>
        <v>92.94137883150823</v>
      </c>
      <c r="AW35" s="77">
        <f t="shared" si="13"/>
        <v>2470.4199999999946</v>
      </c>
      <c r="AX35" s="110">
        <f>'насел.'!AX35+пільги!AX35+субсидії!AX35+'держ.бюджет'!AX35+'місц.-районн.бюджет'!AX35+обласний!AX35+інші!AX35</f>
        <v>8608.719999999998</v>
      </c>
      <c r="AY35" s="104"/>
      <c r="AZ35" s="104"/>
      <c r="BA35" s="104"/>
      <c r="BB35" s="104"/>
    </row>
    <row r="36" spans="1:54" ht="34.5" customHeight="1">
      <c r="A36" s="30" t="s">
        <v>30</v>
      </c>
      <c r="B36" s="35" t="s">
        <v>148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29.099999999999998</v>
      </c>
      <c r="K36" s="77">
        <f>'насел.'!K36+пільги!K36+субсидії!K36+'держ.бюджет'!K36+'місц.-районн.бюджет'!K36+обласний!K36+інші!K36</f>
        <v>23.9</v>
      </c>
      <c r="L36" s="75">
        <f t="shared" si="29"/>
        <v>82.13058419243985</v>
      </c>
      <c r="M36" s="75">
        <f>'насел.'!M36+пільги!M36+субсидії!M36+'держ.бюджет'!M36+'місц.-районн.бюджет'!M36+обласний!M36+інші!M36</f>
        <v>84.6</v>
      </c>
      <c r="N36" s="75">
        <f>'насел.'!N36+пільги!N36+субсидії!N36+'держ.бюджет'!N36+'місц.-районн.бюджет'!N36+обласний!N36+інші!N36</f>
        <v>74.10000000000001</v>
      </c>
      <c r="O36" s="75">
        <f t="shared" si="30"/>
        <v>87.58865248226952</v>
      </c>
      <c r="P36" s="77">
        <f>'насел.'!P36+пільги!P36+субсидії!P36+'держ.бюджет'!P36+'місц.-районн.бюджет'!P36+обласний!P36+інші!P36</f>
        <v>28.299999999999997</v>
      </c>
      <c r="Q36" s="77">
        <f>'насел.'!Q36+пільги!Q36+субсидії!Q36+'держ.бюджет'!Q36+'місц.-районн.бюджет'!Q36+обласний!Q36+інші!Q36</f>
        <v>18.7</v>
      </c>
      <c r="R36" s="77">
        <f t="shared" si="31"/>
        <v>66.07773851590106</v>
      </c>
      <c r="S36" s="77">
        <f>'насел.'!S36+пільги!S36+субсидії!S36+'держ.бюджет'!S36+'місц.-районн.бюджет'!S36+обласний!S36+інші!S36</f>
        <v>27.5</v>
      </c>
      <c r="T36" s="77">
        <f>'насел.'!T36+пільги!T36+субсидії!T36+'держ.бюджет'!T36+'місц.-районн.бюджет'!T36+обласний!T36+інші!T36</f>
        <v>25.599999999999998</v>
      </c>
      <c r="U36" s="75">
        <f t="shared" si="32"/>
        <v>93.09090909090908</v>
      </c>
      <c r="V36" s="77">
        <f>'насел.'!V36+пільги!V36+субсидії!V36+'держ.бюджет'!V36+'місц.-районн.бюджет'!V36+обласний!V36+інші!V36</f>
        <v>37.9</v>
      </c>
      <c r="W36" s="77">
        <f>'насел.'!W36+пільги!W36+субсидії!W36+'держ.бюджет'!W36+'місц.-районн.бюджет'!W36+обласний!W36+інші!W36</f>
        <v>27.2</v>
      </c>
      <c r="X36" s="75">
        <f t="shared" si="33"/>
        <v>71.76781002638522</v>
      </c>
      <c r="Y36" s="77">
        <f>'насел.'!Y36+пільги!Y36+субсидії!Y36+'держ.бюджет'!Y36+'місц.-районн.бюджет'!Y36+обласний!Y36+інші!Y36</f>
        <v>93.7</v>
      </c>
      <c r="Z36" s="77">
        <f>'насел.'!Z36+пільги!Z36+субсидії!Z36+'держ.бюджет'!Z36+'місц.-районн.бюджет'!Z36+обласний!Z36+інші!Z36</f>
        <v>71.49999999999999</v>
      </c>
      <c r="AA36" s="75">
        <f t="shared" si="34"/>
        <v>76.30736392742794</v>
      </c>
      <c r="AB36" s="77">
        <f>'насел.'!AB36+пільги!AB36+субсидії!AB36+'держ.бюджет'!AB36+'місц.-районн.бюджет'!AB36+обласний!AB36+інші!AB36</f>
        <v>38.4</v>
      </c>
      <c r="AC36" s="77">
        <f>'насел.'!AC36+пільги!AC36+субсидії!AC36+'держ.бюджет'!AC36+'місц.-районн.бюджет'!AC36+обласний!AC36+інші!AC36</f>
        <v>31.099999999999998</v>
      </c>
      <c r="AD36" s="75">
        <f t="shared" si="35"/>
        <v>80.98958333333333</v>
      </c>
      <c r="AE36" s="77">
        <f>'насел.'!AE36+пільги!AE36+субсидії!AE36+'держ.бюджет'!AE36+'місц.-районн.бюджет'!AE36+обласний!AE36+інші!AE36</f>
        <v>30.2</v>
      </c>
      <c r="AF36" s="77">
        <f>'насел.'!AF36+пільги!AF36+субсидії!AF36+'держ.бюджет'!AF36+'місц.-районн.бюджет'!AF36+обласний!AF36+інші!AF36</f>
        <v>22.3</v>
      </c>
      <c r="AG36" s="75">
        <f t="shared" si="36"/>
        <v>73.84105960264901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68.6</v>
      </c>
      <c r="AL36" s="77">
        <f>'насел.'!AL36+пільги!AK36+субсидії!AL36+'держ.бюджет'!AL36+'місц.-районн.бюджет'!AL36+обласний!AL36+інші!AL36</f>
        <v>53.4</v>
      </c>
      <c r="AM36" s="77">
        <f t="shared" si="38"/>
        <v>77.84256559766764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246.9</v>
      </c>
      <c r="AU36" s="77">
        <f>'насел.'!AU36+пільги!AU36+субсидії!AU36+'держ.бюджет'!AU36+'місц.-районн.бюджет'!AU36+обласний!AU36+інші!AU36</f>
        <v>199</v>
      </c>
      <c r="AV36" s="75">
        <f t="shared" si="39"/>
        <v>80.59943296881328</v>
      </c>
      <c r="AW36" s="77">
        <f t="shared" si="13"/>
        <v>47.900000000000006</v>
      </c>
      <c r="AX36" s="110">
        <f>'насел.'!AX36+пільги!AX36+субсидії!AX36+'держ.бюджет'!AX36+'місц.-районн.бюджет'!AX36+обласний!AX36+інші!AX36</f>
        <v>253.60000000000002</v>
      </c>
      <c r="AY36" s="104"/>
      <c r="AZ36" s="104"/>
      <c r="BA36" s="104"/>
      <c r="BB36" s="104"/>
    </row>
    <row r="37" spans="1:54" ht="34.5" customHeight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20.1</v>
      </c>
      <c r="D37" s="77">
        <f>'насел.'!D37+пільги!D37+субсидії!D37+'держ.бюджет'!D37+'місц.-районн.бюджет'!D37+обласний!D37+інші!D37</f>
        <v>15.2</v>
      </c>
      <c r="E37" s="77">
        <f>'насел.'!E37+пільги!E37+субсидії!E37+'держ.бюджет'!E37+'місц.-районн.бюджет'!E37+обласний!E37+інші!E37</f>
        <v>15.2</v>
      </c>
      <c r="F37" s="75">
        <f t="shared" si="27"/>
        <v>100</v>
      </c>
      <c r="G37" s="77">
        <f>'насел.'!G37+пільги!G37+субсидії!G37+'держ.бюджет'!G37+'місц.-районн.бюджет'!G37+обласний!G37+інші!G37</f>
        <v>15.2</v>
      </c>
      <c r="H37" s="77">
        <f>'насел.'!H37+пільги!H37+субсидії!H37+'держ.бюджет'!H37+'місц.-районн.бюджет'!H37+обласний!H37+інші!H37</f>
        <v>15.2</v>
      </c>
      <c r="I37" s="75">
        <f t="shared" si="28"/>
        <v>100</v>
      </c>
      <c r="J37" s="77">
        <f>'насел.'!J37+пільги!J37+субсидії!J37+'держ.бюджет'!J37+'місц.-районн.бюджет'!J37+обласний!J37+інші!J37</f>
        <v>15.2</v>
      </c>
      <c r="K37" s="77">
        <f>'насел.'!K37+пільги!K37+субсидії!K37+'держ.бюджет'!K37+'місц.-районн.бюджет'!K37+обласний!K37+інші!K37</f>
        <v>15.2</v>
      </c>
      <c r="L37" s="75">
        <f t="shared" si="29"/>
        <v>100</v>
      </c>
      <c r="M37" s="75">
        <f>'насел.'!M37+пільги!M37+субсидії!M37+'держ.бюджет'!M37+'місц.-районн.бюджет'!M37+обласний!M37+інші!M37</f>
        <v>45.599999999999994</v>
      </c>
      <c r="N37" s="75">
        <f>'насел.'!N37+пільги!N37+субсидії!N37+'держ.бюджет'!N37+'місц.-районн.бюджет'!N37+обласний!N37+інші!N37</f>
        <v>45.599999999999994</v>
      </c>
      <c r="O37" s="75">
        <f t="shared" si="30"/>
        <v>100</v>
      </c>
      <c r="P37" s="77">
        <f>'насел.'!P37+пільги!P37+субсидії!P37+'держ.бюджет'!P37+'місц.-районн.бюджет'!P37+обласний!P37+інші!P37</f>
        <v>15.5</v>
      </c>
      <c r="Q37" s="77">
        <f>'насел.'!Q37+пільги!Q37+субсидії!Q37+'держ.бюджет'!Q37+'місц.-районн.бюджет'!Q37+обласний!Q37+інші!Q37</f>
        <v>15.7</v>
      </c>
      <c r="R37" s="77">
        <f t="shared" si="31"/>
        <v>101.29032258064517</v>
      </c>
      <c r="S37" s="77">
        <f>'насел.'!S37+пільги!S37+субсидії!S37+'держ.бюджет'!S37+'місц.-районн.бюджет'!S37+обласний!S37+інші!S37</f>
        <v>15.8</v>
      </c>
      <c r="T37" s="77">
        <f>'насел.'!T37+пільги!T37+субсидії!T37+'держ.бюджет'!T37+'місц.-районн.бюджет'!T37+обласний!T37+інші!T37</f>
        <v>15.899999999999999</v>
      </c>
      <c r="U37" s="75">
        <f t="shared" si="32"/>
        <v>100.63291139240505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31.300000000000004</v>
      </c>
      <c r="Z37" s="77">
        <f>'насел.'!Z37+пільги!Z37+субсидії!Z37+'держ.бюджет'!Z37+'місц.-районн.бюджет'!Z37+обласний!Z37+інші!Z37</f>
        <v>31.6</v>
      </c>
      <c r="AA37" s="75">
        <f t="shared" si="34"/>
        <v>100.95846645367412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76.89999999999999</v>
      </c>
      <c r="AU37" s="77">
        <f>'насел.'!AU37+пільги!AU37+субсидії!AU37+'держ.бюджет'!AU37+'місц.-районн.бюджет'!AU37+обласний!AU37+інші!AU37</f>
        <v>77.19999999999999</v>
      </c>
      <c r="AV37" s="75">
        <f t="shared" si="39"/>
        <v>100.39011703511053</v>
      </c>
      <c r="AW37" s="77">
        <f t="shared" si="13"/>
        <v>-0.29999999999999716</v>
      </c>
      <c r="AX37" s="110">
        <f>'насел.'!AX37+пільги!AX37+субсидії!AX37+'держ.бюджет'!AX37+'місц.-районн.бюджет'!AX37+обласний!AX37+інші!AX37</f>
        <v>19.800000000000004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389.5</v>
      </c>
      <c r="Q38" s="77">
        <f>'насел.'!Q38+пільги!Q38+субсидії!Q38+'держ.бюджет'!Q38+'місц.-районн.бюджет'!Q38+обласний!Q38+інші!Q38</f>
        <v>401.30000000000007</v>
      </c>
      <c r="R38" s="77">
        <f t="shared" si="31"/>
        <v>103.02952503209244</v>
      </c>
      <c r="S38" s="77">
        <f>'насел.'!S38+пільги!S38+субсидії!S38+'держ.бюджет'!S38+'місц.-районн.бюджет'!S38+обласний!S38+інші!S38</f>
        <v>424.7</v>
      </c>
      <c r="T38" s="77">
        <f>'насел.'!T38+пільги!T38+субсидії!T38+'держ.бюджет'!T38+'місц.-районн.бюджет'!T38+обласний!T38+інші!T38</f>
        <v>416.3</v>
      </c>
      <c r="U38" s="75">
        <f t="shared" si="32"/>
        <v>98.02213327054392</v>
      </c>
      <c r="V38" s="77">
        <f>'насел.'!V38+пільги!V38+субсидії!V38+'держ.бюджет'!V38+'місц.-районн.бюджет'!V38+обласний!V38+інші!V38</f>
        <v>479.7</v>
      </c>
      <c r="W38" s="77">
        <f>'насел.'!W38+пільги!W38+субсидії!W38+'держ.бюджет'!W38+'місц.-районн.бюджет'!W38+обласний!W38+інші!W38</f>
        <v>412.3</v>
      </c>
      <c r="X38" s="75">
        <f t="shared" si="33"/>
        <v>85.94955180321034</v>
      </c>
      <c r="Y38" s="77">
        <f>'насел.'!Y38+пільги!Y38+субсидії!Y38+'держ.бюджет'!Y38+'місц.-районн.бюджет'!Y38+обласний!Y38+інші!Y38</f>
        <v>1293.8999999999999</v>
      </c>
      <c r="Z38" s="77">
        <f>'насел.'!Z38+пільги!Z38+субсидії!Z38+'держ.бюджет'!Z38+'місц.-районн.бюджет'!Z38+обласний!Z38+інші!Z38</f>
        <v>1229.8999999999999</v>
      </c>
      <c r="AA38" s="75">
        <f t="shared" si="34"/>
        <v>95.05371357910194</v>
      </c>
      <c r="AB38" s="77">
        <f>'насел.'!AB38+пільги!AB38+субсидії!AB38+'держ.бюджет'!AB38+'місц.-районн.бюджет'!AB38+обласний!AB38+інші!AB38</f>
        <v>435.5</v>
      </c>
      <c r="AC38" s="77">
        <f>'насел.'!AC38+пільги!AC38+субсидії!AC38+'держ.бюджет'!AC38+'місц.-районн.бюджет'!AC38+обласний!AC38+інші!AC38</f>
        <v>444.6</v>
      </c>
      <c r="AD38" s="75">
        <f t="shared" si="35"/>
        <v>102.08955223880598</v>
      </c>
      <c r="AE38" s="77">
        <f>'насел.'!AE38+пільги!AE38+субсидії!AE38+'держ.бюджет'!AE38+'місц.-районн.бюджет'!AE38+обласний!AE38+інші!AE38</f>
        <v>586.9</v>
      </c>
      <c r="AF38" s="77">
        <f>'насел.'!AF38+пільги!AF38+субсидії!AF38+'держ.бюджет'!AF38+'місц.-районн.бюджет'!AF38+обласний!AF38+інші!AF38</f>
        <v>464.3999999999999</v>
      </c>
      <c r="AG38" s="75">
        <f t="shared" si="36"/>
        <v>79.12761969671152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1022.4000000000001</v>
      </c>
      <c r="AL38" s="77">
        <f>'насел.'!AL38+пільги!AK38+субсидії!AL38+'держ.бюджет'!AL38+'місц.-районн.бюджет'!AL38+обласний!AL38+інші!AL38</f>
        <v>909</v>
      </c>
      <c r="AM38" s="77">
        <f t="shared" si="38"/>
        <v>88.90845070422534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3559.7</v>
      </c>
      <c r="AU38" s="77">
        <f>'насел.'!AU38+пільги!AU38+субсидії!AU38+'держ.бюджет'!AU38+'місц.-районн.бюджет'!AU38+обласний!AU38+інші!AU38</f>
        <v>3294.3999999999996</v>
      </c>
      <c r="AV38" s="75">
        <f t="shared" si="39"/>
        <v>92.5471247577043</v>
      </c>
      <c r="AW38" s="77">
        <f t="shared" si="13"/>
        <v>265.3000000000002</v>
      </c>
      <c r="AX38" s="110">
        <f>'насел.'!AX38+пільги!AX38+субсидії!AX38+'держ.бюджет'!AX38+'місц.-районн.бюджет'!AX38+обласний!AX38+інші!AX38</f>
        <v>760.7999999999998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9782.900000000001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82.13822077298141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27131.7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87.87285721130633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9644.999999999998</v>
      </c>
      <c r="T39" s="37">
        <f>'насел.'!T39+пільги!T39+субсидії!T39+'держ.бюджет'!T39+'місц.-районн.бюджет'!T39+обласний!T39+інші!T39</f>
        <v>8197.8</v>
      </c>
      <c r="U39" s="38">
        <f aca="true" t="shared" si="45" ref="U39:U44">T39/S39*100</f>
        <v>84.99533437013997</v>
      </c>
      <c r="V39" s="37">
        <f>'насел.'!V39+пільги!V39+субсидії!V39+'держ.бюджет'!V39+'місц.-районн.бюджет'!V39+обласний!V39+інші!V39</f>
        <v>9299.000000000002</v>
      </c>
      <c r="W39" s="37">
        <f>'насел.'!W39+пільги!W39+субсидії!W39+'держ.бюджет'!W39+'місц.-районн.бюджет'!W39+обласний!W39+інші!W39</f>
        <v>8074.8</v>
      </c>
      <c r="X39" s="38">
        <f aca="true" t="shared" si="46" ref="X39:X44">W39/V39*100</f>
        <v>86.83514356382405</v>
      </c>
      <c r="Y39" s="37">
        <f>'насел.'!Y39+пільги!Y39+субсидії!Y39+'держ.бюджет'!Y39+'місц.-районн.бюджет'!Y39+обласний!Y39+інші!Y39</f>
        <v>27849.300000000003</v>
      </c>
      <c r="Z39" s="37">
        <f>'насел.'!Z39+пільги!Z39+субсидії!Z39+'держ.бюджет'!Z39+'місц.-районн.бюджет'!Z39+обласний!Z39+інші!Z39</f>
        <v>23825.7</v>
      </c>
      <c r="AA39" s="38">
        <f aca="true" t="shared" si="47" ref="AA39:AA44">Z39/Y39*100</f>
        <v>85.55224009221057</v>
      </c>
      <c r="AB39" s="37">
        <f>'насел.'!AB39+пільги!AB39+субсидії!AB39+'держ.бюджет'!AB39+'місц.-районн.бюджет'!AB39+обласний!AB39+інші!AB39</f>
        <v>8754.099999999999</v>
      </c>
      <c r="AC39" s="37">
        <f>'насел.'!AC39+пільги!AC39+субсидії!AC39+'держ.бюджет'!AC39+'місц.-районн.бюджет'!AC39+обласний!AC39+інші!AC39</f>
        <v>8484.2</v>
      </c>
      <c r="AD39" s="38">
        <f aca="true" t="shared" si="48" ref="AD39:AD44">AC39/AB39*100</f>
        <v>96.91687323654061</v>
      </c>
      <c r="AE39" s="37">
        <f>'насел.'!AE39+пільги!AE39+субсидії!AE39+'держ.бюджет'!AE39+'місц.-районн.бюджет'!AE39+обласний!AE39+інші!AE39</f>
        <v>9015.899999999998</v>
      </c>
      <c r="AF39" s="37">
        <f>'насел.'!AF39+пільги!AF39+субсидії!AF39+'держ.бюджет'!AF39+'місц.-районн.бюджет'!AF39+обласний!AF39+інші!AF39</f>
        <v>8482.8</v>
      </c>
      <c r="AG39" s="38">
        <f aca="true" t="shared" si="49" ref="AG39:AG44">AF39/AE39*100</f>
        <v>94.0871127674442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17770</v>
      </c>
      <c r="AL39" s="37">
        <f>'насел.'!AL39+пільги!AK39+субсидії!AL39+'держ.бюджет'!AL39+'місц.-районн.бюджет'!AL39+обласний!AL39+інші!AL39</f>
        <v>16967</v>
      </c>
      <c r="AM39" s="37">
        <f aca="true" t="shared" si="51" ref="AM39:AM44">AL39/AK39*100</f>
        <v>95.48114800225098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72750.99999999999</v>
      </c>
      <c r="AU39" s="37">
        <f>'насел.'!AU39+пільги!AU39+субсидії!AU39+'держ.бюджет'!AU39+'місц.-районн.бюджет'!AU39+обласний!AU39+інші!AU39</f>
        <v>64634.1</v>
      </c>
      <c r="AV39" s="38">
        <f aca="true" t="shared" si="52" ref="AV39:AV44">AU39/AT39*100</f>
        <v>88.8429025030584</v>
      </c>
      <c r="AW39" s="37">
        <f t="shared" si="13"/>
        <v>8116.899999999987</v>
      </c>
      <c r="AX39" s="110">
        <f>'насел.'!AX39+пільги!AX39+субсидії!AX39+'держ.бюджет'!AX39+'місц.-районн.бюджет'!AX39+обласний!AX39+інші!AX39</f>
        <v>59077.200000000004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13" customFormat="1" ht="34.5" customHeight="1">
      <c r="A41" s="112" t="s">
        <v>4</v>
      </c>
      <c r="B41" s="34" t="s">
        <v>169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102.2</v>
      </c>
      <c r="K41" s="77">
        <f>'насел.'!K41+пільги!K41+субсидії!K41+'держ.бюджет'!K41+'місц.-районн.бюджет'!K41+обласний!K41+інші!K41</f>
        <v>105.19999999999999</v>
      </c>
      <c r="L41" s="75">
        <f t="shared" si="42"/>
        <v>102.93542074363991</v>
      </c>
      <c r="M41" s="75">
        <f>'насел.'!M41+пільги!M41+субсидії!M41+'держ.бюджет'!M41+'місц.-районн.бюджет'!M41+обласний!M41+інші!M41</f>
        <v>317.79999999999995</v>
      </c>
      <c r="N41" s="75">
        <f>'насел.'!N41+пільги!N41+субсидії!N41+'держ.бюджет'!N41+'місц.-районн.бюджет'!N41+обласний!N41+інші!N41</f>
        <v>319.3</v>
      </c>
      <c r="O41" s="75">
        <f t="shared" si="43"/>
        <v>100.47199496538705</v>
      </c>
      <c r="P41" s="77">
        <f>'насел.'!P41+пільги!P41+субсидії!P41+'держ.бюджет'!P41+'місц.-районн.бюджет'!P41+обласний!P41+інші!P41</f>
        <v>124.1</v>
      </c>
      <c r="Q41" s="77">
        <f>'насел.'!Q41+пільги!Q41+субсидії!Q41+'держ.бюджет'!Q41+'місц.-районн.бюджет'!Q41+обласний!Q41+інші!Q41</f>
        <v>92.5</v>
      </c>
      <c r="R41" s="77">
        <f t="shared" si="44"/>
        <v>74.53666398066076</v>
      </c>
      <c r="S41" s="77">
        <f>'насел.'!S41+пільги!S41+субсидії!S41+'держ.бюджет'!S41+'місц.-районн.бюджет'!S41+обласний!S41+інші!S41</f>
        <v>110.1</v>
      </c>
      <c r="T41" s="77">
        <f>'насел.'!T41+пільги!T41+субсидії!T41+'держ.бюджет'!T41+'місц.-районн.бюджет'!T41+обласний!T41+інші!T41</f>
        <v>118</v>
      </c>
      <c r="U41" s="75">
        <f t="shared" si="45"/>
        <v>107.17529518619438</v>
      </c>
      <c r="V41" s="77">
        <f>'насел.'!V41+пільги!V41+субсидії!V41+'держ.бюджет'!V41+'місц.-районн.бюджет'!V41+обласний!V41+інші!V41</f>
        <v>114.3</v>
      </c>
      <c r="W41" s="77">
        <f>'насел.'!W41+пільги!W41+субсидії!W41+'держ.бюджет'!W41+'місц.-районн.бюджет'!W41+обласний!W41+інші!W41</f>
        <v>108.6</v>
      </c>
      <c r="X41" s="75">
        <f t="shared" si="46"/>
        <v>95.01312335958005</v>
      </c>
      <c r="Y41" s="77">
        <f>'насел.'!Y41+пільги!Y41+субсидії!Y41+'держ.бюджет'!Y41+'місц.-районн.бюджет'!Y41+обласний!Y41+інші!Y41</f>
        <v>348.5</v>
      </c>
      <c r="Z41" s="77">
        <f>'насел.'!Z41+пільги!Z41+субсидії!Z41+'держ.бюджет'!Z41+'місц.-районн.бюджет'!Z41+обласний!Z41+інші!Z41</f>
        <v>319.09999999999997</v>
      </c>
      <c r="AA41" s="75">
        <f t="shared" si="47"/>
        <v>91.56384505021519</v>
      </c>
      <c r="AB41" s="77">
        <f>'насел.'!AB41+пільги!AB41+субсидії!AB41+'держ.бюджет'!AB41+'місц.-районн.бюджет'!AB41+обласний!AB41+інші!AB41</f>
        <v>128</v>
      </c>
      <c r="AC41" s="77">
        <f>'насел.'!AC41+пільги!AC41+субсидії!AC41+'держ.бюджет'!AC41+'місц.-районн.бюджет'!AC41+обласний!AC41+інші!AC41</f>
        <v>119.8</v>
      </c>
      <c r="AD41" s="75">
        <f t="shared" si="48"/>
        <v>93.59375</v>
      </c>
      <c r="AE41" s="77">
        <f>'насел.'!AE41+пільги!AE41+субсидії!AE41+'держ.бюджет'!AE41+'місц.-районн.бюджет'!AE41+обласний!AE41+інші!AE41</f>
        <v>117.9</v>
      </c>
      <c r="AF41" s="77">
        <f>'насел.'!AF41+пільги!AF41+субсидії!AF41+'держ.бюджет'!AF41+'місц.-районн.бюджет'!AF41+обласний!AF41+інші!AF41</f>
        <v>112.7</v>
      </c>
      <c r="AG41" s="75">
        <f t="shared" si="49"/>
        <v>95.58948261238336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245.9</v>
      </c>
      <c r="AL41" s="77">
        <f>'насел.'!AL41+пільги!AK41+субсидії!AL41+'держ.бюджет'!AL41+'місц.-районн.бюджет'!AL41+обласний!AL41+інші!AL41</f>
        <v>232.5</v>
      </c>
      <c r="AM41" s="77">
        <f t="shared" si="51"/>
        <v>94.55063033753558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912.1999999999998</v>
      </c>
      <c r="AU41" s="77">
        <f>'насел.'!AU41+пільги!AU41+субсидії!AU41+'держ.бюджет'!AU41+'місц.-районн.бюджет'!AU41+обласний!AU41+інші!AU41</f>
        <v>870.9000000000001</v>
      </c>
      <c r="AV41" s="75">
        <f t="shared" si="52"/>
        <v>95.4724841043631</v>
      </c>
      <c r="AW41" s="77">
        <f t="shared" si="13"/>
        <v>41.29999999999973</v>
      </c>
      <c r="AX41" s="110">
        <f>'насел.'!AX41+пільги!AX41+субсидії!AX41+'держ.бюджет'!AX41+'місц.-районн.бюджет'!AX41+обласний!AX41+інші!AX41</f>
        <v>150.19999999999982</v>
      </c>
      <c r="AY41" s="104"/>
      <c r="AZ41" s="104"/>
      <c r="BA41" s="104"/>
      <c r="BB41" s="104"/>
    </row>
    <row r="42" spans="1:54" ht="44.25" customHeight="1">
      <c r="A42" s="30" t="s">
        <v>30</v>
      </c>
      <c r="B42" s="35" t="s">
        <v>162</v>
      </c>
      <c r="C42" s="73">
        <f>'насел.'!C42+пільги!C42+субсидії!C42+'держ.бюджет'!C42+'місц.-районн.бюджет'!C42+обласний!C42+інші!C42</f>
        <v>39115.4</v>
      </c>
      <c r="D42" s="73">
        <f>'насел.'!D42+пільги!D42+субсидії!D42+'держ.бюджет'!D42+'місц.-районн.бюджет'!D42+обласний!D42+інші!D42</f>
        <v>5899.7</v>
      </c>
      <c r="E42" s="73">
        <f>'насел.'!E42+пільги!E42+субсидії!E42+'держ.бюджет'!E42+'місц.-районн.бюджет'!E42+обласний!E42+інші!E42</f>
        <v>4792.899999999999</v>
      </c>
      <c r="F42" s="76">
        <f t="shared" si="40"/>
        <v>81.23972405376543</v>
      </c>
      <c r="G42" s="73">
        <f>'насел.'!G42+пільги!G42+субсидії!G42+'держ.бюджет'!G42+'місц.-районн.бюджет'!G42+обласний!G42+інші!G42</f>
        <v>5997.700000000001</v>
      </c>
      <c r="H42" s="73">
        <f>'насел.'!H42+пільги!H42+субсидії!H42+'держ.бюджет'!H42+'місц.-районн.бюджет'!H42+обласний!H42+інші!H42</f>
        <v>5378.7</v>
      </c>
      <c r="I42" s="76">
        <f t="shared" si="41"/>
        <v>89.6793770945529</v>
      </c>
      <c r="J42" s="73">
        <f>'насел.'!J42+пільги!J42+субсидії!J42+'держ.бюджет'!J42+'місц.-районн.бюджет'!J42+обласний!J42+інші!J42</f>
        <v>5216</v>
      </c>
      <c r="K42" s="73">
        <f>'насел.'!K42+пільги!K42+субсидії!K42+'держ.бюджет'!K42+'місц.-районн.бюджет'!K42+обласний!K42+інші!K42</f>
        <v>5695.900000000001</v>
      </c>
      <c r="L42" s="76">
        <f t="shared" si="42"/>
        <v>109.20053680981596</v>
      </c>
      <c r="M42" s="76">
        <f>'насел.'!M42+пільги!M42+субсидії!M42+'держ.бюджет'!M42+'місц.-районн.бюджет'!M42+обласний!M42+інші!M42</f>
        <v>17113.4</v>
      </c>
      <c r="N42" s="76">
        <f>'насел.'!N42+пільги!N42+субсидії!N42+'держ.бюджет'!N42+'місц.-районн.бюджет'!N42+обласний!N42+інші!N42</f>
        <v>15867.499999999996</v>
      </c>
      <c r="O42" s="76">
        <f t="shared" si="43"/>
        <v>92.71974008671565</v>
      </c>
      <c r="P42" s="73">
        <f>'насел.'!P42+пільги!P42+субсидії!P42+'держ.бюджет'!P42+'місц.-районн.бюджет'!P42+обласний!P42+інші!P42</f>
        <v>5660.000000000001</v>
      </c>
      <c r="Q42" s="73">
        <f>'насел.'!Q42+пільги!Q42+субсидії!Q42+'держ.бюджет'!Q42+'місц.-районн.бюджет'!Q42+обласний!Q42+інші!Q42</f>
        <v>4814.499999999999</v>
      </c>
      <c r="R42" s="73">
        <f t="shared" si="44"/>
        <v>85.06183745583036</v>
      </c>
      <c r="S42" s="73">
        <f>'насел.'!S42+пільги!S42+субсидії!S42+'держ.бюджет'!S42+'місц.-районн.бюджет'!S42+обласний!S42+інші!S42</f>
        <v>5794.299999999998</v>
      </c>
      <c r="T42" s="73">
        <f>'насел.'!T42+пільги!T42+субсидії!T42+'держ.бюджет'!T42+'місц.-районн.бюджет'!T42+обласний!T42+інші!T42</f>
        <v>5196</v>
      </c>
      <c r="U42" s="76">
        <f t="shared" si="45"/>
        <v>89.67433512244794</v>
      </c>
      <c r="V42" s="73">
        <f>'насел.'!V42+пільги!V42+субсидії!V42+'держ.бюджет'!V42+'місц.-районн.бюджет'!V42+обласний!V42+інші!V42</f>
        <v>6054.3</v>
      </c>
      <c r="W42" s="73">
        <f>'насел.'!W42+пільги!W42+субсидії!W42+'держ.бюджет'!W42+'місц.-районн.бюджет'!W42+обласний!W42+інші!W42</f>
        <v>5170</v>
      </c>
      <c r="X42" s="76">
        <f t="shared" si="46"/>
        <v>85.39385230332161</v>
      </c>
      <c r="Y42" s="73">
        <f>'насел.'!Y42+пільги!Y42+субсидії!Y42+'держ.бюджет'!Y42+'місц.-районн.бюджет'!Y42+обласний!Y42+інші!Y42</f>
        <v>17508.6</v>
      </c>
      <c r="Z42" s="73">
        <f>'насел.'!Z42+пільги!Z42+субсидії!Z42+'держ.бюджет'!Z42+'місц.-районн.бюджет'!Z42+обласний!Z42+інші!Z42</f>
        <v>15180.5</v>
      </c>
      <c r="AA42" s="76">
        <f t="shared" si="47"/>
        <v>86.70310590224234</v>
      </c>
      <c r="AB42" s="73">
        <f>'насел.'!AB42+пільги!AB42+субсидії!AB42+'держ.бюджет'!AB42+'місц.-районн.бюджет'!AB42+обласний!AB42+інші!AB42</f>
        <v>5824.199999999999</v>
      </c>
      <c r="AC42" s="73">
        <f>'насел.'!AC42+пільги!AC42+субсидії!AC42+'держ.бюджет'!AC42+'місц.-районн.бюджет'!AC42+обласний!AC42+інші!AC42</f>
        <v>5389.099999999999</v>
      </c>
      <c r="AD42" s="76">
        <f t="shared" si="48"/>
        <v>92.52944610418598</v>
      </c>
      <c r="AE42" s="73">
        <f>'насел.'!AE42+пільги!AE42+субсидії!AE42+'держ.бюджет'!AE42+'місц.-районн.бюджет'!AE42+обласний!AE42+інші!AE42</f>
        <v>5425.4</v>
      </c>
      <c r="AF42" s="73">
        <f>'насел.'!AF42+пільги!AF42+субсидії!AF42+'держ.бюджет'!AF42+'місц.-районн.бюджет'!AF42+обласний!AF42+інші!AF42</f>
        <v>5469.400000000001</v>
      </c>
      <c r="AG42" s="76">
        <f t="shared" si="49"/>
        <v>100.81100011059094</v>
      </c>
      <c r="AH42" s="73">
        <f>'насел.'!AH42+пільги!AH42+субсидії!AH42+'держ.бюджет'!AH42+'місц.-районн.бюджет'!AH42+обласний!AH42+інші!AH42</f>
        <v>0</v>
      </c>
      <c r="AI42" s="73">
        <f>'насел.'!AI42+пільги!AI42+субсидії!AI42+'держ.бюджет'!AI42+'місц.-районн.бюджет'!AI42+обласний!AI42+інші!AI42</f>
        <v>0</v>
      </c>
      <c r="AJ42" s="76" t="e">
        <f t="shared" si="50"/>
        <v>#DIV/0!</v>
      </c>
      <c r="AK42" s="154">
        <f>'насел.'!AK42+пільги!AK42+субсидії!AK42+'держ.бюджет'!AK42+'місц.-районн.бюджет'!AK42+обласний!AK42+інші!AK42</f>
        <v>11249.6</v>
      </c>
      <c r="AL42" s="73">
        <f>'насел.'!AL42+пільги!AK42+субсидії!AL42+'держ.бюджет'!AL42+'місц.-районн.бюджет'!AL42+обласний!AL42+інші!AL42</f>
        <v>10858.500000000002</v>
      </c>
      <c r="AM42" s="73">
        <f t="shared" si="51"/>
        <v>96.52343194424692</v>
      </c>
      <c r="AN42" s="154">
        <f>'насел.'!AN42+пільги!AN42+субсидії!AN42+'держ.бюджет'!AN42+'місц.-районн.бюджет'!AN42+обласний!AN42+інші!AN42</f>
        <v>0</v>
      </c>
      <c r="AO42" s="73">
        <f>'насел.'!AO42+пільги!AN42+субсидії!AO42+'держ.бюджет'!AO42+'місц.-районн.бюджет'!AO42+обласний!AO42+інші!AO42</f>
        <v>0</v>
      </c>
      <c r="AP42" s="73">
        <f>'насел.'!AP42+пільги!AO42+субсидії!AP42+'держ.бюджет'!AP42+'місц.-районн.бюджет'!AP42+обласний!AP42+інші!AP42</f>
        <v>0</v>
      </c>
      <c r="AQ42" s="73">
        <f>'насел.'!AQ42+пільги!AP42+субсидії!AQ42+'держ.бюджет'!AQ42+'місц.-районн.бюджет'!AQ42+обласний!AQ42+інші!AQ42</f>
        <v>0</v>
      </c>
      <c r="AR42" s="73">
        <f>'насел.'!AR42+пільги!AQ42+субсидії!AR42+'держ.бюджет'!AR42+'місц.-районн.бюджет'!AR42+обласний!AR42+інші!AR42</f>
        <v>0</v>
      </c>
      <c r="AS42" s="73">
        <f>'насел.'!AS42+пільги!AR42+субсидії!AS42+'держ.бюджет'!AS42+'місц.-районн.бюджет'!AS42+обласний!AS42+інші!AS42</f>
        <v>0</v>
      </c>
      <c r="AT42" s="73">
        <f>'насел.'!AT42+пільги!AT42+субсидії!AT42+'держ.бюджет'!AT42+'місц.-районн.бюджет'!AT42+обласний!AT42+інші!AT42</f>
        <v>45871.6</v>
      </c>
      <c r="AU42" s="73">
        <f>'насел.'!AU42+пільги!AU42+субсидії!AU42+'держ.бюджет'!AU42+'місц.-районн.бюджет'!AU42+обласний!AU42+інші!AU42</f>
        <v>41906.49999999999</v>
      </c>
      <c r="AV42" s="76">
        <f t="shared" si="52"/>
        <v>91.35608960664113</v>
      </c>
      <c r="AW42" s="73">
        <f t="shared" si="13"/>
        <v>3965.100000000006</v>
      </c>
      <c r="AX42" s="76">
        <f>'насел.'!AX42+пільги!AX42+субсидії!AX42+'держ.бюджет'!AX42+'місц.-районн.бюджет'!AX42+обласний!AX42+інші!AX42</f>
        <v>43080.500000000015</v>
      </c>
      <c r="AY42" s="104">
        <f>42076.2+980.3</f>
        <v>43056.5</v>
      </c>
      <c r="AZ42" s="104"/>
      <c r="BA42" s="104"/>
      <c r="BB42" s="104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ht="34.5" customHeight="1">
      <c r="A44" s="30" t="s">
        <v>32</v>
      </c>
      <c r="B44" s="71" t="s">
        <v>166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2994.1</v>
      </c>
      <c r="K44" s="77">
        <f>'насел.'!K44+пільги!K44+субсидії!K44+'держ.бюджет'!K44+'місц.-районн.бюджет'!K44+обласний!K44+інші!K44</f>
        <v>2855.4</v>
      </c>
      <c r="L44" s="75">
        <f t="shared" si="42"/>
        <v>95.3675561938479</v>
      </c>
      <c r="M44" s="75">
        <f>'насел.'!M44+пільги!M44+субсидії!M44+'держ.бюджет'!M44+'місц.-районн.бюджет'!M44+обласний!M44+інші!M44</f>
        <v>9700.499999999998</v>
      </c>
      <c r="N44" s="75">
        <f>'насел.'!N44+пільги!N44+субсидії!N44+'держ.бюджет'!N44+'місц.-районн.бюджет'!N44+обласний!N44+інші!N44</f>
        <v>7654.599999999999</v>
      </c>
      <c r="O44" s="75">
        <f t="shared" si="43"/>
        <v>78.90933457038298</v>
      </c>
      <c r="P44" s="77">
        <f>'насел.'!P44+пільги!P44+субсидії!P44+'держ.бюджет'!P44+'місц.-районн.бюджет'!P44+обласний!P44+інші!P44</f>
        <v>3121.2</v>
      </c>
      <c r="Q44" s="77">
        <f>'насел.'!Q44+пільги!Q44+субсидії!Q44+'держ.бюджет'!Q44+'місц.-районн.бюджет'!Q44+обласний!Q44+інші!Q44</f>
        <v>2646.1000000000004</v>
      </c>
      <c r="R44" s="77">
        <f t="shared" si="44"/>
        <v>84.77829040112779</v>
      </c>
      <c r="S44" s="77">
        <f>'насел.'!S44+пільги!S44+субсидії!S44+'держ.бюджет'!S44+'місц.-районн.бюджет'!S44+обласний!S44+інші!S44</f>
        <v>3740.6</v>
      </c>
      <c r="T44" s="77">
        <f>'насел.'!T44+пільги!T44+субсидії!T44+'держ.бюджет'!T44+'місц.-районн.бюджет'!T44+обласний!T44+інші!T44</f>
        <v>2883.7999999999997</v>
      </c>
      <c r="U44" s="75">
        <f t="shared" si="45"/>
        <v>77.09458375661657</v>
      </c>
      <c r="V44" s="77">
        <f>'насел.'!V44+пільги!V44+субсидії!V44+'держ.бюджет'!V44+'місц.-районн.бюджет'!V44+обласний!V44+інші!V44</f>
        <v>3130.4</v>
      </c>
      <c r="W44" s="77">
        <f>'насел.'!W44+пільги!W44+субсидії!W44+'держ.бюджет'!W44+'місц.-районн.бюджет'!W44+обласний!W44+інші!W44</f>
        <v>2796.2</v>
      </c>
      <c r="X44" s="75">
        <f t="shared" si="46"/>
        <v>89.32404804497827</v>
      </c>
      <c r="Y44" s="77">
        <f>'насел.'!Y44+пільги!Y44+субсидії!Y44+'держ.бюджет'!Y44+'місц.-районн.бюджет'!Y44+обласний!Y44+інші!Y44</f>
        <v>9992.199999999999</v>
      </c>
      <c r="Z44" s="77">
        <f>'насел.'!Z44+пільги!Z44+субсидії!Z44+'держ.бюджет'!Z44+'місц.-районн.бюджет'!Z44+обласний!Z44+інші!Z44</f>
        <v>8326.1</v>
      </c>
      <c r="AA44" s="75">
        <f t="shared" si="47"/>
        <v>83.32599427553492</v>
      </c>
      <c r="AB44" s="77">
        <f>'насел.'!AB44+пільги!AB44+субсидії!AB44+'держ.бюджет'!AB44+'місц.-районн.бюджет'!AB44+обласний!AB44+інші!AB44</f>
        <v>2801.9</v>
      </c>
      <c r="AC44" s="77">
        <f>'насел.'!AC44+пільги!AC44+субсидії!AC44+'держ.бюджет'!AC44+'місц.-районн.бюджет'!AC44+обласний!AC44+інші!AC44</f>
        <v>2975.3</v>
      </c>
      <c r="AD44" s="75">
        <f t="shared" si="48"/>
        <v>106.18865769656306</v>
      </c>
      <c r="AE44" s="77">
        <f>'насел.'!AE44+пільги!AE44+субсидії!AE44+'держ.бюджет'!AE44+'місц.-районн.бюджет'!AE44+обласний!AE44+інші!AE44</f>
        <v>3472.6000000000004</v>
      </c>
      <c r="AF44" s="77">
        <f>'насел.'!AF44+пільги!AF44+субсидії!AF44+'держ.бюджет'!AF44+'місц.-районн.бюджет'!AF44+обласний!AF44+інші!AF44</f>
        <v>2900.7000000000007</v>
      </c>
      <c r="AG44" s="75">
        <f t="shared" si="49"/>
        <v>83.53107181938606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6274.499999999999</v>
      </c>
      <c r="AL44" s="77">
        <f>'насел.'!AL44+пільги!AK44+субсидії!AL44+'держ.бюджет'!AL44+'місц.-районн.бюджет'!AL44+обласний!AL44+інші!AL44</f>
        <v>5876.000000000001</v>
      </c>
      <c r="AM44" s="77">
        <f t="shared" si="51"/>
        <v>93.64889632640055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25967.199999999997</v>
      </c>
      <c r="AU44" s="77">
        <f>'насел.'!AU44+пільги!AU44+субсидії!AU44+'держ.бюджет'!AU44+'місц.-районн.бюджет'!AU44+обласний!AU44+інші!AU44</f>
        <v>21856.7</v>
      </c>
      <c r="AV44" s="75">
        <f t="shared" si="52"/>
        <v>84.17041498505809</v>
      </c>
      <c r="AW44" s="77">
        <f t="shared" si="13"/>
        <v>4110.499999999996</v>
      </c>
      <c r="AX44" s="110">
        <f>'насел.'!AX44+пільги!AX44+субсидії!AX44+'держ.бюджет'!AX44+'місц.-районн.бюджет'!AX44+обласний!AX44+інші!AX44</f>
        <v>15846.500000000002</v>
      </c>
      <c r="AY44" s="104">
        <f>6798.4-158.4+9082.2+81.4+42.8</f>
        <v>15846.4</v>
      </c>
      <c r="AZ44" s="104"/>
      <c r="BA44" s="104"/>
      <c r="BB44" s="104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26067.7</v>
      </c>
      <c r="D45" s="37">
        <f>'насел.'!D45+пільги!D45+субсидії!D45+'держ.бюджет'!D45+'місц.-районн.бюджет'!D45+обласний!D45+інші!D45</f>
        <v>5682.32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81.64974869419532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7591.319999999999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84.02359536944827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1024.6</v>
      </c>
      <c r="T45" s="37">
        <f>'насел.'!T45+пільги!T45+субсидії!T45+'держ.бюджет'!T45+'місц.-районн.бюджет'!T45+обласний!T45+інші!T45</f>
        <v>746.8</v>
      </c>
      <c r="U45" s="38">
        <f aca="true" t="shared" si="58" ref="U45:U71">T45/S45*100</f>
        <v>72.88698028498926</v>
      </c>
      <c r="V45" s="37">
        <f>'насел.'!V45+пільги!V45+субсидії!V45+'держ.бюджет'!V45+'місц.-районн.бюджет'!V45+обласний!V45+інші!V45</f>
        <v>461.9</v>
      </c>
      <c r="W45" s="37">
        <f>'насел.'!W45+пільги!W45+субсидії!W45+'держ.бюджет'!W45+'місц.-районн.бюджет'!W45+обласний!W45+інші!W45</f>
        <v>501.7</v>
      </c>
      <c r="X45" s="38">
        <f aca="true" t="shared" si="59" ref="X45:X71">W45/V45*100</f>
        <v>108.61658367612037</v>
      </c>
      <c r="Y45" s="37">
        <f>'насел.'!Y45+пільги!Y45+субсидії!Y45+'держ.бюджет'!Y45+'місц.-районн.бюджет'!Y45+обласний!Y45+інші!Y45</f>
        <v>2474.3999999999996</v>
      </c>
      <c r="Z45" s="37">
        <f>'насел.'!Z45+пільги!Z45+субсидії!Z45+'держ.бюджет'!Z45+'місц.-районн.бюджет'!Z45+обласний!Z45+інші!Z45</f>
        <v>2024.1000000000001</v>
      </c>
      <c r="AA45" s="38">
        <f aca="true" t="shared" si="60" ref="AA45:AA71">Z45/Y45*100</f>
        <v>81.8016488845781</v>
      </c>
      <c r="AB45" s="37">
        <f>'насел.'!AB45+пільги!AB45+субсидії!AB45+'держ.бюджет'!AB45+'місц.-районн.бюджет'!AB45+обласний!AB45+інші!AB45</f>
        <v>495.9</v>
      </c>
      <c r="AC45" s="37">
        <f>'насел.'!AC45+пільги!AC45+субсидії!AC45+'держ.бюджет'!AC45+'місц.-районн.бюджет'!AC45+обласний!AC45+інші!AC45</f>
        <v>445</v>
      </c>
      <c r="AD45" s="38">
        <f aca="true" t="shared" si="61" ref="AD45:AD71">AC45/AB45*100</f>
        <v>89.73583383746724</v>
      </c>
      <c r="AE45" s="37">
        <f>'насел.'!AE45+пільги!AE45+субсидії!AE45+'держ.бюджет'!AE45+'місц.-районн.бюджет'!AE45+обласний!AE45+інші!AE45</f>
        <v>509.9</v>
      </c>
      <c r="AF45" s="37">
        <f>'насел.'!AF45+пільги!AF45+субсидії!AF45+'держ.бюджет'!AF45+'місц.-районн.бюджет'!AF45+обласний!AF45+інші!AF45</f>
        <v>514.6</v>
      </c>
      <c r="AG45" s="38">
        <f aca="true" t="shared" si="62" ref="AG45:AG71">AF45/AE45*100</f>
        <v>100.92174936262013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1005.8</v>
      </c>
      <c r="AL45" s="37">
        <f>'насел.'!AL45+пільги!AK45+субсидії!AL45+'держ.бюджет'!AL45+'місц.-районн.бюджет'!AL45+обласний!AL45+інші!AL45</f>
        <v>959.6</v>
      </c>
      <c r="AM45" s="37">
        <f aca="true" t="shared" si="64" ref="AM45:AM71">AL45/AK45*100</f>
        <v>95.40664147941938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11071.519999999997</v>
      </c>
      <c r="AU45" s="37">
        <f>'насел.'!AU45+пільги!AU45+субсидії!AU45+'держ.бюджет'!AU45+'місц.-районн.бюджет'!AU45+обласний!AU45+інші!AU45</f>
        <v>9362.2</v>
      </c>
      <c r="AV45" s="38">
        <f aca="true" t="shared" si="65" ref="AV45:AV71">AU45/AT45*100</f>
        <v>84.56110814052636</v>
      </c>
      <c r="AW45" s="37">
        <f t="shared" si="13"/>
        <v>1709.319999999996</v>
      </c>
      <c r="AX45" s="110">
        <f>'насел.'!AX45+пільги!AX45+субсидії!AX45+'держ.бюджет'!AX45+'місц.-районн.бюджет'!AX45+обласний!AX45+інші!AX45</f>
        <v>27777.019999999997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530.6</v>
      </c>
      <c r="Q47" s="77">
        <f>'насел.'!Q47+пільги!Q47+субсидії!Q47+'держ.бюджет'!Q47+'місц.-районн.бюджет'!Q47+обласний!Q47+інші!Q47</f>
        <v>358.29999999999995</v>
      </c>
      <c r="R47" s="77">
        <f t="shared" si="57"/>
        <v>67.52732755371277</v>
      </c>
      <c r="S47" s="77">
        <f>'насел.'!S47+пільги!S47+субсидії!S47+'держ.бюджет'!S47+'місц.-районн.бюджет'!S47+обласний!S47+інші!S47</f>
        <v>549.1</v>
      </c>
      <c r="T47" s="77">
        <f>'насел.'!T47+пільги!T47+субсидії!T47+'держ.бюджет'!T47+'місц.-районн.бюджет'!T47+обласний!T47+інші!T47</f>
        <v>383.3</v>
      </c>
      <c r="U47" s="75">
        <f t="shared" si="58"/>
        <v>69.80513567656165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107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1079.7</v>
      </c>
      <c r="Z47" s="77">
        <f>'насел.'!Z47+пільги!Z47+субсидії!Z47+'держ.бюджет'!Z47+'місц.-районн.бюджет'!Z47+обласний!Z47+інші!Z47</f>
        <v>848.5999999999999</v>
      </c>
      <c r="AA47" s="75">
        <f t="shared" si="60"/>
        <v>78.59590627026024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2731.7000000000003</v>
      </c>
      <c r="AU47" s="77">
        <f>'насел.'!AU47+пільги!AU47+субсидії!AU47+'держ.бюджет'!AU47+'місц.-районн.бюджет'!AU47+обласний!AU47+інші!AU47</f>
        <v>2285.9999999999995</v>
      </c>
      <c r="AV47" s="75">
        <f t="shared" si="65"/>
        <v>83.68415272540905</v>
      </c>
      <c r="AW47" s="77">
        <f t="shared" si="13"/>
        <v>445.7000000000007</v>
      </c>
      <c r="AX47" s="110">
        <f>'насел.'!AX47+пільги!AX47+субсидії!AX47+'держ.бюджет'!AX47+'місц.-районн.бюджет'!AX47+обласний!AX47+інші!AX47</f>
        <v>2529.0000000000005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ht="34.5" customHeight="1">
      <c r="A49" s="30" t="s">
        <v>11</v>
      </c>
      <c r="B49" s="34" t="s">
        <v>156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430.79999999999995</v>
      </c>
      <c r="K49" s="77">
        <f>'насел.'!K49+пільги!K49+субсидії!K49+'держ.бюджет'!K49+'місц.-районн.бюджет'!K49+обласний!K49+інші!K49</f>
        <v>433.4</v>
      </c>
      <c r="L49" s="75">
        <f t="shared" si="55"/>
        <v>100.60352831940575</v>
      </c>
      <c r="M49" s="75">
        <f>'насел.'!M49+пільги!M49+субсидії!M49+'держ.бюджет'!M49+'місц.-районн.бюджет'!M49+обласний!M49+інші!M49</f>
        <v>1228.6</v>
      </c>
      <c r="N49" s="75">
        <f>'насел.'!N49+пільги!N49+субсидії!N49+'держ.бюджет'!N49+'місц.-районн.бюджет'!N49+обласний!N49+інші!N49</f>
        <v>1109.7</v>
      </c>
      <c r="O49" s="75">
        <f t="shared" si="56"/>
        <v>90.32231808562592</v>
      </c>
      <c r="P49" s="77">
        <f>'насел.'!P49+пільги!P49+субсидії!P49+'держ.бюджет'!P49+'місц.-районн.бюджет'!P49+обласний!P49+інші!P49</f>
        <v>457.3</v>
      </c>
      <c r="Q49" s="77">
        <f>'насел.'!Q49+пільги!Q49+субсидії!Q49+'держ.бюджет'!Q49+'місц.-районн.бюджет'!Q49+обласний!Q49+інші!Q49</f>
        <v>417.30000000000007</v>
      </c>
      <c r="R49" s="77">
        <f t="shared" si="57"/>
        <v>91.25300677891975</v>
      </c>
      <c r="S49" s="77">
        <f>'насел.'!S49+пільги!S49+субсидії!S49+'держ.бюджет'!S49+'місц.-районн.бюджет'!S49+обласний!S49+інші!S49</f>
        <v>475.5</v>
      </c>
      <c r="T49" s="77">
        <f>'насел.'!T49+пільги!T49+субсидії!T49+'держ.бюджет'!T49+'місц.-районн.бюджет'!T49+обласний!T49+інші!T49</f>
        <v>363.5</v>
      </c>
      <c r="U49" s="75">
        <f t="shared" si="58"/>
        <v>76.44584647739222</v>
      </c>
      <c r="V49" s="77">
        <f>'насел.'!V49+пільги!V49+субсидії!V49+'держ.бюджет'!V49+'місц.-районн.бюджет'!V49+обласний!V49+інші!V49</f>
        <v>461.9</v>
      </c>
      <c r="W49" s="77">
        <f>'насел.'!W49+пільги!W49+субсидії!W49+'держ.бюджет'!W49+'місц.-районн.бюджет'!W49+обласний!W49+інші!W49</f>
        <v>394.7</v>
      </c>
      <c r="X49" s="75">
        <f t="shared" si="59"/>
        <v>85.45139640614852</v>
      </c>
      <c r="Y49" s="77">
        <f>'насел.'!Y49+пільги!Y49+субсидії!Y49+'держ.бюджет'!Y49+'місц.-районн.бюджет'!Y49+обласний!Y49+інші!Y49</f>
        <v>1394.7000000000003</v>
      </c>
      <c r="Z49" s="77">
        <f>'насел.'!Z49+пільги!Z49+субсидії!Z49+'держ.бюджет'!Z49+'місц.-районн.бюджет'!Z49+обласний!Z49+інші!Z49</f>
        <v>1175.5</v>
      </c>
      <c r="AA49" s="75">
        <f t="shared" si="60"/>
        <v>84.28335842833583</v>
      </c>
      <c r="AB49" s="77">
        <f>'насел.'!AB49+пільги!AB49+субсидії!AB49+'держ.бюджет'!AB49+'місц.-районн.бюджет'!AB49+обласний!AB49+інші!AB49</f>
        <v>495.9</v>
      </c>
      <c r="AC49" s="77">
        <f>'насел.'!AC49+пільги!AC49+субсидії!AC49+'держ.бюджет'!AC49+'місц.-районн.бюджет'!AC49+обласний!AC49+інші!AC49</f>
        <v>445</v>
      </c>
      <c r="AD49" s="75">
        <f t="shared" si="61"/>
        <v>89.73583383746724</v>
      </c>
      <c r="AE49" s="77">
        <f>'насел.'!AE49+пільги!AE49+субсидії!AE49+'держ.бюджет'!AE49+'місц.-районн.бюджет'!AE49+обласний!AE49+інші!AE49</f>
        <v>509.9</v>
      </c>
      <c r="AF49" s="77">
        <f>'насел.'!AF49+пільги!AF49+субсидії!AF49+'держ.бюджет'!AF49+'місц.-районн.бюджет'!AF49+обласний!AF49+інші!AF49</f>
        <v>514.6</v>
      </c>
      <c r="AG49" s="75">
        <f t="shared" si="62"/>
        <v>100.92174936262013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1005.8</v>
      </c>
      <c r="AL49" s="77">
        <f>'насел.'!AL49+пільги!AK49+субсидії!AL49+'держ.бюджет'!AL49+'місц.-районн.бюджет'!AL49+обласний!AL49+інші!AL49</f>
        <v>959.6</v>
      </c>
      <c r="AM49" s="77">
        <f t="shared" si="64"/>
        <v>95.40664147941938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3629.1</v>
      </c>
      <c r="AU49" s="77">
        <f>'насел.'!AU49+пільги!AU49+субсидії!AU49+'держ.бюджет'!AU49+'місц.-районн.бюджет'!AU49+обласний!AU49+інші!AU49</f>
        <v>3244.8</v>
      </c>
      <c r="AV49" s="75">
        <f t="shared" si="65"/>
        <v>89.41059766884352</v>
      </c>
      <c r="AW49" s="77">
        <f t="shared" si="13"/>
        <v>384.2999999999997</v>
      </c>
      <c r="AX49" s="110">
        <f>'насел.'!AX49+пільги!AX49+субсидії!AX49+'держ.бюджет'!AX49+'місц.-районн.бюджет'!AX49+обласний!AX49+інші!AX49</f>
        <v>1680.9999999999998</v>
      </c>
      <c r="AY49" s="104"/>
      <c r="AZ49" s="104"/>
      <c r="BA49" s="104"/>
      <c r="BB49" s="104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ht="34.5" customHeight="1">
      <c r="A51" s="30" t="s">
        <v>10</v>
      </c>
      <c r="B51" s="33" t="s">
        <v>158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1123.1</v>
      </c>
      <c r="K51" s="77">
        <f>'насел.'!K51+пільги!K51+субсидії!K51+'держ.бюджет'!K51+'місц.-районн.бюджет'!K51+обласний!K51+інші!K51</f>
        <v>1197.2</v>
      </c>
      <c r="L51" s="75">
        <f t="shared" si="55"/>
        <v>106.59780963404863</v>
      </c>
      <c r="M51" s="75">
        <f>'насел.'!M51+пільги!M51+субсидії!M51+'держ.бюджет'!M51+'місц.-районн.бюджет'!M51+обласний!M51+інші!M51</f>
        <v>3519.1000000000004</v>
      </c>
      <c r="N51" s="75">
        <f>'насел.'!N51+пільги!N51+субсидії!N51+'держ.бюджет'!N51+'місц.-районн.бюджет'!N51+обласний!N51+інші!N51</f>
        <v>3192.8</v>
      </c>
      <c r="O51" s="75">
        <f t="shared" si="56"/>
        <v>90.7277428888068</v>
      </c>
      <c r="P51" s="77">
        <f>'насел.'!P51+пільги!P51+субсидії!P51+'держ.бюджет'!P51+'місц.-районн.бюджет'!P51+обласний!P51+інші!P51</f>
        <v>1158.3999999999999</v>
      </c>
      <c r="Q51" s="77">
        <f>'насел.'!Q51+пільги!Q51+субсидії!Q51+'держ.бюджет'!Q51+'місц.-районн.бюджет'!Q51+обласний!Q51+інші!Q51</f>
        <v>1139.1</v>
      </c>
      <c r="R51" s="77">
        <f t="shared" si="57"/>
        <v>98.333908839779</v>
      </c>
      <c r="S51" s="77">
        <f>'насел.'!S51+пільги!S51+субсидії!S51+'держ.бюджет'!S51+'місц.-районн.бюджет'!S51+обласний!S51+інші!S51</f>
        <v>1144.6</v>
      </c>
      <c r="T51" s="77">
        <f>'насел.'!T51+пільги!T51+субсидії!T51+'держ.бюджет'!T51+'місц.-районн.бюджет'!T51+обласний!T51+інші!T51</f>
        <v>1099.9</v>
      </c>
      <c r="U51" s="75">
        <f t="shared" si="58"/>
        <v>96.09470557399966</v>
      </c>
      <c r="V51" s="77">
        <f>'насел.'!V51+пільги!V51+субсидії!V51+'держ.бюджет'!V51+'місц.-районн.бюджет'!V51+обласний!V51+інші!V51</f>
        <v>1119.7</v>
      </c>
      <c r="W51" s="77">
        <f>'насел.'!W51+пільги!W51+субсидії!W51+'держ.бюджет'!W51+'місц.-районн.бюджет'!W51+обласний!W51+інші!W51</f>
        <v>1134.3</v>
      </c>
      <c r="X51" s="75">
        <f t="shared" si="59"/>
        <v>101.30392069304277</v>
      </c>
      <c r="Y51" s="77">
        <f>'насел.'!Y51+пільги!Y51+субсидії!Y51+'держ.бюджет'!Y51+'місц.-районн.бюджет'!Y51+обласний!Y51+інші!Y51</f>
        <v>3422.7000000000003</v>
      </c>
      <c r="Z51" s="77">
        <f>'насел.'!Z51+пільги!Z51+субсидії!Z51+'держ.бюджет'!Z51+'місц.-районн.бюджет'!Z51+обласний!Z51+інші!Z51</f>
        <v>3373.2999999999997</v>
      </c>
      <c r="AA51" s="75">
        <f t="shared" si="60"/>
        <v>98.55669500686591</v>
      </c>
      <c r="AB51" s="77">
        <f>'насел.'!AB51+пільги!AB51+субсидії!AB51+'держ.бюджет'!AB51+'місц.-районн.бюджет'!AB51+обласний!AB51+інші!AB51</f>
        <v>1128.7</v>
      </c>
      <c r="AC51" s="77">
        <f>'насел.'!AC51+пільги!AC51+субсидії!AC51+'держ.бюджет'!AC51+'місц.-районн.бюджет'!AC51+обласний!AC51+інші!AC51</f>
        <v>1107.5</v>
      </c>
      <c r="AD51" s="75">
        <f t="shared" si="61"/>
        <v>98.12173296713033</v>
      </c>
      <c r="AE51" s="77">
        <f>'насел.'!AE51+пільги!AE51+субсидії!AE51+'держ.бюджет'!AE51+'місц.-районн.бюджет'!AE51+обласний!AE51+інші!AE51</f>
        <v>1081.7</v>
      </c>
      <c r="AF51" s="77">
        <f>'насел.'!AF51+пільги!AF51+субсидії!AF51+'держ.бюджет'!AF51+'місц.-районн.бюджет'!AF51+обласний!AF51+інші!AF51</f>
        <v>1051.6000000000001</v>
      </c>
      <c r="AG51" s="75">
        <f t="shared" si="62"/>
        <v>97.2173430710918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2210.4</v>
      </c>
      <c r="AL51" s="77">
        <f>'насел.'!AL51+пільги!AK51+субсидії!AL51+'держ.бюджет'!AL51+'місц.-районн.бюджет'!AL51+обласний!AL51+інші!AL51</f>
        <v>2159.1</v>
      </c>
      <c r="AM51" s="77">
        <f t="shared" si="64"/>
        <v>97.67915309446254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9152.2</v>
      </c>
      <c r="AU51" s="77">
        <f>'насел.'!AU51+пільги!AU51+субсидії!AU51+'держ.бюджет'!AU51+'місц.-районн.бюджет'!AU51+обласний!AU51+інші!AU51</f>
        <v>8725.2</v>
      </c>
      <c r="AV51" s="75">
        <f t="shared" si="65"/>
        <v>95.33445510369091</v>
      </c>
      <c r="AW51" s="77">
        <f t="shared" si="13"/>
        <v>427</v>
      </c>
      <c r="AX51" s="110">
        <f>'насел.'!AX51+пільги!AX51+субсидії!AX51+'держ.бюджет'!AX51+'місц.-районн.бюджет'!AX51+обласний!AX51+інші!AX51</f>
        <v>4119.8</v>
      </c>
      <c r="AY51" s="104"/>
      <c r="AZ51" s="104"/>
      <c r="BA51" s="104"/>
      <c r="BB51" s="104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57.8</v>
      </c>
      <c r="Q52" s="77">
        <f>'насел.'!Q52+пільги!Q52+субсидії!Q52+'держ.бюджет'!Q52+'місц.-районн.бюджет'!Q52+обласний!Q52+інші!Q52</f>
        <v>52.8</v>
      </c>
      <c r="R52" s="77">
        <f t="shared" si="57"/>
        <v>91.34948096885813</v>
      </c>
      <c r="S52" s="77">
        <f>'насел.'!S52+пільги!S52+субсидії!S52+'держ.бюджет'!S52+'місц.-районн.бюджет'!S52+обласний!S52+інші!S52</f>
        <v>58.3</v>
      </c>
      <c r="T52" s="77">
        <f>'насел.'!T52+пільги!T52+субсидії!T52+'держ.бюджет'!T52+'місц.-районн.бюджет'!T52+обласний!T52+інші!T52</f>
        <v>52.599999999999994</v>
      </c>
      <c r="U52" s="75">
        <f t="shared" si="58"/>
        <v>90.2229845626072</v>
      </c>
      <c r="V52" s="77">
        <f>'насел.'!V52+пільги!V52+субсидії!V52+'держ.бюджет'!V52+'місц.-районн.бюджет'!V52+обласний!V52+інші!V52</f>
        <v>60</v>
      </c>
      <c r="W52" s="77">
        <f>'насел.'!W52+пільги!W52+субсидії!W52+'держ.бюджет'!W52+'місц.-районн.бюджет'!W52+обласний!W52+інші!W52</f>
        <v>50.2</v>
      </c>
      <c r="X52" s="75">
        <f t="shared" si="59"/>
        <v>83.66666666666667</v>
      </c>
      <c r="Y52" s="77">
        <f>'насел.'!Y52+пільги!Y52+субсидії!Y52+'держ.бюджет'!Y52+'місц.-районн.бюджет'!Y52+обласний!Y52+інші!Y52</f>
        <v>176.1</v>
      </c>
      <c r="Z52" s="77">
        <f>'насел.'!Z52+пільги!Z52+субсидії!Z52+'держ.бюджет'!Z52+'місц.-районн.бюджет'!Z52+обласний!Z52+інші!Z52</f>
        <v>155.60000000000002</v>
      </c>
      <c r="AA52" s="75">
        <f t="shared" si="60"/>
        <v>88.35888699602499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352.79999999999995</v>
      </c>
      <c r="AU52" s="77">
        <f>'насел.'!AU52+пільги!AU52+субсидії!AU52+'держ.бюджет'!AU52+'місц.-районн.бюджет'!AU52+обласний!AU52+інші!AU52</f>
        <v>318.8</v>
      </c>
      <c r="AV52" s="75">
        <f t="shared" si="65"/>
        <v>90.36281179138324</v>
      </c>
      <c r="AW52" s="77">
        <f t="shared" si="13"/>
        <v>33.99999999999994</v>
      </c>
      <c r="AX52" s="110">
        <f>'насел.'!AX52+пільги!AX52+субсидії!AX52+'держ.бюджет'!AX52+'місц.-районн.бюджет'!AX52+обласний!AX52+інші!AX52</f>
        <v>338.19999999999993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808.9</v>
      </c>
      <c r="D53" s="77">
        <f>'насел.'!D53+пільги!D53+субсидії!D53+'держ.бюджет'!D53+'місц.-районн.бюджет'!D53+обласний!D53+інші!D53</f>
        <v>255.49999999999997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84.89236790606654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738.8999999999999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97.0226011638923</v>
      </c>
      <c r="P53" s="77">
        <f>'насел.'!P53+пільги!P53+субсидії!P53+'держ.бюджет'!P53+'місц.-районн.бюджет'!P53+обласний!P53+інші!P53</f>
        <v>283.1</v>
      </c>
      <c r="Q53" s="77">
        <f>'насел.'!Q53+пільги!Q53+субсидії!Q53+'держ.бюджет'!Q53+'місц.-районн.бюджет'!Q53+обласний!Q53+інші!Q53</f>
        <v>211.4</v>
      </c>
      <c r="R53" s="77">
        <f t="shared" si="57"/>
        <v>74.67326033203815</v>
      </c>
      <c r="S53" s="77">
        <f>'насел.'!S53+пільги!S53+субсидії!S53+'держ.бюджет'!S53+'місц.-районн.бюджет'!S53+обласний!S53+інші!S53</f>
        <v>254.1</v>
      </c>
      <c r="T53" s="77">
        <f>'насел.'!T53+пільги!T53+субсидії!T53+'держ.бюджет'!T53+'місц.-районн.бюджет'!T53+обласний!T53+інші!T53</f>
        <v>232.1</v>
      </c>
      <c r="U53" s="75">
        <f t="shared" si="58"/>
        <v>91.34199134199135</v>
      </c>
      <c r="V53" s="77">
        <f>'насел.'!V53+пільги!V53+субсидії!V53+'держ.бюджет'!V53+'місц.-районн.бюджет'!V53+обласний!V53+інші!V53</f>
        <v>306.6</v>
      </c>
      <c r="W53" s="77">
        <f>'насел.'!W53+пільги!W53+субсидії!W53+'держ.бюджет'!W53+'місц.-районн.бюджет'!W53+обласний!W53+інші!W53</f>
        <v>273.8</v>
      </c>
      <c r="X53" s="75">
        <f t="shared" si="59"/>
        <v>89.3020221787345</v>
      </c>
      <c r="Y53" s="77">
        <f>'насел.'!Y53+пільги!Y53+субсидії!Y53+'держ.бюджет'!Y53+'місц.-районн.бюджет'!Y53+обласний!Y53+інші!Y53</f>
        <v>843.8000000000001</v>
      </c>
      <c r="Z53" s="77">
        <f>'насел.'!Z53+пільги!Z53+субсидії!Z53+'держ.бюджет'!Z53+'місц.-районн.бюджет'!Z53+обласний!Z53+інші!Z53</f>
        <v>717.3000000000001</v>
      </c>
      <c r="AA53" s="75">
        <f t="shared" si="60"/>
        <v>85.00829580469306</v>
      </c>
      <c r="AB53" s="77">
        <f>'насел.'!AB53+пільги!AB53+субсидії!AB53+'держ.бюджет'!AB53+'місц.-районн.бюджет'!AB53+обласний!AB53+інші!AB53</f>
        <v>351.79999999999995</v>
      </c>
      <c r="AC53" s="77">
        <f>'насел.'!AC53+пільги!AC53+субсидії!AC53+'держ.бюджет'!AC53+'місц.-районн.бюджет'!AC53+обласний!AC53+інші!AC53</f>
        <v>224.1</v>
      </c>
      <c r="AD53" s="75">
        <f t="shared" si="61"/>
        <v>63.7009664582149</v>
      </c>
      <c r="AE53" s="77">
        <f>'насел.'!AE53+пільги!AE53+субсидії!AE53+'держ.бюджет'!AE53+'місц.-районн.бюджет'!AE53+обласний!AE53+інші!AE53</f>
        <v>248.40000000000003</v>
      </c>
      <c r="AF53" s="77">
        <f>'насел.'!AF53+пільги!AF53+субсидії!AF53+'держ.бюджет'!AF53+'місц.-районн.бюджет'!AF53+обласний!AF53+інші!AF53</f>
        <v>235.29999999999998</v>
      </c>
      <c r="AG53" s="75">
        <f t="shared" si="62"/>
        <v>94.72624798711753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600.2</v>
      </c>
      <c r="AL53" s="77">
        <f>'насел.'!AL53+пільги!AK53+субсидії!AL53+'держ.бюджет'!AL53+'місц.-районн.бюджет'!AL53+обласний!AL53+інші!AL53</f>
        <v>459.4</v>
      </c>
      <c r="AM53" s="77">
        <f t="shared" si="64"/>
        <v>76.54115294901699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2182.8999999999996</v>
      </c>
      <c r="AU53" s="77">
        <f>'насел.'!AU53+пільги!AU53+субсидії!AU53+'держ.бюджет'!AU53+'місц.-районн.бюджет'!AU53+обласний!AU53+інші!AU53</f>
        <v>1893.6000000000001</v>
      </c>
      <c r="AV53" s="75">
        <f t="shared" si="65"/>
        <v>86.74698795180726</v>
      </c>
      <c r="AW53" s="77">
        <f t="shared" si="13"/>
        <v>289.2999999999995</v>
      </c>
      <c r="AX53" s="110">
        <f>'насел.'!AX53+пільги!AX53+субсидії!AX53+'держ.бюджет'!AX53+'місц.-районн.бюджет'!AX53+обласний!AX53+інші!AX53</f>
        <v>1098.1999999999996</v>
      </c>
      <c r="AY53" s="104"/>
      <c r="AZ53" s="104"/>
      <c r="BA53" s="104"/>
      <c r="BB53" s="104"/>
    </row>
    <row r="54" spans="1:54" ht="34.5" customHeight="1">
      <c r="A54" s="30" t="s">
        <v>22</v>
      </c>
      <c r="B54" s="82" t="s">
        <v>163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604.7</v>
      </c>
      <c r="K54" s="77">
        <f>'насел.'!K54+пільги!K54+субсидії!K54+'держ.бюджет'!K54+'місц.-районн.бюджет'!K54+обласний!K54+інші!K54</f>
        <v>427.9</v>
      </c>
      <c r="L54" s="75">
        <f t="shared" si="55"/>
        <v>70.76236150157101</v>
      </c>
      <c r="M54" s="75">
        <f>'насел.'!M54+пільги!M54+субсидії!M54+'держ.бюджет'!M54+'місц.-районн.бюджет'!M54+обласний!M54+інші!M54</f>
        <v>1408.8</v>
      </c>
      <c r="N54" s="75">
        <f>'насел.'!N54+пільги!N54+субсидії!N54+'держ.бюджет'!N54+'місц.-районн.бюджет'!N54+обласний!N54+інші!N54</f>
        <v>1200.9</v>
      </c>
      <c r="O54" s="75">
        <f t="shared" si="56"/>
        <v>85.2427597955707</v>
      </c>
      <c r="P54" s="77">
        <f>'насел.'!P54+пільги!P54+субсидії!P54+'держ.бюджет'!P54+'місц.-районн.бюджет'!P54+обласний!P54+інші!P54</f>
        <v>485.20000000000005</v>
      </c>
      <c r="Q54" s="77">
        <f>'насел.'!Q54+пільги!Q54+субсидії!Q54+'держ.бюджет'!Q54+'місц.-районн.бюджет'!Q54+обласний!Q54+інші!Q54</f>
        <v>745.6</v>
      </c>
      <c r="R54" s="77">
        <f t="shared" si="57"/>
        <v>153.66859027205274</v>
      </c>
      <c r="S54" s="77">
        <f>'насел.'!S54+пільги!S54+субсидії!S54+'держ.бюджет'!S54+'місц.-районн.бюджет'!S54+обласний!S54+інші!S54</f>
        <v>493.9</v>
      </c>
      <c r="T54" s="77">
        <f>'насел.'!T54+пільги!T54+субсидії!T54+'держ.бюджет'!T54+'місц.-районн.бюджет'!T54+обласний!T54+інші!T54</f>
        <v>477.4</v>
      </c>
      <c r="U54" s="75">
        <f t="shared" si="58"/>
        <v>96.65924276169265</v>
      </c>
      <c r="V54" s="77">
        <f>'насел.'!V54+пільги!V54+субсидії!V54+'держ.бюджет'!V54+'місц.-районн.бюджет'!V54+обласний!V54+інші!V54</f>
        <v>615.5</v>
      </c>
      <c r="W54" s="77">
        <f>'насел.'!W54+пільги!W54+субсидії!W54+'держ.бюджет'!W54+'місц.-районн.бюджет'!W54+обласний!W54+інші!W54</f>
        <v>382.09999999999997</v>
      </c>
      <c r="X54" s="75">
        <f t="shared" si="59"/>
        <v>62.07961007311129</v>
      </c>
      <c r="Y54" s="77">
        <f>'насел.'!Y54+пільги!Y54+субсидії!Y54+'держ.бюджет'!Y54+'місц.-районн.бюджет'!Y54+обласний!Y54+інші!Y54</f>
        <v>1594.6000000000001</v>
      </c>
      <c r="Z54" s="77">
        <f>'насел.'!Z54+пільги!Z54+субсидії!Z54+'держ.бюджет'!Z54+'місц.-районн.бюджет'!Z54+обласний!Z54+інші!Z54</f>
        <v>1605.1</v>
      </c>
      <c r="AA54" s="75">
        <f t="shared" si="60"/>
        <v>100.65847234416152</v>
      </c>
      <c r="AB54" s="77">
        <f>'насел.'!AB54+пільги!AB54+субсидії!AB54+'держ.бюджет'!AB54+'місц.-районн.бюджет'!AB54+обласний!AB54+інші!AB54</f>
        <v>581.7</v>
      </c>
      <c r="AC54" s="77">
        <f>'насел.'!AC54+пільги!AC54+субсидії!AC54+'держ.бюджет'!AC54+'місц.-районн.бюджет'!AC54+обласний!AC54+інші!AC54</f>
        <v>708.5</v>
      </c>
      <c r="AD54" s="75">
        <f t="shared" si="61"/>
        <v>121.79817775485644</v>
      </c>
      <c r="AE54" s="77">
        <f>'насел.'!AE54+пільги!AE54+субсидії!AE54+'держ.бюджет'!AE54+'місц.-районн.бюджет'!AE54+обласний!AE54+інші!AE54</f>
        <v>590.1</v>
      </c>
      <c r="AF54" s="77">
        <f>'насел.'!AF54+пільги!AF54+субсидії!AF54+'держ.бюджет'!AF54+'місц.-районн.бюджет'!AF54+обласний!AF54+інші!AF54</f>
        <v>502.20000000000005</v>
      </c>
      <c r="AG54" s="75">
        <f t="shared" si="62"/>
        <v>85.10421962379259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1171.8</v>
      </c>
      <c r="AL54" s="77">
        <f>'насел.'!AL54+пільги!AK54+субсидії!AL54+'держ.бюджет'!AL54+'місц.-районн.бюджет'!AL54+обласний!AL54+інші!AL54</f>
        <v>1210.7000000000003</v>
      </c>
      <c r="AM54" s="77">
        <f t="shared" si="64"/>
        <v>103.31967912613077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4175.2</v>
      </c>
      <c r="AU54" s="77">
        <f>'насел.'!AU54+пільги!AU54+субсидії!AU54+'держ.бюджет'!AU54+'місц.-районн.бюджет'!AU54+обласний!AU54+інші!AU54</f>
        <v>4016.7</v>
      </c>
      <c r="AV54" s="75">
        <f t="shared" si="65"/>
        <v>96.20377466947691</v>
      </c>
      <c r="AW54" s="77">
        <f t="shared" si="13"/>
        <v>158.5</v>
      </c>
      <c r="AX54" s="110">
        <f>'насел.'!AX54+пільги!AX54+субсидії!AX54+'держ.бюджет'!AX54+'місц.-районн.бюджет'!AX54+обласний!AX54+інші!AX54</f>
        <v>679.5999999999998</v>
      </c>
      <c r="AY54" s="104"/>
      <c r="AZ54" s="104"/>
      <c r="BA54" s="104"/>
      <c r="BB54" s="104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190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86.42105263157895</v>
      </c>
      <c r="J55" s="77">
        <f>'насел.'!J55+пільги!J55+субсидії!J55+'держ.бюджет'!J55+'місц.-районн.бюджет'!J55+обласний!J55+інші!J55</f>
        <v>337.99999999999994</v>
      </c>
      <c r="K55" s="77">
        <f>'насел.'!K55+пільги!K55+субсидії!K55+'держ.бюджет'!K55+'місц.-районн.бюджет'!K55+обласний!K55+інші!K55</f>
        <v>308.5</v>
      </c>
      <c r="L55" s="75">
        <f t="shared" si="55"/>
        <v>91.27218934911244</v>
      </c>
      <c r="M55" s="75">
        <f>'насел.'!M55+пільги!M55+субсидії!M55+'держ.бюджет'!M55+'місц.-районн.бюджет'!M55+обласний!M55+інші!M55</f>
        <v>709.5000000000001</v>
      </c>
      <c r="N55" s="75">
        <f>'насел.'!N55+пільги!N55+субсидії!N55+'держ.бюджет'!N55+'місц.-районн.бюджет'!N55+обласний!N55+інші!N55</f>
        <v>636.5999999999999</v>
      </c>
      <c r="O55" s="75">
        <f t="shared" si="56"/>
        <v>89.72515856236784</v>
      </c>
      <c r="P55" s="77">
        <f>'насел.'!P55+пільги!P55+субсидії!P55+'держ.бюджет'!P55+'місц.-районн.бюджет'!P55+обласний!P55+інші!P55</f>
        <v>210.09999999999997</v>
      </c>
      <c r="Q55" s="77">
        <f>'насел.'!Q55+пільги!Q55+субсидії!Q55+'держ.бюджет'!Q55+'місц.-районн.бюджет'!Q55+обласний!Q55+інші!Q55</f>
        <v>199.3</v>
      </c>
      <c r="R55" s="77">
        <f t="shared" si="57"/>
        <v>94.85959067110902</v>
      </c>
      <c r="S55" s="77">
        <f>'насел.'!S55+пільги!S55+субсидії!S55+'держ.бюджет'!S55+'місц.-районн.бюджет'!S55+обласний!S55+інші!S55</f>
        <v>216.39999999999998</v>
      </c>
      <c r="T55" s="77">
        <f>'насел.'!T55+пільги!T55+субсидії!T55+'держ.бюджет'!T55+'місц.-районн.бюджет'!T55+обласний!T55+інші!T55</f>
        <v>191.60000000000002</v>
      </c>
      <c r="U55" s="75">
        <f t="shared" si="58"/>
        <v>88.53974121996305</v>
      </c>
      <c r="V55" s="77">
        <f>'насел.'!V55+пільги!V55+субсидії!V55+'держ.бюджет'!V55+'місц.-районн.бюджет'!V55+обласний!V55+інші!V55</f>
        <v>250</v>
      </c>
      <c r="W55" s="77">
        <f>'насел.'!W55+пільги!W55+субсидії!W55+'держ.бюджет'!W55+'місц.-районн.бюджет'!W55+обласний!W55+інші!W55</f>
        <v>244.70000000000005</v>
      </c>
      <c r="X55" s="75">
        <f t="shared" si="59"/>
        <v>97.88000000000002</v>
      </c>
      <c r="Y55" s="77">
        <f>'насел.'!Y55+пільги!Y55+субсидії!Y55+'держ.бюджет'!Y55+'місц.-районн.бюджет'!Y55+обласний!Y55+інші!Y55</f>
        <v>676.5</v>
      </c>
      <c r="Z55" s="77">
        <f>'насел.'!Z55+пільги!Z55+субсидії!Z55+'держ.бюджет'!Z55+'місц.-районн.бюджет'!Z55+обласний!Z55+інші!Z55</f>
        <v>635.5999999999999</v>
      </c>
      <c r="AA55" s="75">
        <f t="shared" si="60"/>
        <v>93.9541759053954</v>
      </c>
      <c r="AB55" s="77">
        <f>'насел.'!AB55+пільги!AB55+субсидії!AB55+'держ.бюджет'!AB55+'місц.-районн.бюджет'!AB55+обласний!AB55+інші!AB55</f>
        <v>367.50000000000006</v>
      </c>
      <c r="AC55" s="77">
        <f>'насел.'!AC55+пільги!AC55+субсидії!AC55+'держ.бюджет'!AC55+'місц.-районн.бюджет'!AC55+обласний!AC55+інші!AC55</f>
        <v>283.8</v>
      </c>
      <c r="AD55" s="75">
        <f t="shared" si="61"/>
        <v>77.22448979591836</v>
      </c>
      <c r="AE55" s="77">
        <f>'насел.'!AE55+пільги!AE55+субсидії!AE55+'держ.бюджет'!AE55+'місц.-районн.бюджет'!AE55+обласний!AE55+інші!AE55</f>
        <v>262.09999999999997</v>
      </c>
      <c r="AF55" s="77">
        <f>'насел.'!AF55+пільги!AF55+субсидії!AF55+'держ.бюджет'!AF55+'місц.-районн.бюджет'!AF55+обласний!AF55+інші!AF55</f>
        <v>252.5</v>
      </c>
      <c r="AG55" s="75">
        <f t="shared" si="62"/>
        <v>96.33727584891264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629.6</v>
      </c>
      <c r="AL55" s="77">
        <f>'насел.'!AL55+пільги!AK55+субсидії!AL55+'держ.бюджет'!AL55+'місц.-районн.бюджет'!AL55+обласний!AL55+інші!AL55</f>
        <v>536.3</v>
      </c>
      <c r="AM55" s="77">
        <f t="shared" si="64"/>
        <v>85.1810673443456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2015.6000000000001</v>
      </c>
      <c r="AU55" s="77">
        <f>'насел.'!AU55+пільги!AU55+субсидії!AU55+'держ.бюджет'!AU55+'місц.-районн.бюджет'!AU55+обласний!AU55+інші!AU55</f>
        <v>1808.5</v>
      </c>
      <c r="AV55" s="75">
        <f t="shared" si="65"/>
        <v>89.72514387775352</v>
      </c>
      <c r="AW55" s="77">
        <f t="shared" si="13"/>
        <v>207.10000000000014</v>
      </c>
      <c r="AX55" s="110">
        <f>'насел.'!AX55+пільги!AX55+субсидії!AX55+'держ.бюджет'!AX55+'місц.-районн.бюджет'!AX55+обласний!AX55+інші!AX55</f>
        <v>902.8</v>
      </c>
      <c r="AY55" s="104"/>
      <c r="AZ55" s="104"/>
      <c r="BA55" s="104"/>
      <c r="BB55" s="104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43.92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89.02550091074681</v>
      </c>
      <c r="G56" s="77">
        <f>'насел.'!G56+пільги!G56+субсидії!G56+'держ.бюджет'!G56+'місц.-районн.бюджет'!G56+обласний!G56+інші!G56</f>
        <v>38.926</v>
      </c>
      <c r="H56" s="77">
        <f>'насел.'!H56+пільги!H56+субсидії!H56+'держ.бюджет'!H56+'місц.-районн.бюджет'!H56+обласний!H56+інші!H56</f>
        <v>36.52</v>
      </c>
      <c r="I56" s="75">
        <f t="shared" si="54"/>
        <v>93.81904125777116</v>
      </c>
      <c r="J56" s="77">
        <f>'насел.'!J56+пільги!J56+субсидії!J56+'держ.бюджет'!J56+'місц.-районн.бюджет'!J56+обласний!J56+інші!J56</f>
        <v>45.426</v>
      </c>
      <c r="K56" s="77">
        <f>'насел.'!K56+пільги!K56+субсидії!K56+'держ.бюджет'!K56+'місц.-районн.бюджет'!K56+обласний!K56+інші!K56</f>
        <v>48.126</v>
      </c>
      <c r="L56" s="75">
        <f t="shared" si="55"/>
        <v>105.94373266411306</v>
      </c>
      <c r="M56" s="75">
        <f>'насел.'!M56+пільги!M56+субсидії!M56+'держ.бюджет'!M56+'місц.-районн.бюджет'!M56+обласний!M56+інші!M56</f>
        <v>128.272</v>
      </c>
      <c r="N56" s="75">
        <f>'насел.'!N56+пільги!N56+субсидії!N56+'держ.бюджет'!N56+'місц.-районн.бюджет'!N56+обласний!N56+інші!N56</f>
        <v>123.74600000000001</v>
      </c>
      <c r="O56" s="75">
        <f t="shared" si="56"/>
        <v>96.4715604340776</v>
      </c>
      <c r="P56" s="77">
        <f>'насел.'!P56+пільги!P56+субсидії!P56+'держ.бюджет'!P56+'місц.-районн.бюджет'!P56+обласний!P56+інші!P56</f>
        <v>56.426</v>
      </c>
      <c r="Q56" s="77">
        <f>'насел.'!Q56+пільги!Q56+субсидії!Q56+'держ.бюджет'!Q56+'місц.-районн.бюджет'!Q56+обласний!Q56+інші!Q56</f>
        <v>39.526</v>
      </c>
      <c r="R56" s="77">
        <f t="shared" si="57"/>
        <v>70.04926806791197</v>
      </c>
      <c r="S56" s="77">
        <f>'насел.'!S56+пільги!S56+субсидії!S56+'держ.бюджет'!S56+'місц.-районн.бюджет'!S56+обласний!S56+інші!S56</f>
        <v>50.826</v>
      </c>
      <c r="T56" s="77">
        <f>'насел.'!T56+пільги!T56+субсидії!T56+'держ.бюджет'!T56+'місц.-районн.бюджет'!T56+обласний!T56+інші!T56</f>
        <v>41.126000000000005</v>
      </c>
      <c r="U56" s="75">
        <f t="shared" si="58"/>
        <v>80.91527958131665</v>
      </c>
      <c r="V56" s="77">
        <f>'насел.'!V56+пільги!V56+субсидії!V56+'держ.бюджет'!V56+'місц.-районн.бюджет'!V56+обласний!V56+інші!V56</f>
        <v>47.42</v>
      </c>
      <c r="W56" s="77">
        <f>'насел.'!W56+пільги!W56+субсидії!W56+'держ.бюджет'!W56+'місц.-районн.бюджет'!W56+обласний!W56+інші!W56</f>
        <v>45.925999999999995</v>
      </c>
      <c r="X56" s="75">
        <f t="shared" si="59"/>
        <v>96.84943061999155</v>
      </c>
      <c r="Y56" s="77">
        <f>'насел.'!Y56+пільги!Y56+субсидії!Y56+'держ.бюджет'!Y56+'місц.-районн.бюджет'!Y56+обласний!Y56+інші!Y56</f>
        <v>154.672</v>
      </c>
      <c r="Z56" s="77">
        <f>'насел.'!Z56+пільги!Z56+субсидії!Z56+'держ.бюджет'!Z56+'місц.-районн.бюджет'!Z56+обласний!Z56+інші!Z56</f>
        <v>126.578</v>
      </c>
      <c r="AA56" s="75">
        <f t="shared" si="60"/>
        <v>81.83640219302784</v>
      </c>
      <c r="AB56" s="77">
        <f>'насел.'!AB56+пільги!AB56+субсидії!AB56+'держ.бюджет'!AB56+'місц.-районн.бюджет'!AB56+обласний!AB56+інші!AB56</f>
        <v>55.339999999999996</v>
      </c>
      <c r="AC56" s="77">
        <f>'насел.'!AC56+пільги!AC56+субсидії!AC56+'держ.бюджет'!AC56+'місц.-районн.бюджет'!AC56+обласний!AC56+інші!AC56</f>
        <v>46.52</v>
      </c>
      <c r="AD56" s="75">
        <f t="shared" si="61"/>
        <v>84.06216118539936</v>
      </c>
      <c r="AE56" s="77">
        <f>'насел.'!AE56+пільги!AE56+субсидії!AE56+'держ.бюджет'!AE56+'місц.-районн.бюджет'!AE56+обласний!AE56+інші!AE56</f>
        <v>50.533</v>
      </c>
      <c r="AF56" s="77">
        <f>'насел.'!AF56+пільги!AF56+субсидії!AF56+'держ.бюджет'!AF56+'місц.-районн.бюджет'!AF56+обласний!AF56+інші!AF56</f>
        <v>56.54</v>
      </c>
      <c r="AG56" s="75">
        <f t="shared" si="62"/>
        <v>111.88728157837453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105.87299999999999</v>
      </c>
      <c r="AL56" s="77">
        <f>'насел.'!AL56+пільги!AK56+субсидії!AL56+'держ.бюджет'!AL56+'місц.-районн.бюджет'!AL56+обласний!AL56+інші!AL56</f>
        <v>103.06</v>
      </c>
      <c r="AM56" s="77">
        <f t="shared" si="64"/>
        <v>97.34304307991651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388.817</v>
      </c>
      <c r="AU56" s="77">
        <f>'насел.'!AU56+пільги!AU56+субсидії!AU56+'держ.бюджет'!AU56+'місц.-районн.бюджет'!AU56+обласний!AU56+інші!AU56</f>
        <v>353.38399999999996</v>
      </c>
      <c r="AV56" s="75">
        <f t="shared" si="65"/>
        <v>90.8869725346371</v>
      </c>
      <c r="AW56" s="77">
        <f t="shared" si="13"/>
        <v>35.43300000000005</v>
      </c>
      <c r="AX56" s="110">
        <f>'насел.'!AX56+пільги!AX56+субсидії!AX56+'держ.бюджет'!AX56+'місц.-районн.бюджет'!AX56+обласний!AX56+інші!AX56</f>
        <v>116.93300000000008</v>
      </c>
      <c r="AY56" s="104"/>
      <c r="AZ56" s="104"/>
      <c r="BA56" s="104"/>
      <c r="BB56" s="104"/>
    </row>
    <row r="57" spans="1:54" ht="34.5" customHeight="1">
      <c r="A57" s="30" t="s">
        <v>11</v>
      </c>
      <c r="B57" s="34" t="s">
        <v>153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789.9000000000001</v>
      </c>
      <c r="K57" s="77">
        <f>'насел.'!K57+пільги!K57+субсидії!K57+'держ.бюджет'!K57+'місц.-районн.бюджет'!K57+обласний!K57+інші!K57</f>
        <v>945.9</v>
      </c>
      <c r="L57" s="75">
        <f t="shared" si="55"/>
        <v>119.74933535890617</v>
      </c>
      <c r="M57" s="75">
        <f>'насел.'!M57+пільги!M57+субсидії!M57+'держ.бюджет'!M57+'місц.-районн.бюджет'!M57+обласний!M57+інші!M57</f>
        <v>2448</v>
      </c>
      <c r="N57" s="75">
        <f>'насел.'!N57+пільги!N57+субсидії!N57+'держ.бюджет'!N57+'місц.-районн.бюджет'!N57+обласний!N57+інші!N57</f>
        <v>2172.8</v>
      </c>
      <c r="O57" s="75">
        <f t="shared" si="56"/>
        <v>88.75816993464053</v>
      </c>
      <c r="P57" s="77">
        <f>'насел.'!P57+пільги!P57+субсидії!P57+'держ.бюджет'!P57+'місц.-районн.бюджет'!P57+обласний!P57+інші!P57</f>
        <v>745.4000000000001</v>
      </c>
      <c r="Q57" s="77">
        <f>'насел.'!Q57+пільги!Q57+субсидії!Q57+'держ.бюджет'!Q57+'місц.-районн.бюджет'!Q57+обласний!Q57+інші!Q57</f>
        <v>536</v>
      </c>
      <c r="R57" s="77">
        <f t="shared" si="57"/>
        <v>71.90770056345586</v>
      </c>
      <c r="S57" s="77">
        <f>'насел.'!S57+пільги!S57+субсидії!S57+'держ.бюджет'!S57+'місц.-районн.бюджет'!S57+обласний!S57+інші!S57</f>
        <v>789.2</v>
      </c>
      <c r="T57" s="77">
        <f>'насел.'!T57+пільги!T57+субсидії!T57+'держ.бюджет'!T57+'місц.-районн.бюджет'!T57+обласний!T57+інші!T57</f>
        <v>604.9</v>
      </c>
      <c r="U57" s="75">
        <f t="shared" si="58"/>
        <v>76.64723770907247</v>
      </c>
      <c r="V57" s="77">
        <f>'насел.'!V57+пільги!V57+субсидії!V57+'держ.бюджет'!V57+'місц.-районн.бюджет'!V57+обласний!V57+інші!V57</f>
        <v>897.2</v>
      </c>
      <c r="W57" s="77">
        <f>'насел.'!W57+пільги!W57+субсидії!W57+'держ.бюджет'!W57+'місц.-районн.бюджет'!W57+обласний!W57+інші!W57</f>
        <v>786.3000000000001</v>
      </c>
      <c r="X57" s="75">
        <f t="shared" si="59"/>
        <v>87.63932233615694</v>
      </c>
      <c r="Y57" s="77">
        <f>'насел.'!Y57+пільги!Y57+субсидії!Y57+'держ.бюджет'!Y57+'місц.-районн.бюджет'!Y57+обласний!Y57+інші!Y57</f>
        <v>2431.7999999999997</v>
      </c>
      <c r="Z57" s="77">
        <f>'насел.'!Z57+пільги!Z57+субсидії!Z57+'держ.бюджет'!Z57+'місц.-районн.бюджет'!Z57+обласний!Z57+інші!Z57</f>
        <v>1927.1999999999998</v>
      </c>
      <c r="AA57" s="75">
        <f t="shared" si="60"/>
        <v>79.24993831729583</v>
      </c>
      <c r="AB57" s="77">
        <f>'насел.'!AB57+пільги!AB57+субсидії!AB57+'держ.бюджет'!AB57+'місц.-районн.бюджет'!AB57+обласний!AB57+інші!AB57</f>
        <v>765.6</v>
      </c>
      <c r="AC57" s="77">
        <f>'насел.'!AC57+пільги!AC57+субсидії!AC57+'держ.бюджет'!AC57+'місц.-районн.бюджет'!AC57+обласний!AC57+інші!AC57</f>
        <v>630.6000000000001</v>
      </c>
      <c r="AD57" s="75">
        <f t="shared" si="61"/>
        <v>82.36677115987462</v>
      </c>
      <c r="AE57" s="77">
        <f>'насел.'!AE57+пільги!AE57+субсидії!AE57+'держ.бюджет'!AE57+'місц.-районн.бюджет'!AE57+обласний!AE57+інші!AE57</f>
        <v>788.5</v>
      </c>
      <c r="AF57" s="77">
        <f>'насел.'!AF57+пільги!AF57+субсидії!AF57+'держ.бюджет'!AF57+'місц.-районн.бюджет'!AF57+обласний!AF57+інші!AF57</f>
        <v>621.9</v>
      </c>
      <c r="AG57" s="75">
        <f t="shared" si="62"/>
        <v>78.8712745719721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1554.1</v>
      </c>
      <c r="AL57" s="77">
        <f>'насел.'!AL57+пільги!AK57+субсидії!AL57+'держ.бюджет'!AL57+'місц.-районн.бюджет'!AL57+обласний!AL57+інші!AL57</f>
        <v>1252.5000000000002</v>
      </c>
      <c r="AM57" s="77">
        <f t="shared" si="64"/>
        <v>80.5932694163825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6433.900000000001</v>
      </c>
      <c r="AU57" s="77">
        <f>'насел.'!AU57+пільги!AU57+субсидії!AU57+'держ.бюджет'!AU57+'місц.-районн.бюджет'!AU57+обласний!AU57+інші!AU57</f>
        <v>5352.5</v>
      </c>
      <c r="AV57" s="75">
        <f t="shared" si="65"/>
        <v>83.1921540589689</v>
      </c>
      <c r="AW57" s="77">
        <f t="shared" si="13"/>
        <v>1081.4000000000005</v>
      </c>
      <c r="AX57" s="110">
        <f>'насел.'!AX57+пільги!AX57+субсидії!AX57+'держ.бюджет'!AX57+'місц.-районн.бюджет'!AX57+обласний!AX57+інші!AX57</f>
        <v>4578.1</v>
      </c>
      <c r="AY57" s="104"/>
      <c r="AZ57" s="104"/>
      <c r="BA57" s="104"/>
      <c r="BB57" s="104"/>
    </row>
    <row r="58" spans="1:54" ht="34.5" customHeight="1">
      <c r="A58" s="30" t="s">
        <v>9</v>
      </c>
      <c r="B58" s="33" t="s">
        <v>139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595.2</v>
      </c>
      <c r="K58" s="77">
        <f>'насел.'!K58+пільги!K58+субсидії!K58+'держ.бюджет'!K58+'місц.-районн.бюджет'!K58+обласний!K58+інші!K58</f>
        <v>466.4</v>
      </c>
      <c r="L58" s="75">
        <f t="shared" si="55"/>
        <v>78.36021505376343</v>
      </c>
      <c r="M58" s="75">
        <f>'насел.'!M58+пільги!M58+субсидії!M58+'держ.бюджет'!M58+'місц.-районн.бюджет'!M58+обласний!M58+інші!M58</f>
        <v>1823.8000000000002</v>
      </c>
      <c r="N58" s="75">
        <f>'насел.'!N58+пільги!N58+субсидії!N58+'держ.бюджет'!N58+'місц.-районн.бюджет'!N58+обласний!N58+інші!N58</f>
        <v>1258.2000000000003</v>
      </c>
      <c r="O58" s="75">
        <f t="shared" si="56"/>
        <v>68.98782761267684</v>
      </c>
      <c r="P58" s="77">
        <f>'насел.'!P58+пільги!P58+субсидії!P58+'держ.бюджет'!P58+'місц.-районн.бюджет'!P58+обласний!P58+інші!P58</f>
        <v>600.6</v>
      </c>
      <c r="Q58" s="77">
        <f>'насел.'!Q58+пільги!Q58+субсидії!Q58+'держ.бюджет'!Q58+'місц.-районн.бюджет'!Q58+обласний!Q58+інші!Q58</f>
        <v>403.6</v>
      </c>
      <c r="R58" s="77">
        <f t="shared" si="57"/>
        <v>67.1994671994672</v>
      </c>
      <c r="S58" s="77">
        <f>'насел.'!S58+пільги!S58+субсидії!S58+'держ.бюджет'!S58+'місц.-районн.бюджет'!S58+обласний!S58+інші!S58</f>
        <v>469.5</v>
      </c>
      <c r="T58" s="77">
        <f>'насел.'!T58+пільги!T58+субсидії!T58+'держ.бюджет'!T58+'місц.-районн.бюджет'!T58+обласний!T58+інші!T58</f>
        <v>389.3</v>
      </c>
      <c r="U58" s="75">
        <f t="shared" si="58"/>
        <v>82.91799787007454</v>
      </c>
      <c r="V58" s="77">
        <f>'насел.'!V58+пільги!V58+субсидії!V58+'держ.бюджет'!V58+'місц.-районн.бюджет'!V58+обласний!V58+інші!V58</f>
        <v>488.8</v>
      </c>
      <c r="W58" s="77">
        <f>'насел.'!W58+пільги!W58+субсидії!W58+'держ.бюджет'!W58+'місц.-районн.бюджет'!W58+обласний!W58+інші!W58</f>
        <v>413.2</v>
      </c>
      <c r="X58" s="75">
        <f t="shared" si="59"/>
        <v>84.53355155482815</v>
      </c>
      <c r="Y58" s="77">
        <f>'насел.'!Y58+пільги!Y58+субсидії!Y58+'держ.бюджет'!Y58+'місц.-районн.бюджет'!Y58+обласний!Y58+інші!Y58</f>
        <v>1558.8999999999999</v>
      </c>
      <c r="Z58" s="77">
        <f>'насел.'!Z58+пільги!Z58+субсидії!Z58+'держ.бюджет'!Z58+'місц.-районн.бюджет'!Z58+обласний!Z58+інші!Z58</f>
        <v>1206.1</v>
      </c>
      <c r="AA58" s="75">
        <f t="shared" si="60"/>
        <v>77.36865738661876</v>
      </c>
      <c r="AB58" s="77">
        <f>'насел.'!AB58+пільги!AB58+субсидії!AB58+'держ.бюджет'!AB58+'місц.-районн.бюджет'!AB58+обласний!AB58+інші!AB58</f>
        <v>515.1</v>
      </c>
      <c r="AC58" s="77">
        <f>'насел.'!AC58+пільги!AC58+субсидії!AC58+'держ.бюджет'!AC58+'місц.-районн.бюджет'!AC58+обласний!AC58+інші!AC58</f>
        <v>453</v>
      </c>
      <c r="AD58" s="75">
        <f t="shared" si="61"/>
        <v>87.94408852649971</v>
      </c>
      <c r="AE58" s="77">
        <f>'насел.'!AE58+пільги!AE58+субсидії!AE58+'держ.бюджет'!AE58+'місц.-районн.бюджет'!AE58+обласний!AE58+інші!AE58</f>
        <v>508.1</v>
      </c>
      <c r="AF58" s="77">
        <f>'насел.'!AF58+пільги!AF58+субсидії!AF58+'держ.бюджет'!AF58+'місц.-районн.бюджет'!AF58+обласний!AF58+інші!AF58</f>
        <v>474.5</v>
      </c>
      <c r="AG58" s="75">
        <f t="shared" si="62"/>
        <v>93.38712851800827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1023.2</v>
      </c>
      <c r="AL58" s="77">
        <f>'насел.'!AL58+пільги!AK58+субсидії!AL58+'держ.бюджет'!AL58+'місц.-районн.бюджет'!AL58+обласний!AL58+інші!AL58</f>
        <v>927.5</v>
      </c>
      <c r="AM58" s="77">
        <f t="shared" si="64"/>
        <v>90.64698983580922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4405.9</v>
      </c>
      <c r="AU58" s="77">
        <f>'насел.'!AU58+пільги!AU58+субсидії!AU58+'держ.бюджет'!AU58+'місц.-районн.бюджет'!AU58+обласний!AU58+інші!AU58</f>
        <v>3391.8000000000006</v>
      </c>
      <c r="AV58" s="75">
        <f t="shared" si="65"/>
        <v>76.98313624912052</v>
      </c>
      <c r="AW58" s="77">
        <f t="shared" si="13"/>
        <v>1014.099999999999</v>
      </c>
      <c r="AX58" s="110">
        <f>'насел.'!AX58+пільги!AX58+субсидії!AX58+'держ.бюджет'!AX58+'місц.-районн.бюджет'!AX58+обласний!AX58+інші!AX58</f>
        <v>4609.7</v>
      </c>
      <c r="AY58" s="104"/>
      <c r="AZ58" s="104"/>
      <c r="BA58" s="104"/>
      <c r="BB58" s="104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7505.2</v>
      </c>
      <c r="R61" s="37">
        <f t="shared" si="57"/>
        <v>93.86662664465454</v>
      </c>
      <c r="S61" s="37">
        <f>'насел.'!S61+пільги!S61+субсидії!S61+'держ.бюджет'!S61+'місц.-районн.бюджет'!S61+обласний!S61+інші!S61</f>
        <v>8325.3</v>
      </c>
      <c r="T61" s="37">
        <f>'насел.'!T61+пільги!T61+субсидії!T61+'держ.бюджет'!T61+'місц.-районн.бюджет'!T61+обласний!T61+інші!T61</f>
        <v>7042.2</v>
      </c>
      <c r="U61" s="38">
        <f t="shared" si="58"/>
        <v>84.58794277683688</v>
      </c>
      <c r="V61" s="37">
        <f>'насел.'!V61+пільги!V61+субсидії!V61+'держ.бюджет'!V61+'місц.-районн.бюджет'!V61+обласний!V61+інші!V61</f>
        <v>9349.400000000001</v>
      </c>
      <c r="W61" s="37">
        <f>'насел.'!W61+пільги!W61+субсидії!W61+'держ.бюджет'!W61+'місц.-районн.бюджет'!W61+обласний!W61+інші!W61</f>
        <v>7950.700000000002</v>
      </c>
      <c r="X61" s="38">
        <f t="shared" si="59"/>
        <v>85.03968169080369</v>
      </c>
      <c r="Y61" s="37">
        <f>'насел.'!Y61+пільги!Y61+субсидії!Y61+'держ.бюджет'!Y61+'місц.-районн.бюджет'!Y61+обласний!Y61+інші!Y61</f>
        <v>25670.3</v>
      </c>
      <c r="Z61" s="37">
        <f>'насел.'!Z61+пільги!Z61+субсидії!Z61+'держ.бюджет'!Z61+'місц.-районн.бюджет'!Z61+обласний!Z61+інші!Z61</f>
        <v>22498.100000000002</v>
      </c>
      <c r="AA61" s="38">
        <f t="shared" si="60"/>
        <v>87.64252852518281</v>
      </c>
      <c r="AB61" s="37">
        <f>'насел.'!AB61+пільги!AB61+субсидії!AB61+'держ.бюджет'!AB61+'місц.-районн.бюджет'!AB61+обласний!AB61+інші!AB61</f>
        <v>9976.500000000002</v>
      </c>
      <c r="AC61" s="37">
        <f>'насел.'!AC61+пільги!AC61+субсидії!AC61+'держ.бюджет'!AC61+'місц.-районн.бюджет'!AC61+обласний!AC61+інші!AC61</f>
        <v>8727.699999999999</v>
      </c>
      <c r="AD61" s="38">
        <f t="shared" si="61"/>
        <v>87.48258407257052</v>
      </c>
      <c r="AE61" s="37">
        <f>'насел.'!AE61+пільги!AE61+субсидії!AE61+'держ.бюджет'!AE61+'місц.-районн.бюджет'!AE61+обласний!AE61+інші!AE61</f>
        <v>9186.499999999998</v>
      </c>
      <c r="AF61" s="37">
        <f>'насел.'!AF61+пільги!AF61+субсидії!AF61+'держ.бюджет'!AF61+'місц.-районн.бюджет'!AF61+обласний!AF61+інші!AF61</f>
        <v>8768</v>
      </c>
      <c r="AG61" s="38">
        <f t="shared" si="62"/>
        <v>95.4444021117945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19162.999999999996</v>
      </c>
      <c r="AL61" s="37">
        <f>'насел.'!AL61+пільги!AK61+субсидії!AL61+'держ.бюджет'!AL61+'місц.-районн.бюджет'!AL61+обласний!AL61+інші!AL61</f>
        <v>17495.699999999997</v>
      </c>
      <c r="AM61" s="37">
        <f t="shared" si="64"/>
        <v>91.29937901163701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67929</v>
      </c>
      <c r="AU61" s="37">
        <f>'насел.'!AU61+пільги!AU61+субсидії!AU61+'держ.бюджет'!AU61+'місц.-районн.бюджет'!AU61+обласний!AU61+інші!AU61</f>
        <v>62355</v>
      </c>
      <c r="AV61" s="38">
        <f t="shared" si="65"/>
        <v>91.79437353707549</v>
      </c>
      <c r="AW61" s="37">
        <f t="shared" si="13"/>
        <v>5574</v>
      </c>
      <c r="AX61" s="110">
        <f>'насел.'!AX61+пільги!AX61+субсидії!AX61+'держ.бюджет'!AX61+'місц.-районн.бюджет'!AX61+обласний!AX61+інші!AX61</f>
        <v>27181.59999999999</v>
      </c>
      <c r="AY61" s="109"/>
      <c r="AZ61" s="109"/>
      <c r="BA61" s="109"/>
      <c r="BB61" s="109"/>
    </row>
    <row r="62" spans="1:54" ht="47.25" customHeight="1">
      <c r="A62" s="30" t="s">
        <v>9</v>
      </c>
      <c r="B62" s="33" t="s">
        <v>165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1076.5</v>
      </c>
      <c r="K62" s="77">
        <f>'насел.'!K62+пільги!K62+субсидії!K62+'держ.бюджет'!K62+'місц.-районн.бюджет'!K62+обласний!K62+інші!K62</f>
        <v>1059.8</v>
      </c>
      <c r="L62" s="75">
        <f t="shared" si="55"/>
        <v>98.4486762656758</v>
      </c>
      <c r="M62" s="75">
        <f>'насел.'!M62+пільги!M62+субсидії!M62+'держ.бюджет'!M62+'місц.-районн.бюджет'!M62+обласний!M62+інші!M62</f>
        <v>3256.8999999999996</v>
      </c>
      <c r="N62" s="75">
        <f>'насел.'!N62+пільги!N62+субсидії!N62+'держ.бюджет'!N62+'місц.-районн.бюджет'!N62+обласний!N62+інші!N62</f>
        <v>2918.8999999999996</v>
      </c>
      <c r="O62" s="75">
        <f t="shared" si="56"/>
        <v>89.62203322177531</v>
      </c>
      <c r="P62" s="77">
        <f>'насел.'!P62+пільги!P62+субсидії!P62+'держ.бюджет'!P62+'місц.-районн.бюджет'!P62+обласний!P62+інші!P62</f>
        <v>1163.1</v>
      </c>
      <c r="Q62" s="77">
        <f>'насел.'!Q62+пільги!Q62+субсидії!Q62+'держ.бюджет'!Q62+'місц.-районн.бюджет'!Q62+обласний!Q62+інші!Q62</f>
        <v>977.7</v>
      </c>
      <c r="R62" s="77">
        <f t="shared" si="57"/>
        <v>84.05984008253805</v>
      </c>
      <c r="S62" s="77">
        <f>'насел.'!S62+пільги!S62+субсидії!S62+'держ.бюджет'!S62+'місц.-районн.бюджет'!S62+обласний!S62+інші!S62</f>
        <v>1260.2</v>
      </c>
      <c r="T62" s="77">
        <f>'насел.'!T62+пільги!T62+субсидії!T62+'держ.бюджет'!T62+'місц.-районн.бюджет'!T62+обласний!T62+інші!T62</f>
        <v>1024.2</v>
      </c>
      <c r="U62" s="75">
        <f t="shared" si="58"/>
        <v>81.27281383907317</v>
      </c>
      <c r="V62" s="77">
        <f>'насел.'!V62+пільги!V62+субсидії!V62+'держ.бюджет'!V62+'місц.-районн.бюджет'!V62+обласний!V62+інші!V62</f>
        <v>1377.5000000000002</v>
      </c>
      <c r="W62" s="77">
        <f>'насел.'!W62+пільги!W62+субсидії!W62+'держ.бюджет'!W62+'місц.-районн.бюджет'!W62+обласний!W62+інші!W62</f>
        <v>1567.3000000000002</v>
      </c>
      <c r="X62" s="75">
        <f t="shared" si="59"/>
        <v>113.77858439201451</v>
      </c>
      <c r="Y62" s="77">
        <f>'насел.'!Y62+пільги!Y62+субсидії!Y62+'держ.бюджет'!Y62+'місц.-районн.бюджет'!Y62+обласний!Y62+інші!Y62</f>
        <v>3800.8000000000006</v>
      </c>
      <c r="Z62" s="77">
        <f>'насел.'!Z62+пільги!Z62+субсидії!Z62+'держ.бюджет'!Z62+'місц.-районн.бюджет'!Z62+обласний!Z62+інші!Z62</f>
        <v>3569.2</v>
      </c>
      <c r="AA62" s="75">
        <f t="shared" si="60"/>
        <v>93.9065459903178</v>
      </c>
      <c r="AB62" s="77">
        <f>'насел.'!AB62+пільги!AB62+субсидії!AB62+'держ.бюджет'!AB62+'місц.-районн.бюджет'!AB62+обласний!AB62+інші!AB62</f>
        <v>1438.9</v>
      </c>
      <c r="AC62" s="77">
        <f>'насел.'!AC62+пільги!AC62+субсидії!AC62+'держ.бюджет'!AC62+'місц.-районн.бюджет'!AC62+обласний!AC62+інші!AC62</f>
        <v>1194.2</v>
      </c>
      <c r="AD62" s="75">
        <f t="shared" si="61"/>
        <v>82.99395371464313</v>
      </c>
      <c r="AE62" s="77">
        <f>'насел.'!AE62+пільги!AE62+субсидії!AE62+'держ.бюджет'!AE62+'місц.-районн.бюджет'!AE62+обласний!AE62+інші!AE62</f>
        <v>1537.9999999999998</v>
      </c>
      <c r="AF62" s="77">
        <f>'насел.'!AF62+пільги!AF62+субсидії!AF62+'держ.бюджет'!AF62+'місц.-районн.бюджет'!AF62+обласний!AF62+інші!AF62</f>
        <v>1411.1</v>
      </c>
      <c r="AG62" s="75">
        <f t="shared" si="62"/>
        <v>91.74902470741223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2976.8999999999996</v>
      </c>
      <c r="AL62" s="77">
        <f>'насел.'!AL62+пільги!AK62+субсидії!AL62+'держ.бюджет'!AL62+'місц.-районн.бюджет'!AL62+обласний!AL62+інші!AL62</f>
        <v>2605.3</v>
      </c>
      <c r="AM62" s="77">
        <f t="shared" si="64"/>
        <v>87.51721589573047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10034.600000000002</v>
      </c>
      <c r="AU62" s="77">
        <f>'насел.'!AU62+пільги!AU62+субсидії!AU62+'держ.бюджет'!AU62+'місц.-районн.бюджет'!AU62+обласний!AU62+інші!AU62</f>
        <v>9093.4</v>
      </c>
      <c r="AV62" s="75">
        <f t="shared" si="65"/>
        <v>90.62045323181789</v>
      </c>
      <c r="AW62" s="77">
        <f t="shared" si="13"/>
        <v>941.2000000000025</v>
      </c>
      <c r="AX62" s="110">
        <f>'насел.'!AX62+пільги!AX62+субсидії!AX62+'держ.бюджет'!AX62+'місц.-районн.бюджет'!AX62+обласний!AX62+інші!AX62</f>
        <v>2489.2</v>
      </c>
      <c r="AY62" s="109"/>
      <c r="AZ62" s="104"/>
      <c r="BA62" s="104"/>
      <c r="BB62" s="104"/>
    </row>
    <row r="63" spans="1:54" ht="34.5" customHeight="1">
      <c r="A63" s="30" t="s">
        <v>13</v>
      </c>
      <c r="B63" s="33" t="s">
        <v>154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1190</v>
      </c>
      <c r="K63" s="77">
        <f>'насел.'!K63+пільги!K63+субсидії!K63+'держ.бюджет'!K63+'місц.-районн.бюджет'!K63+обласний!K63+інші!K63</f>
        <v>1397.3</v>
      </c>
      <c r="L63" s="75">
        <f t="shared" si="55"/>
        <v>117.42016806722688</v>
      </c>
      <c r="M63" s="75">
        <f>'насел.'!M63+пільги!M63+субсидії!M63+'держ.бюджет'!M63+'місц.-районн.бюджет'!M63+обласний!M63+інші!M63</f>
        <v>3643.4</v>
      </c>
      <c r="N63" s="75">
        <f>'насел.'!N63+пільги!N63+субсидії!N63+'держ.бюджет'!N63+'місц.-районн.бюджет'!N63+обласний!N63+інші!N63</f>
        <v>3677</v>
      </c>
      <c r="O63" s="75">
        <f t="shared" si="56"/>
        <v>100.92221551298238</v>
      </c>
      <c r="P63" s="77">
        <f>'насел.'!P63+пільги!P63+субсидії!P63+'держ.бюджет'!P63+'місц.-районн.бюджет'!P63+обласний!P63+інші!P63</f>
        <v>1268.8999999999999</v>
      </c>
      <c r="Q63" s="77">
        <f>'насел.'!Q63+пільги!Q63+субсидії!Q63+'держ.бюджет'!Q63+'місц.-районн.бюджет'!Q63+обласний!Q63+інші!Q63</f>
        <v>1175</v>
      </c>
      <c r="R63" s="77">
        <f t="shared" si="57"/>
        <v>92.59988966821658</v>
      </c>
      <c r="S63" s="77">
        <f>'насел.'!S63+пільги!S63+субсидії!S63+'держ.бюджет'!S63+'місц.-районн.бюджет'!S63+обласний!S63+інші!S63</f>
        <v>1383.5</v>
      </c>
      <c r="T63" s="77">
        <f>'насел.'!T63+пільги!T63+субсидії!T63+'держ.бюджет'!T63+'місц.-районн.бюджет'!T63+обласний!T63+інші!T63</f>
        <v>1299.2</v>
      </c>
      <c r="U63" s="75">
        <f t="shared" si="58"/>
        <v>93.90675822190097</v>
      </c>
      <c r="V63" s="77">
        <f>'насел.'!V63+пільги!V63+субсидії!V63+'держ.бюджет'!V63+'місц.-районн.бюджет'!V63+обласний!V63+інші!V63</f>
        <v>1735.9</v>
      </c>
      <c r="W63" s="77">
        <f>'насел.'!W63+пільги!W63+субсидії!W63+'держ.бюджет'!W63+'місц.-районн.бюджет'!W63+обласний!W63+інші!W63</f>
        <v>1284.4</v>
      </c>
      <c r="X63" s="75">
        <f t="shared" si="59"/>
        <v>73.99043723716804</v>
      </c>
      <c r="Y63" s="77">
        <f>'насел.'!Y63+пільги!Y63+субсидії!Y63+'держ.бюджет'!Y63+'місц.-районн.бюджет'!Y63+обласний!Y63+інші!Y63</f>
        <v>4388.299999999999</v>
      </c>
      <c r="Z63" s="77">
        <f>'насел.'!Z63+пільги!Z63+субсидії!Z63+'держ.бюджет'!Z63+'місц.-районн.бюджет'!Z63+обласний!Z63+інші!Z63</f>
        <v>3758.6000000000004</v>
      </c>
      <c r="AA63" s="75">
        <f t="shared" si="60"/>
        <v>85.65047968461593</v>
      </c>
      <c r="AB63" s="77">
        <f>'насел.'!AB63+пільги!AB63+субсидії!AB63+'держ.бюджет'!AB63+'місц.-районн.бюджет'!AB63+обласний!AB63+інші!AB63</f>
        <v>1848.7</v>
      </c>
      <c r="AC63" s="77">
        <f>'насел.'!AC63+пільги!AC63+субсидії!AC63+'держ.бюджет'!AC63+'місц.-районн.бюджет'!AC63+обласний!AC63+інші!AC63</f>
        <v>1651.8</v>
      </c>
      <c r="AD63" s="75">
        <f t="shared" si="61"/>
        <v>89.34927246172985</v>
      </c>
      <c r="AE63" s="77">
        <f>'насел.'!AE63+пільги!AE63+субсидії!AE63+'держ.бюджет'!AE63+'місц.-районн.бюджет'!AE63+обласний!AE63+інші!AE63</f>
        <v>1870.6999999999998</v>
      </c>
      <c r="AF63" s="77">
        <f>'насел.'!AF63+пільги!AF63+субсидії!AF63+'держ.бюджет'!AF63+'місц.-районн.бюджет'!AF63+обласний!AF63+інші!AF63</f>
        <v>1723.7</v>
      </c>
      <c r="AG63" s="75">
        <f t="shared" si="62"/>
        <v>92.14197893836533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3719.4</v>
      </c>
      <c r="AL63" s="77">
        <f>'насел.'!AL63+пільги!AK63+субсидії!AL63+'держ.бюджет'!AL63+'місц.-районн.бюджет'!AL63+обласний!AL63+інші!AL63</f>
        <v>3375.5</v>
      </c>
      <c r="AM63" s="77">
        <f t="shared" si="64"/>
        <v>90.75388503522073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11751.099999999999</v>
      </c>
      <c r="AU63" s="77">
        <f>'насел.'!AU63+пільги!AU63+субсидії!AU63+'держ.бюджет'!AU63+'місц.-районн.бюджет'!AU63+обласний!AU63+інші!AU63</f>
        <v>10811.1</v>
      </c>
      <c r="AV63" s="75">
        <f t="shared" si="65"/>
        <v>92.00074886606362</v>
      </c>
      <c r="AW63" s="77">
        <f t="shared" si="13"/>
        <v>939.9999999999982</v>
      </c>
      <c r="AX63" s="110">
        <f>'насел.'!AX63+пільги!AX63+субсидії!AX63+'держ.бюджет'!AX63+'місц.-районн.бюджет'!AX63+обласний!AX63+інші!AX63</f>
        <v>4067.5999999999995</v>
      </c>
      <c r="AY63" s="109"/>
      <c r="AZ63" s="104"/>
      <c r="BA63" s="104"/>
      <c r="BB63" s="104"/>
    </row>
    <row r="64" spans="1:54" ht="34.5" customHeight="1">
      <c r="A64" s="30" t="s">
        <v>11</v>
      </c>
      <c r="B64" s="34" t="s">
        <v>168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129</v>
      </c>
      <c r="K64" s="77">
        <f>'насел.'!K64+пільги!K64+субсидії!K64+'держ.бюджет'!K64+'місц.-районн.бюджет'!K64+обласний!K64+інші!K64</f>
        <v>143.3</v>
      </c>
      <c r="L64" s="75">
        <f t="shared" si="55"/>
        <v>111.08527131782947</v>
      </c>
      <c r="M64" s="75">
        <f>'насел.'!M64+пільги!M64+субсидії!M64+'держ.бюджет'!M64+'місц.-районн.бюджет'!M64+обласний!M64+інші!M64</f>
        <v>382.19999999999993</v>
      </c>
      <c r="N64" s="75">
        <f>'насел.'!N64+пільги!N64+субсидії!N64+'держ.бюджет'!N64+'місц.-районн.бюджет'!N64+обласний!N64+інші!N64</f>
        <v>355.3</v>
      </c>
      <c r="O64" s="75">
        <f t="shared" si="56"/>
        <v>92.96180010465727</v>
      </c>
      <c r="P64" s="77">
        <f>'насел.'!P64+пільги!P64+субсидії!P64+'держ.бюджет'!P64+'місц.-районн.бюджет'!P64+обласний!P64+інші!P64</f>
        <v>122.60000000000001</v>
      </c>
      <c r="Q64" s="77">
        <f>'насел.'!Q64+пільги!Q64+субсидії!Q64+'держ.бюджет'!Q64+'місц.-районн.бюджет'!Q64+обласний!Q64+інші!Q64</f>
        <v>114.3</v>
      </c>
      <c r="R64" s="77">
        <f t="shared" si="57"/>
        <v>93.2300163132137</v>
      </c>
      <c r="S64" s="77">
        <f>'насел.'!S64+пільги!S64+субсидії!S64+'держ.бюджет'!S64+'місц.-районн.бюджет'!S64+обласний!S64+інші!S64</f>
        <v>125.19999999999999</v>
      </c>
      <c r="T64" s="77">
        <f>'насел.'!T64+пільги!T64+субсидії!T64+'держ.бюджет'!T64+'місц.-районн.бюджет'!T64+обласний!T64+інші!T64</f>
        <v>120.60000000000001</v>
      </c>
      <c r="U64" s="75">
        <f t="shared" si="58"/>
        <v>96.32587859424922</v>
      </c>
      <c r="V64" s="77">
        <f>'насел.'!V64+пільги!V64+субсидії!V64+'держ.бюджет'!V64+'місц.-районн.бюджет'!V64+обласний!V64+інші!V64</f>
        <v>124</v>
      </c>
      <c r="W64" s="77">
        <f>'насел.'!W64+пільги!W64+субсидії!W64+'держ.бюджет'!W64+'місц.-районн.бюджет'!W64+обласний!W64+інші!W64</f>
        <v>115.8</v>
      </c>
      <c r="X64" s="75">
        <f t="shared" si="59"/>
        <v>93.38709677419355</v>
      </c>
      <c r="Y64" s="77">
        <f>'насел.'!Y64+пільги!Y64+субсидії!Y64+'держ.бюджет'!Y64+'місц.-районн.бюджет'!Y64+обласний!Y64+інші!Y64</f>
        <v>371.8</v>
      </c>
      <c r="Z64" s="77">
        <f>'насел.'!Z64+пільги!Z64+субсидії!Z64+'держ.бюджет'!Z64+'місц.-районн.бюджет'!Z64+обласний!Z64+інші!Z64</f>
        <v>350.7</v>
      </c>
      <c r="AA64" s="75">
        <f t="shared" si="60"/>
        <v>94.32490586336739</v>
      </c>
      <c r="AB64" s="77">
        <f>'насел.'!AB64+пільги!AB64+субсидії!AB64+'держ.бюджет'!AB64+'місц.-районн.бюджет'!AB64+обласний!AB64+інші!AB64</f>
        <v>122.6</v>
      </c>
      <c r="AC64" s="77">
        <f>'насел.'!AC64+пільги!AC64+субсидії!AC64+'держ.бюджет'!AC64+'місц.-районн.бюджет'!AC64+обласний!AC64+інші!AC64</f>
        <v>140.4</v>
      </c>
      <c r="AD64" s="75">
        <f t="shared" si="61"/>
        <v>114.51876019575857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122.6</v>
      </c>
      <c r="AL64" s="77">
        <f>'насел.'!AL64+пільги!AK64+субсидії!AL64+'держ.бюджет'!AL64+'місц.-районн.бюджет'!AL64+обласний!AL64+інші!AL64</f>
        <v>140.4</v>
      </c>
      <c r="AM64" s="77">
        <f t="shared" si="64"/>
        <v>114.51876019575857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876.5999999999999</v>
      </c>
      <c r="AU64" s="77">
        <f>'насел.'!AU64+пільги!AU64+субсидії!AU64+'держ.бюджет'!AU64+'місц.-районн.бюджет'!AU64+обласний!AU64+інші!AU64</f>
        <v>846.3999999999999</v>
      </c>
      <c r="AV64" s="75">
        <f t="shared" si="65"/>
        <v>96.55487109285876</v>
      </c>
      <c r="AW64" s="77">
        <f t="shared" si="13"/>
        <v>30.200000000000045</v>
      </c>
      <c r="AX64" s="110">
        <f>'насел.'!AX64+пільги!AX64+субсидії!AX64+'держ.бюджет'!AX64+'місц.-районн.бюджет'!AX64+обласний!AX64+інші!AX64</f>
        <v>427.19999999999993</v>
      </c>
      <c r="AY64" s="109"/>
      <c r="AZ64" s="104"/>
      <c r="BA64" s="104"/>
      <c r="BB64" s="104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433.69999999999993</v>
      </c>
      <c r="R65" s="77">
        <f t="shared" si="57"/>
        <v>74.95679225717247</v>
      </c>
      <c r="S65" s="77">
        <f>'насел.'!S65+пільги!S65+субсидії!S65+'держ.бюджет'!S65+'місц.-районн.бюджет'!S65+обласний!S65+інші!S65</f>
        <v>604.9000000000001</v>
      </c>
      <c r="T65" s="77">
        <f>'насел.'!T65+пільги!T65+субсидії!T65+'держ.бюджет'!T65+'місц.-районн.бюджет'!T65+обласний!T65+інші!T65</f>
        <v>386.40000000000003</v>
      </c>
      <c r="U65" s="75">
        <f t="shared" si="58"/>
        <v>63.87832699619771</v>
      </c>
      <c r="V65" s="77">
        <f>'насел.'!V65+пільги!V65+субсидії!V65+'держ.бюджет'!V65+'місц.-районн.бюджет'!V65+обласний!V65+інші!V65</f>
        <v>706.3</v>
      </c>
      <c r="W65" s="77">
        <f>'насел.'!W65+пільги!W65+субсидії!W65+'держ.бюджет'!W65+'місц.-районн.бюджет'!W65+обласний!W65+інші!W65</f>
        <v>418.8</v>
      </c>
      <c r="X65" s="75">
        <f t="shared" si="59"/>
        <v>59.29491717400539</v>
      </c>
      <c r="Y65" s="77">
        <f>'насел.'!Y65+пільги!Y65+субсидії!Y65+'держ.бюджет'!Y65+'місц.-районн.бюджет'!Y65+обласний!Y65+інші!Y65</f>
        <v>1889.8000000000002</v>
      </c>
      <c r="Z65" s="77">
        <f>'насел.'!Z65+пільги!Z65+субсидії!Z65+'держ.бюджет'!Z65+'місц.-районн.бюджет'!Z65+обласний!Z65+інші!Z65</f>
        <v>1238.9</v>
      </c>
      <c r="AA65" s="75">
        <f t="shared" si="60"/>
        <v>65.55720182029845</v>
      </c>
      <c r="AB65" s="77">
        <f>'насел.'!AB65+пільги!AB65+субсидії!AB65+'держ.бюджет'!AB65+'місц.-районн.бюджет'!AB65+обласний!AB65+інші!AB65</f>
        <v>756.7</v>
      </c>
      <c r="AC65" s="77">
        <f>'насел.'!AC65+пільги!AC65+субсидії!AC65+'держ.бюджет'!AC65+'місц.-районн.бюджет'!AC65+обласний!AC65+інші!AC65</f>
        <v>444.8</v>
      </c>
      <c r="AD65" s="75">
        <f t="shared" si="61"/>
        <v>58.78155147350337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756.7</v>
      </c>
      <c r="AL65" s="77">
        <f>'насел.'!AL65+пільги!AK65+субсидії!AL65+'держ.бюджет'!AL65+'місц.-районн.бюджет'!AL65+обласний!AL65+інші!AL65</f>
        <v>444.8</v>
      </c>
      <c r="AM65" s="77">
        <f t="shared" si="64"/>
        <v>58.78155147350337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4464.900000000001</v>
      </c>
      <c r="AU65" s="77">
        <f>'насел.'!AU65+пільги!AU65+субсидії!AU65+'держ.бюджет'!AU65+'місц.-районн.бюджет'!AU65+обласний!AU65+інші!AU65</f>
        <v>2998.3</v>
      </c>
      <c r="AV65" s="75">
        <f t="shared" si="65"/>
        <v>67.15267979126071</v>
      </c>
      <c r="AW65" s="77">
        <f t="shared" si="13"/>
        <v>1466.6000000000004</v>
      </c>
      <c r="AX65" s="110">
        <f>'насел.'!AX65+пільги!AX65+субсидії!AX65+'держ.бюджет'!AX65+'місц.-районн.бюджет'!AX65+обласний!AX65+інші!AX65</f>
        <v>3417.2000000000007</v>
      </c>
      <c r="AY65" s="109"/>
      <c r="AZ65" s="104"/>
      <c r="BA65" s="104"/>
      <c r="BB65" s="104"/>
    </row>
    <row r="66" spans="1:54" ht="34.5" customHeight="1">
      <c r="A66" s="30" t="s">
        <v>23</v>
      </c>
      <c r="B66" s="34" t="s">
        <v>149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97.7</v>
      </c>
      <c r="F66" s="75">
        <f t="shared" si="53"/>
        <v>85.40209790209789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133.5</v>
      </c>
      <c r="K66" s="77">
        <f>'насел.'!K66+пільги!K66+субсидії!K66+'держ.бюджет'!K66+'місц.-районн.бюджет'!K66+обласний!K66+інші!K66</f>
        <v>144.9</v>
      </c>
      <c r="L66" s="75">
        <f t="shared" si="55"/>
        <v>108.53932584269663</v>
      </c>
      <c r="M66" s="75">
        <f>'насел.'!M66+пільги!M66+субсидії!M66+'держ.бюджет'!M66+'місц.-районн.бюджет'!M66+обласний!M66+інші!M66</f>
        <v>403.2</v>
      </c>
      <c r="N66" s="75">
        <f>'насел.'!N66+пільги!N66+субсидії!N66+'держ.бюджет'!N66+'місц.-районн.бюджет'!N66+обласний!N66+інші!N66</f>
        <v>397.4</v>
      </c>
      <c r="O66" s="75">
        <f t="shared" si="56"/>
        <v>98.56150793650794</v>
      </c>
      <c r="P66" s="77">
        <f>'насел.'!P66+пільги!P66+субсидії!P66+'держ.бюджет'!P66+'місц.-районн.бюджет'!P66+обласний!P66+інші!P66</f>
        <v>171.7</v>
      </c>
      <c r="Q66" s="77">
        <f>'насел.'!Q66+пільги!Q66+субсидії!Q66+'держ.бюджет'!Q66+'місц.-районн.бюджет'!Q66+обласний!Q66+інші!Q66</f>
        <v>178.1</v>
      </c>
      <c r="R66" s="77">
        <f t="shared" si="57"/>
        <v>103.72743156668609</v>
      </c>
      <c r="S66" s="77">
        <f>'насел.'!S66+пільги!S66+субсидії!S66+'держ.бюджет'!S66+'місц.-районн.бюджет'!S66+обласний!S66+інші!S66</f>
        <v>183</v>
      </c>
      <c r="T66" s="77">
        <f>'насел.'!T66+пільги!T66+субсидії!T66+'держ.бюджет'!T66+'місц.-районн.бюджет'!T66+обласний!T66+інші!T66</f>
        <v>165.60000000000002</v>
      </c>
      <c r="U66" s="75">
        <f t="shared" si="58"/>
        <v>90.49180327868854</v>
      </c>
      <c r="V66" s="77">
        <f>'насел.'!V66+пільги!V66+субсидії!V66+'держ.бюджет'!V66+'місц.-районн.бюджет'!V66+обласний!V66+інші!V66</f>
        <v>173.20000000000002</v>
      </c>
      <c r="W66" s="77">
        <f>'насел.'!W66+пільги!W66+субсидії!W66+'держ.бюджет'!W66+'місц.-районн.бюджет'!W66+обласний!W66+інші!W66</f>
        <v>178.49999999999997</v>
      </c>
      <c r="X66" s="75">
        <f t="shared" si="59"/>
        <v>103.06004618937641</v>
      </c>
      <c r="Y66" s="77">
        <f>'насел.'!Y66+пільги!Y66+субсидії!Y66+'держ.бюджет'!Y66+'місц.-районн.бюджет'!Y66+обласний!Y66+інші!Y66</f>
        <v>527.9</v>
      </c>
      <c r="Z66" s="77">
        <f>'насел.'!Z66+пільги!Z66+субсидії!Z66+'держ.бюджет'!Z66+'місц.-районн.бюджет'!Z66+обласний!Z66+інші!Z66</f>
        <v>522.2</v>
      </c>
      <c r="AA66" s="75">
        <f t="shared" si="60"/>
        <v>98.92025004735747</v>
      </c>
      <c r="AB66" s="77">
        <f>'насел.'!AB66+пільги!AB66+субсидії!AB66+'держ.бюджет'!AB66+'місц.-районн.бюджет'!AB66+обласний!AB66+інші!AB66</f>
        <v>177.29999999999998</v>
      </c>
      <c r="AC66" s="77">
        <f>'насел.'!AC66+пільги!AC66+субсидії!AC66+'держ.бюджет'!AC66+'місц.-районн.бюджет'!AC66+обласний!AC66+інші!AC66</f>
        <v>182.9</v>
      </c>
      <c r="AD66" s="75">
        <f t="shared" si="61"/>
        <v>103.15848843767628</v>
      </c>
      <c r="AE66" s="77">
        <f>'насел.'!AE66+пільги!AE66+субсидії!AE66+'держ.бюджет'!AE66+'місц.-районн.бюджет'!AE66+обласний!AE66+інші!AE66</f>
        <v>205.5</v>
      </c>
      <c r="AF66" s="77">
        <f>'насел.'!AF66+пільги!AF66+субсидії!AF66+'держ.бюджет'!AF66+'місц.-районн.бюджет'!AF66+обласний!AF66+інші!AF66</f>
        <v>203.1</v>
      </c>
      <c r="AG66" s="75">
        <f t="shared" si="62"/>
        <v>98.83211678832117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382.8</v>
      </c>
      <c r="AL66" s="77">
        <f>'насел.'!AL66+пільги!AK66+субсидії!AL66+'держ.бюджет'!AL66+'місц.-районн.бюджет'!AL66+обласний!AL66+інші!AL66</f>
        <v>386.00000000000006</v>
      </c>
      <c r="AM66" s="77">
        <f t="shared" si="64"/>
        <v>100.83594566353189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1313.8999999999999</v>
      </c>
      <c r="AU66" s="77">
        <f>'насел.'!AU66+пільги!AU66+субсидії!AU66+'держ.бюджет'!AU66+'місц.-районн.бюджет'!AU66+обласний!AU66+інші!AU66</f>
        <v>1305.6</v>
      </c>
      <c r="AV66" s="75">
        <f t="shared" si="65"/>
        <v>99.36829286855925</v>
      </c>
      <c r="AW66" s="77">
        <f t="shared" si="13"/>
        <v>8.299999999999955</v>
      </c>
      <c r="AX66" s="110">
        <f>'насел.'!AX66+пільги!AX66+субсидії!AX66+'держ.бюджет'!AX66+'місц.-районн.бюджет'!AX66+обласний!AX66+інші!AX66</f>
        <v>67.30000000000004</v>
      </c>
      <c r="AY66" s="109"/>
      <c r="AZ66" s="104"/>
      <c r="BA66" s="104"/>
      <c r="BB66" s="104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136.53710247349824</v>
      </c>
      <c r="J67" s="77">
        <f>'насел.'!J67+пільги!J67+субсидії!J67+'держ.бюджет'!J67+'місц.-районн.бюджет'!J67+обласний!J67+інші!J67</f>
        <v>747.9000000000001</v>
      </c>
      <c r="K67" s="77">
        <f>'насел.'!K67+пільги!K67+субсидії!K67+'держ.бюджет'!K67+'місц.-районн.бюджет'!K67+обласний!K67+інші!K67</f>
        <v>836.1000000000001</v>
      </c>
      <c r="L67" s="75">
        <f t="shared" si="55"/>
        <v>111.79302045728039</v>
      </c>
      <c r="M67" s="75">
        <f>'насел.'!M67+пільги!M67+субсидії!M67+'держ.бюджет'!M67+'місц.-районн.бюджет'!M67+обласний!M67+інші!M67</f>
        <v>1819.7</v>
      </c>
      <c r="N67" s="75">
        <f>'насел.'!N67+пільги!N67+субсидії!N67+'держ.бюджет'!N67+'місц.-районн.бюджет'!N67+обласний!N67+інші!N67</f>
        <v>2434.8999999999996</v>
      </c>
      <c r="O67" s="75">
        <f t="shared" si="56"/>
        <v>133.80777051162278</v>
      </c>
      <c r="P67" s="77">
        <f>'насел.'!P67+пільги!P67+субсидії!P67+'держ.бюджет'!P67+'місц.-районн.бюджет'!P67+обласний!P67+інші!P67</f>
        <v>689.1</v>
      </c>
      <c r="Q67" s="77">
        <f>'насел.'!Q67+пільги!Q67+субсидії!Q67+'держ.бюджет'!Q67+'місц.-районн.бюджет'!Q67+обласний!Q67+інші!Q67</f>
        <v>696.6</v>
      </c>
      <c r="R67" s="77">
        <f t="shared" si="57"/>
        <v>101.08837614279496</v>
      </c>
      <c r="S67" s="77">
        <f>'насел.'!S67+пільги!S67+субсидії!S67+'держ.бюджет'!S67+'місц.-районн.бюджет'!S67+обласний!S67+інші!S67</f>
        <v>771.2</v>
      </c>
      <c r="T67" s="77">
        <f>'насел.'!T67+пільги!T67+субсидії!T67+'держ.бюджет'!T67+'місц.-районн.бюджет'!T67+обласний!T67+інші!T67</f>
        <v>613.3000000000001</v>
      </c>
      <c r="U67" s="75">
        <f t="shared" si="58"/>
        <v>79.52541493775934</v>
      </c>
      <c r="V67" s="77">
        <f>'насел.'!V67+пільги!V67+субсидії!V67+'держ.бюджет'!V67+'місц.-районн.бюджет'!V67+обласний!V67+інші!V67</f>
        <v>1169.8</v>
      </c>
      <c r="W67" s="77">
        <f>'насел.'!W67+пільги!W67+субсидії!W67+'держ.бюджет'!W67+'місц.-районн.бюджет'!W67+обласний!W67+інші!W67</f>
        <v>651.8</v>
      </c>
      <c r="X67" s="75">
        <f t="shared" si="59"/>
        <v>55.71892631219012</v>
      </c>
      <c r="Y67" s="77">
        <f>'насел.'!Y67+пільги!Y67+субсидії!Y67+'держ.бюджет'!Y67+'місц.-районн.бюджет'!Y67+обласний!Y67+інші!Y67</f>
        <v>2630.1000000000004</v>
      </c>
      <c r="Z67" s="77">
        <f>'насел.'!Z67+пільги!Z67+субсидії!Z67+'держ.бюджет'!Z67+'місц.-районн.бюджет'!Z67+обласний!Z67+інші!Z67</f>
        <v>1961.7</v>
      </c>
      <c r="AA67" s="75">
        <f t="shared" si="60"/>
        <v>74.58651762290405</v>
      </c>
      <c r="AB67" s="77">
        <f>'насел.'!AB67+пільги!AB67+субсидії!AB67+'держ.бюджет'!AB67+'місц.-районн.бюджет'!AB67+обласний!AB67+інші!AB67</f>
        <v>1192</v>
      </c>
      <c r="AC67" s="77">
        <f>'насел.'!AC67+пільги!AC67+субсидії!AC67+'держ.бюджет'!AC67+'місц.-районн.бюджет'!AC67+обласний!AC67+інші!AC67</f>
        <v>999.5</v>
      </c>
      <c r="AD67" s="75">
        <f t="shared" si="61"/>
        <v>83.8506711409396</v>
      </c>
      <c r="AE67" s="77">
        <f>'насел.'!AE67+пільги!AE67+субсидії!AE67+'держ.бюджет'!AE67+'місц.-районн.бюджет'!AE67+обласний!AE67+інші!AE67</f>
        <v>1245.9</v>
      </c>
      <c r="AF67" s="77">
        <f>'насел.'!AF67+пільги!AF67+субсидії!AF67+'держ.бюджет'!AF67+'місц.-районн.бюджет'!AF67+обласний!AF67+інші!AF67</f>
        <v>1054.1</v>
      </c>
      <c r="AG67" s="75">
        <f t="shared" si="62"/>
        <v>84.60550605987638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2437.9</v>
      </c>
      <c r="AL67" s="77">
        <f>'насел.'!AL67+пільги!AK67+субсидії!AL67+'держ.бюджет'!AL67+'місц.-районн.бюджет'!AL67+обласний!AL67+інші!AL67</f>
        <v>2053.6</v>
      </c>
      <c r="AM67" s="77">
        <f t="shared" si="64"/>
        <v>84.23643299561097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6887.700000000001</v>
      </c>
      <c r="AU67" s="77">
        <f>'насел.'!AU67+пільги!AU67+субсидії!AU67+'держ.бюджет'!AU67+'місц.-районн.бюджет'!AU67+обласний!AU67+інші!AU67</f>
        <v>6450.2</v>
      </c>
      <c r="AV67" s="75">
        <f t="shared" si="65"/>
        <v>93.6480973329268</v>
      </c>
      <c r="AW67" s="77">
        <f t="shared" si="13"/>
        <v>437.5000000000009</v>
      </c>
      <c r="AX67" s="110">
        <f>'насел.'!AX67+пільги!AX67+субсидії!AX67+'держ.бюджет'!AX67+'місц.-районн.бюджет'!AX67+обласний!AX67+інші!AX67</f>
        <v>3156.4000000000005</v>
      </c>
      <c r="AY67" s="109"/>
      <c r="AZ67" s="104"/>
      <c r="BA67" s="104"/>
      <c r="BB67" s="104"/>
    </row>
    <row r="68" spans="1:54" ht="34.5" customHeight="1">
      <c r="A68" s="30" t="s">
        <v>10</v>
      </c>
      <c r="B68" s="33" t="s">
        <v>143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181.19999999999996</v>
      </c>
      <c r="K68" s="77">
        <f>'насел.'!K68+пільги!K68+субсидії!K68+'держ.бюджет'!K68+'місц.-районн.бюджет'!K68+обласний!K68+інші!K68</f>
        <v>211.1</v>
      </c>
      <c r="L68" s="75">
        <f t="shared" si="55"/>
        <v>116.50110375275939</v>
      </c>
      <c r="M68" s="75">
        <f>'насел.'!M68+пільги!M68+субсидії!M68+'держ.бюджет'!M68+'місц.-районн.бюджет'!M68+обласний!M68+інші!M68</f>
        <v>562.2</v>
      </c>
      <c r="N68" s="75">
        <f>'насел.'!N68+пільги!N68+субсидії!N68+'держ.бюджет'!N68+'місц.-районн.бюджет'!N68+обласний!N68+інші!N68</f>
        <v>565</v>
      </c>
      <c r="O68" s="75">
        <f t="shared" si="56"/>
        <v>100.49804340092491</v>
      </c>
      <c r="P68" s="77">
        <f>'насел.'!P68+пільги!P68+субсидії!P68+'держ.бюджет'!P68+'місц.-районн.бюджет'!P68+обласний!P68+інші!P68</f>
        <v>198.6</v>
      </c>
      <c r="Q68" s="77">
        <f>'насел.'!Q68+пільги!Q68+субсидії!Q68+'держ.бюджет'!Q68+'місц.-районн.бюджет'!Q68+обласний!Q68+інші!Q68</f>
        <v>192.8</v>
      </c>
      <c r="R68" s="77">
        <f t="shared" si="57"/>
        <v>97.07955689828802</v>
      </c>
      <c r="S68" s="77">
        <f>'насел.'!S68+пільги!S68+субсидії!S68+'держ.бюджет'!S68+'місц.-районн.бюджет'!S68+обласний!S68+інші!S68</f>
        <v>237.3</v>
      </c>
      <c r="T68" s="77">
        <f>'насел.'!T68+пільги!T68+субсидії!T68+'держ.бюджет'!T68+'місц.-районн.бюджет'!T68+обласний!T68+інші!T68</f>
        <v>179.4</v>
      </c>
      <c r="U68" s="75">
        <f t="shared" si="58"/>
        <v>75.60050568900127</v>
      </c>
      <c r="V68" s="77">
        <f>'насел.'!V68+пільги!V68+субсидії!V68+'держ.бюджет'!V68+'місц.-районн.бюджет'!V68+обласний!V68+інші!V68</f>
        <v>215.79999999999998</v>
      </c>
      <c r="W68" s="77">
        <f>'насел.'!W68+пільги!W68+субсидії!W68+'держ.бюджет'!W68+'місц.-районн.бюджет'!W68+обласний!W68+інші!W68</f>
        <v>195</v>
      </c>
      <c r="X68" s="75">
        <f t="shared" si="59"/>
        <v>90.36144578313254</v>
      </c>
      <c r="Y68" s="77">
        <f>'насел.'!Y68+пільги!Y68+субсидії!Y68+'держ.бюджет'!Y68+'місц.-районн.бюджет'!Y68+обласний!Y68+інші!Y68</f>
        <v>651.6999999999999</v>
      </c>
      <c r="Z68" s="77">
        <f>'насел.'!Z68+пільги!Z68+субсидії!Z68+'держ.бюджет'!Z68+'місц.-районн.бюджет'!Z68+обласний!Z68+інші!Z68</f>
        <v>567.1999999999999</v>
      </c>
      <c r="AA68" s="75">
        <f t="shared" si="60"/>
        <v>87.03391130888446</v>
      </c>
      <c r="AB68" s="77">
        <f>'насел.'!AB68+пільги!AB68+субсидії!AB68+'держ.бюджет'!AB68+'місц.-районн.бюджет'!AB68+обласний!AB68+інші!AB68</f>
        <v>225.6</v>
      </c>
      <c r="AC68" s="77">
        <f>'насел.'!AC68+пільги!AC68+субсидії!AC68+'держ.бюджет'!AC68+'місц.-районн.бюджет'!AC68+обласний!AC68+інші!AC68</f>
        <v>202.5</v>
      </c>
      <c r="AD68" s="75">
        <f t="shared" si="61"/>
        <v>89.76063829787235</v>
      </c>
      <c r="AE68" s="77">
        <f>'насел.'!AE68+пільги!AE68+субсидії!AE68+'держ.бюджет'!AE68+'місц.-районн.бюджет'!AE68+обласний!AE68+інші!AE68</f>
        <v>245.79999999999998</v>
      </c>
      <c r="AF68" s="77">
        <f>'насел.'!AF68+пільги!AF68+субсидії!AF68+'держ.бюджет'!AF68+'місц.-районн.бюджет'!AF68+обласний!AF68+інші!AF68</f>
        <v>267</v>
      </c>
      <c r="AG68" s="75">
        <f t="shared" si="62"/>
        <v>108.62489829129373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471.40000000000003</v>
      </c>
      <c r="AL68" s="77">
        <f>'насел.'!AL68+пільги!AK68+субсидії!AL68+'держ.бюджет'!AL68+'місц.-районн.бюджет'!AL68+обласний!AL68+інші!AL68</f>
        <v>469.5</v>
      </c>
      <c r="AM68" s="77">
        <f t="shared" si="64"/>
        <v>99.59694526941027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1685.3</v>
      </c>
      <c r="AU68" s="77">
        <f>'насел.'!AU68+пільги!AU68+субсидії!AU68+'держ.бюджет'!AU68+'місц.-районн.бюджет'!AU68+обласний!AU68+інші!AU68</f>
        <v>1601.7</v>
      </c>
      <c r="AV68" s="75">
        <f t="shared" si="65"/>
        <v>95.03945885005638</v>
      </c>
      <c r="AW68" s="77">
        <f t="shared" si="13"/>
        <v>83.59999999999991</v>
      </c>
      <c r="AX68" s="110">
        <f>'насел.'!AX68+пільги!AX68+субсидії!AX68+'держ.бюджет'!AX68+'місц.-районн.бюджет'!AX68+обласний!AX68+інші!AX68</f>
        <v>435.5000000000001</v>
      </c>
      <c r="AY68" s="109"/>
      <c r="AZ68" s="104"/>
      <c r="BA68" s="104"/>
      <c r="BB68" s="104"/>
    </row>
    <row r="69" spans="1:54" ht="34.5" customHeight="1">
      <c r="A69" s="30" t="s">
        <v>11</v>
      </c>
      <c r="B69" s="33" t="s">
        <v>142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275.3</v>
      </c>
      <c r="E69" s="77">
        <f>'насел.'!E69+пільги!E69+субсидії!E69+'держ.бюджет'!E69+'місц.-районн.бюджет'!E69+обласний!E69+інші!E69</f>
        <v>179.2</v>
      </c>
      <c r="F69" s="75">
        <f t="shared" si="53"/>
        <v>65.09262622593533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371.79999999999995</v>
      </c>
      <c r="K69" s="77">
        <f>'насел.'!K69+пільги!K69+субсидії!K69+'держ.бюджет'!K69+'місц.-районн.бюджет'!K69+обласний!K69+інші!K69</f>
        <v>351.5</v>
      </c>
      <c r="L69" s="75">
        <f t="shared" si="55"/>
        <v>94.54007530930609</v>
      </c>
      <c r="M69" s="75">
        <f>'насел.'!M69+пільги!M69+субсидії!M69+'держ.бюджет'!M69+'місц.-районн.бюджет'!M69+обласний!M69+інші!M69</f>
        <v>1017.4</v>
      </c>
      <c r="N69" s="75">
        <f>'насел.'!N69+пільги!N69+субсидії!N69+'держ.бюджет'!N69+'місц.-районн.бюджет'!N69+обласний!N69+інші!N69</f>
        <v>730.2</v>
      </c>
      <c r="O69" s="75">
        <f t="shared" si="56"/>
        <v>71.77118144289366</v>
      </c>
      <c r="P69" s="77">
        <f>'насел.'!P69+пільги!P69+субсидії!P69+'держ.бюджет'!P69+'місц.-районн.бюджет'!P69+обласний!P69+інші!P69</f>
        <v>369.99999999999994</v>
      </c>
      <c r="Q69" s="77">
        <f>'насел.'!Q69+пільги!Q69+субсидії!Q69+'держ.бюджет'!Q69+'місц.-районн.бюджет'!Q69+обласний!Q69+інші!Q69</f>
        <v>479.8</v>
      </c>
      <c r="R69" s="77">
        <f t="shared" si="57"/>
        <v>129.6756756756757</v>
      </c>
      <c r="S69" s="77">
        <f>'насел.'!S69+пільги!S69+субсидії!S69+'держ.бюджет'!S69+'місц.-районн.бюджет'!S69+обласний!S69+інші!S69</f>
        <v>367.7</v>
      </c>
      <c r="T69" s="77">
        <f>'насел.'!T69+пільги!T69+субсидії!T69+'держ.бюджет'!T69+'місц.-районн.бюджет'!T69+обласний!T69+інші!T69</f>
        <v>157.3</v>
      </c>
      <c r="U69" s="75">
        <f t="shared" si="58"/>
        <v>42.779439760674464</v>
      </c>
      <c r="V69" s="77">
        <f>'насел.'!V69+пільги!V69+субсидії!V69+'держ.бюджет'!V69+'місц.-районн.бюджет'!V69+обласний!V69+інші!V69</f>
        <v>370</v>
      </c>
      <c r="W69" s="77">
        <f>'насел.'!W69+пільги!W69+субсидії!W69+'держ.бюджет'!W69+'місц.-районн.бюджет'!W69+обласний!W69+інші!W69</f>
        <v>249</v>
      </c>
      <c r="X69" s="75">
        <f t="shared" si="59"/>
        <v>67.29729729729729</v>
      </c>
      <c r="Y69" s="77">
        <f>'насел.'!Y69+пільги!Y69+субсидії!Y69+'держ.бюджет'!Y69+'місц.-районн.бюджет'!Y69+обласний!Y69+інші!Y69</f>
        <v>1107.7</v>
      </c>
      <c r="Z69" s="77">
        <f>'насел.'!Z69+пільги!Z69+субсидії!Z69+'держ.бюджет'!Z69+'місц.-районн.бюджет'!Z69+обласний!Z69+інші!Z69</f>
        <v>886.1</v>
      </c>
      <c r="AA69" s="75">
        <f t="shared" si="60"/>
        <v>79.99458337094882</v>
      </c>
      <c r="AB69" s="77">
        <f>'насел.'!AB69+пільги!AB69+субсидії!AB69+'держ.бюджет'!AB69+'місц.-районн.бюджет'!AB69+обласний!AB69+інші!AB69</f>
        <v>407.79999999999995</v>
      </c>
      <c r="AC69" s="77">
        <f>'насел.'!AC69+пільги!AC69+субсидії!AC69+'держ.бюджет'!AC69+'місц.-районн.бюджет'!AC69+обласний!AC69+інші!AC69</f>
        <v>478.7</v>
      </c>
      <c r="AD69" s="75">
        <f t="shared" si="61"/>
        <v>117.38597351642963</v>
      </c>
      <c r="AE69" s="77">
        <f>'насел.'!AE69+пільги!AE69+субсидії!AE69+'держ.бюджет'!AE69+'місц.-районн.бюджет'!AE69+обласний!AE69+інші!AE69</f>
        <v>432.3</v>
      </c>
      <c r="AF69" s="77">
        <f>'насел.'!AF69+пільги!AF69+субсидії!AF69+'держ.бюджет'!AF69+'місц.-районн.бюджет'!AF69+обласний!AF69+інші!AF69</f>
        <v>417.29999999999995</v>
      </c>
      <c r="AG69" s="75">
        <f t="shared" si="62"/>
        <v>96.53018736988201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840.1</v>
      </c>
      <c r="AL69" s="77">
        <f>'насел.'!AL69+пільги!AK69+субсидії!AL69+'держ.бюджет'!AL69+'місц.-районн.бюджет'!AL69+обласний!AL69+інші!AL69</f>
        <v>895.9999999999999</v>
      </c>
      <c r="AM69" s="77">
        <f t="shared" si="64"/>
        <v>106.6539697655041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2965.2000000000003</v>
      </c>
      <c r="AU69" s="77">
        <f>'насел.'!AU69+пільги!AU69+субсидії!AU69+'держ.бюджет'!AU69+'місц.-районн.бюджет'!AU69+обласний!AU69+інші!AU69</f>
        <v>2512.2999999999997</v>
      </c>
      <c r="AV69" s="75">
        <f t="shared" si="65"/>
        <v>84.72615675165248</v>
      </c>
      <c r="AW69" s="77">
        <f t="shared" si="13"/>
        <v>452.90000000000055</v>
      </c>
      <c r="AX69" s="110">
        <f>'насел.'!AX69+пільги!AX69+субсидії!AX69+'держ.бюджет'!AX69+'місц.-районн.бюджет'!AX69+обласний!AX69+інші!AX69</f>
        <v>2204.3000000000006</v>
      </c>
      <c r="AY69" s="109"/>
      <c r="AZ69" s="104"/>
      <c r="BA69" s="104"/>
      <c r="BB69" s="104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101.6</v>
      </c>
      <c r="K70" s="77">
        <f>'насел.'!K70+пільги!K70+субсидії!K70+'держ.бюджет'!K70+'місц.-районн.бюджет'!K70+обласний!K70+інші!K70</f>
        <v>106.9</v>
      </c>
      <c r="L70" s="75">
        <f>K70/J70*100</f>
        <v>105.21653543307087</v>
      </c>
      <c r="M70" s="75">
        <f>'насел.'!M70+пільги!M70+субсидії!M70+'держ.бюджет'!M70+'місц.-районн.бюджет'!M70+обласний!M70+інші!M70</f>
        <v>301.8</v>
      </c>
      <c r="N70" s="75">
        <f>'насел.'!N70+пільги!N70+субсидії!N70+'держ.бюджет'!N70+'місц.-районн.бюджет'!N70+обласний!N70+інші!N70</f>
        <v>290.2</v>
      </c>
      <c r="O70" s="75">
        <f>N70/M70*100</f>
        <v>96.15639496355202</v>
      </c>
      <c r="P70" s="77">
        <f>'насел.'!P70+пільги!P70+субсидії!P70+'держ.бюджет'!P70+'місц.-районн.бюджет'!P70+обласний!P70+інші!P70</f>
        <v>97.49999999999999</v>
      </c>
      <c r="Q70" s="77">
        <f>'насел.'!Q70+пільги!Q70+субсидії!Q70+'держ.бюджет'!Q70+'місц.-районн.бюджет'!Q70+обласний!Q70+інші!Q70</f>
        <v>103.1</v>
      </c>
      <c r="R70" s="77">
        <f>Q70/P70*100</f>
        <v>105.74358974358975</v>
      </c>
      <c r="S70" s="77">
        <f>'насел.'!S70+пільги!S70+субсидії!S70+'держ.бюджет'!S70+'місц.-районн.бюджет'!S70+обласний!S70+інші!S70</f>
        <v>96.30000000000001</v>
      </c>
      <c r="T70" s="77">
        <f>'насел.'!T70+пільги!T70+субсидії!T70+'держ.бюджет'!T70+'місц.-районн.бюджет'!T70+обласний!T70+інші!T70</f>
        <v>91.69999999999999</v>
      </c>
      <c r="U70" s="75">
        <f>T70/S70*100</f>
        <v>95.22326064382138</v>
      </c>
      <c r="V70" s="77">
        <f>'насел.'!V70+пільги!V70+субсидії!V70+'держ.бюджет'!V70+'місц.-районн.бюджет'!V70+обласний!V70+інші!V70</f>
        <v>145.4</v>
      </c>
      <c r="W70" s="77">
        <f>'насел.'!W70+пільги!W70+субсидії!W70+'держ.бюджет'!W70+'місц.-районн.бюджет'!W70+обласний!W70+інші!W70</f>
        <v>97</v>
      </c>
      <c r="X70" s="75">
        <f>W70/V70*100</f>
        <v>66.71251719394773</v>
      </c>
      <c r="Y70" s="77">
        <f>'насел.'!Y70+пільги!Y70+субсидії!Y70+'держ.бюджет'!Y70+'місц.-районн.бюджет'!Y70+обласний!Y70+інші!Y70</f>
        <v>339.20000000000005</v>
      </c>
      <c r="Z70" s="77">
        <f>'насел.'!Z70+пільги!Z70+субсидії!Z70+'держ.бюджет'!Z70+'місц.-районн.бюджет'!Z70+обласний!Z70+інші!Z70</f>
        <v>291.8</v>
      </c>
      <c r="AA70" s="75">
        <f>Z70/Y70*100</f>
        <v>86.02594339622641</v>
      </c>
      <c r="AB70" s="77">
        <f>'насел.'!AB70+пільги!AB70+субсидії!AB70+'держ.бюджет'!AB70+'місц.-районн.бюджет'!AB70+обласний!AB70+інші!AB70</f>
        <v>130.89999999999998</v>
      </c>
      <c r="AC70" s="77">
        <f>'насел.'!AC70+пільги!AC70+субсидії!AC70+'держ.бюджет'!AC70+'місц.-районн.бюджет'!AC70+обласний!AC70+інші!AC70</f>
        <v>112.60000000000002</v>
      </c>
      <c r="AD70" s="75">
        <f>AC70/AB70*100</f>
        <v>86.01986249045076</v>
      </c>
      <c r="AE70" s="77">
        <f>'насел.'!AE70+пільги!AE70+субсидії!AE70+'держ.бюджет'!AE70+'місц.-районн.бюджет'!AE70+обласний!AE70+інші!AE70</f>
        <v>101.20000000000002</v>
      </c>
      <c r="AF70" s="77">
        <f>'насел.'!AF70+пільги!AF70+субсидії!AF70+'держ.бюджет'!AF70+'місц.-районн.бюджет'!AF70+обласний!AF70+інші!AF70</f>
        <v>105.19999999999999</v>
      </c>
      <c r="AG70" s="75">
        <f>AF70/AE70*100</f>
        <v>103.95256916996046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232.10000000000002</v>
      </c>
      <c r="AL70" s="77">
        <f>'насел.'!AL70+пільги!AK70+субсидії!AL70+'держ.бюджет'!AL70+'місц.-районн.бюджет'!AL70+обласний!AL70+інші!AL70</f>
        <v>217.8</v>
      </c>
      <c r="AM70" s="77">
        <f>AL70/AK70*100</f>
        <v>93.8388625592417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873.1</v>
      </c>
      <c r="AU70" s="77">
        <f>'насел.'!AU70+пільги!AU70+субсидії!AU70+'держ.бюджет'!AU70+'місц.-районн.бюджет'!AU70+обласний!AU70+інші!AU70</f>
        <v>799.8000000000001</v>
      </c>
      <c r="AV70" s="75">
        <f>AU70/AT70*100</f>
        <v>91.60462719047075</v>
      </c>
      <c r="AW70" s="77">
        <f>AT70-AU70</f>
        <v>73.29999999999995</v>
      </c>
      <c r="AX70" s="110">
        <f>'насел.'!AX70+пільги!AX70+субсидії!AX70+'держ.бюджет'!AX70+'місц.-районн.бюджет'!AX70+обласний!AX70+інші!AX70</f>
        <v>205.39999999999995</v>
      </c>
      <c r="AY70" s="109"/>
      <c r="AZ70" s="104"/>
      <c r="BA70" s="104"/>
      <c r="BB70" s="104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3043</v>
      </c>
      <c r="I71" s="75">
        <f t="shared" si="54"/>
        <v>93.11505507955937</v>
      </c>
      <c r="J71" s="77">
        <f>'насел.'!J71+пільги!J71+субсидії!J71+'держ.бюджет'!J71+'місц.-районн.бюджет'!J71+обласний!J71+інші!J71</f>
        <v>3232.7999999999997</v>
      </c>
      <c r="K71" s="77">
        <f>'насел.'!K71+пільги!K71+субсидії!K71+'держ.бюджет'!K71+'місц.-районн.бюджет'!K71+обласний!K71+інші!K71</f>
        <v>3579.4</v>
      </c>
      <c r="L71" s="75">
        <f t="shared" si="55"/>
        <v>110.72135609997527</v>
      </c>
      <c r="M71" s="75">
        <f>'насел.'!M71+пільги!M71+субсидії!M71+'держ.бюджет'!M71+'місц.-районн.бюджет'!M71+обласний!M71+інші!M71</f>
        <v>9890.500000000002</v>
      </c>
      <c r="N71" s="75">
        <f>'насел.'!N71+пільги!N71+субсидії!N71+'держ.бюджет'!N71+'місц.-районн.бюджет'!N71+обласний!N71+інші!N71</f>
        <v>9677.7</v>
      </c>
      <c r="O71" s="75">
        <f t="shared" si="56"/>
        <v>97.84844042262776</v>
      </c>
      <c r="P71" s="77">
        <f>'насел.'!P71+пільги!P71+субсидії!P71+'держ.бюджет'!P71+'місц.-районн.бюджет'!P71+обласний!P71+інші!P71</f>
        <v>3335.5</v>
      </c>
      <c r="Q71" s="77">
        <f>'насел.'!Q71+пільги!Q71+субсидії!Q71+'держ.бюджет'!Q71+'місц.-районн.бюджет'!Q71+обласний!Q71+інші!Q71</f>
        <v>3154.0999999999995</v>
      </c>
      <c r="R71" s="77">
        <f t="shared" si="57"/>
        <v>94.56153500224852</v>
      </c>
      <c r="S71" s="77">
        <f>'насел.'!S71+пільги!S71+субсидії!S71+'держ.бюджет'!S71+'місц.-районн.бюджет'!S71+обласний!S71+інші!S71</f>
        <v>3296</v>
      </c>
      <c r="T71" s="77">
        <f>'насел.'!T71+пільги!T71+субсидії!T71+'держ.бюджет'!T71+'місц.-районн.бюджет'!T71+обласний!T71+інші!T71</f>
        <v>3004.5</v>
      </c>
      <c r="U71" s="75">
        <f t="shared" si="58"/>
        <v>91.15594660194175</v>
      </c>
      <c r="V71" s="77">
        <f>'насел.'!V71+пільги!V71+субсидії!V71+'держ.бюджет'!V71+'місц.-районн.бюджет'!V71+обласний!V71+інші!V71</f>
        <v>3331.5</v>
      </c>
      <c r="W71" s="77">
        <f>'насел.'!W71+пільги!W71+субсидії!W71+'держ.бюджет'!W71+'місц.-районн.бюджет'!W71+обласний!W71+інші!W71</f>
        <v>3193.1000000000004</v>
      </c>
      <c r="X71" s="75">
        <f t="shared" si="59"/>
        <v>95.84571514332885</v>
      </c>
      <c r="Y71" s="77">
        <f>'насел.'!Y71+пільги!Y71+субсидії!Y71+'держ.бюджет'!Y71+'місц.-районн.бюджет'!Y71+обласний!Y71+інші!Y71</f>
        <v>9963.000000000002</v>
      </c>
      <c r="Z71" s="77">
        <f>'насел.'!Z71+пільги!Z71+субсидії!Z71+'держ.бюджет'!Z71+'місц.-районн.бюджет'!Z71+обласний!Z71+інші!Z71</f>
        <v>9351.7</v>
      </c>
      <c r="AA71" s="75">
        <f t="shared" si="60"/>
        <v>93.86429790223826</v>
      </c>
      <c r="AB71" s="77">
        <f>'насел.'!AB71+пільги!AB71+субсидії!AB71+'держ.бюджет'!AB71+'місц.-районн.бюджет'!AB71+обласний!AB71+інші!AB71</f>
        <v>3676</v>
      </c>
      <c r="AC71" s="77">
        <f>'насел.'!AC71+пільги!AC71+субсидії!AC71+'держ.бюджет'!AC71+'місц.-районн.бюджет'!AC71+обласний!AC71+інші!AC71</f>
        <v>3320.3</v>
      </c>
      <c r="AD71" s="75">
        <f t="shared" si="61"/>
        <v>90.32372143634386</v>
      </c>
      <c r="AE71" s="77">
        <f>'насел.'!AE71+пільги!AE71+субсидії!AE71+'держ.бюджет'!AE71+'місц.-районн.бюджет'!AE71+обласний!AE71+інші!AE71</f>
        <v>3547.0999999999995</v>
      </c>
      <c r="AF71" s="77">
        <f>'насел.'!AF71+пільги!AF71+субсидії!AF71+'держ.бюджет'!AF71+'місц.-районн.бюджет'!AF71+обласний!AF71+інші!AF71</f>
        <v>3586.5</v>
      </c>
      <c r="AG71" s="75">
        <f t="shared" si="62"/>
        <v>101.11076654168197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7223.1</v>
      </c>
      <c r="AL71" s="77">
        <f>'насел.'!AL71+пільги!AK71+субсидії!AL71+'держ.бюджет'!AL71+'місц.-районн.бюджет'!AL71+обласний!AL71+інші!AL71</f>
        <v>6906.8</v>
      </c>
      <c r="AM71" s="77">
        <f t="shared" si="64"/>
        <v>95.62099375614348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27076.600000000002</v>
      </c>
      <c r="AU71" s="77">
        <f>'насел.'!AU71+пільги!AU71+субсидії!AU71+'держ.бюджет'!AU71+'місц.-районн.бюджет'!AU71+обласний!AU71+інші!AU71</f>
        <v>25936.199999999997</v>
      </c>
      <c r="AV71" s="75">
        <f t="shared" si="65"/>
        <v>95.78824520065294</v>
      </c>
      <c r="AW71" s="77">
        <f t="shared" si="13"/>
        <v>1140.400000000005</v>
      </c>
      <c r="AX71" s="110">
        <f>'насел.'!AX71+пільги!AX71+субсидії!AX71+'держ.бюджет'!AX71+'місц.-районн.бюджет'!AX71+обласний!AX71+інші!AX71</f>
        <v>10711.5</v>
      </c>
      <c r="AY71" s="109"/>
      <c r="AZ71" s="104"/>
      <c r="BA71" s="104"/>
      <c r="BB71" s="104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195732.8</v>
      </c>
      <c r="T72" s="37">
        <f>'насел.'!T72+пільги!T72+субсидії!T72+'держ.бюджет'!T72+'місц.-районн.бюджет'!T72+обласний!T72+інші!T72</f>
        <v>153244.90000000002</v>
      </c>
      <c r="U72" s="38">
        <f>T72/S72*100</f>
        <v>78.29290747386234</v>
      </c>
      <c r="V72" s="37">
        <f>'насел.'!V72+пільги!V72+субсидії!V72+'держ.бюджет'!V72+'місц.-районн.бюджет'!V72+обласний!V72+інші!V72</f>
        <v>184578.1</v>
      </c>
      <c r="W72" s="37">
        <f>'насел.'!W72+пільги!W72+субсидії!W72+'держ.бюджет'!W72+'місц.-районн.бюджет'!W72+обласний!W72+інші!W72</f>
        <v>155894.2</v>
      </c>
      <c r="X72" s="38">
        <f>W72/V72*100</f>
        <v>84.45974901681186</v>
      </c>
      <c r="Y72" s="37">
        <f>'насел.'!Y72+пільги!Y72+субсидії!Y72+'держ.бюджет'!Y72+'місц.-районн.бюджет'!Y72+обласний!Y72+інші!Y72</f>
        <v>594901.5999999999</v>
      </c>
      <c r="Z72" s="37">
        <f>'насел.'!Z72+пільги!Z72+субсидії!Z72+'держ.бюджет'!Z72+'місц.-районн.бюджет'!Z72+обласний!Z72+інші!Z72</f>
        <v>478748.8</v>
      </c>
      <c r="AA72" s="38">
        <f>Z72/Y72*100</f>
        <v>80.47529204829841</v>
      </c>
      <c r="AB72" s="37">
        <f>'насел.'!AB72+пільги!AB72+субсидії!AB72+'держ.бюджет'!AB72+'місц.-районн.бюджет'!AB72+обласний!AB72+інші!AB72</f>
        <v>186957.7</v>
      </c>
      <c r="AC72" s="37">
        <f>'насел.'!AC72+пільги!AC72+субсидії!AC72+'держ.бюджет'!AC72+'місц.-районн.бюджет'!AC72+обласний!AC72+інші!AC72</f>
        <v>171415.1</v>
      </c>
      <c r="AD72" s="38">
        <f>AC72/AB72*100</f>
        <v>91.68656867302069</v>
      </c>
      <c r="AE72" s="37">
        <f>'насел.'!AE72+пільги!AE72+субсидії!AE72+'держ.бюджет'!AE72+'місц.-районн.бюджет'!AE72+обласний!AE72+інші!AE72</f>
        <v>190908.59999999998</v>
      </c>
      <c r="AF72" s="37">
        <f>'насел.'!AF72+пільги!AF72+субсидії!AF72+'держ.бюджет'!AF72+'місц.-районн.бюджет'!AF72+обласний!AF72+інші!AF72</f>
        <v>160899</v>
      </c>
      <c r="AG72" s="38">
        <f>AF72/AE72*100</f>
        <v>84.28064529308791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377866.30000000005</v>
      </c>
      <c r="AL72" s="37">
        <f>'насел.'!AL72+пільги!AK72+субсидії!AL72+'держ.бюджет'!AL72+'місц.-районн.бюджет'!AL72+обласний!AL72+інші!AL72</f>
        <v>332314.1</v>
      </c>
      <c r="AM72" s="37">
        <f>AL72/AK72*100</f>
        <v>87.9448895019217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1635524.3</v>
      </c>
      <c r="AU72" s="37">
        <f>'насел.'!AU72+пільги!AU72+субсидії!AU72+'держ.бюджет'!AU72+'місц.-районн.бюджет'!AU72+обласний!AU72+інші!AU72</f>
        <v>1264929.5999999999</v>
      </c>
      <c r="AV72" s="38">
        <f>AU72/AT72*100</f>
        <v>77.340923641428</v>
      </c>
      <c r="AW72" s="37">
        <f t="shared" si="13"/>
        <v>370594.7000000002</v>
      </c>
      <c r="AX72" s="37">
        <f>SUM(AX73:AX73)</f>
        <v>2334154.6000000006</v>
      </c>
      <c r="AY72" s="109"/>
      <c r="AZ72" s="109"/>
      <c r="BA72" s="109"/>
      <c r="BB72" s="10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217584.80000000002</v>
      </c>
      <c r="K73" s="77">
        <f>'насел.'!K73+пільги!K73+субсидії!K73+'держ.бюджет'!K73+'місц.-районн.бюджет'!K73+обласний!K73+інші!K73</f>
        <v>174234.59999999998</v>
      </c>
      <c r="L73" s="75">
        <f>K73/J73*100</f>
        <v>80.07664138303777</v>
      </c>
      <c r="M73" s="75">
        <f>'насел.'!M73+пільги!M73+субсидії!M73+'держ.бюджет'!M73+'місц.-районн.бюджет'!M73+обласний!M73+інші!M73</f>
        <v>662756.4</v>
      </c>
      <c r="N73" s="75">
        <f>'насел.'!N73+пільги!N73+субсидії!N73+'держ.бюджет'!N73+'місц.-районн.бюджет'!N73+обласний!N73+інші!N73</f>
        <v>453866.69999999995</v>
      </c>
      <c r="O73" s="75">
        <f>N73/M73*100</f>
        <v>68.48167743080262</v>
      </c>
      <c r="P73" s="77">
        <f>'насел.'!P73+пільги!P73+субсидії!P73+'держ.бюджет'!P73+'місц.-районн.бюджет'!P73+обласний!P73+інші!P73</f>
        <v>214590.7</v>
      </c>
      <c r="Q73" s="77">
        <f>'насел.'!Q73+пільги!Q73+субсидії!Q73+'держ.бюджет'!Q73+'місц.-районн.бюджет'!Q73+обласний!Q73+інші!Q73</f>
        <v>169609.7</v>
      </c>
      <c r="R73" s="77">
        <f>Q73/P73*100</f>
        <v>79.03870018598197</v>
      </c>
      <c r="S73" s="77">
        <f>'насел.'!S73+пільги!S73+субсидії!S73+'держ.бюджет'!S73+'місц.-районн.бюджет'!S73+обласний!S73+інші!S73</f>
        <v>195732.8</v>
      </c>
      <c r="T73" s="77">
        <f>'насел.'!T73+пільги!T73+субсидії!T73+'держ.бюджет'!T73+'місц.-районн.бюджет'!T73+обласний!T73+інші!T73</f>
        <v>153244.90000000002</v>
      </c>
      <c r="U73" s="75">
        <f>T73/S73*100</f>
        <v>78.29290747386234</v>
      </c>
      <c r="V73" s="77">
        <f>'насел.'!V73+пільги!V73+субсидії!V73+'держ.бюджет'!V73+'місц.-районн.бюджет'!V73+обласний!V73+інші!V73</f>
        <v>184578.1</v>
      </c>
      <c r="W73" s="77">
        <f>'насел.'!W73+пільги!W73+субсидії!W73+'держ.бюджет'!W73+'місц.-районн.бюджет'!W73+обласний!W73+інші!W73</f>
        <v>155894.2</v>
      </c>
      <c r="X73" s="75">
        <f>W73/V73*100</f>
        <v>84.45974901681186</v>
      </c>
      <c r="Y73" s="77">
        <f>'насел.'!Y73+пільги!Y73+субсидії!Y73+'держ.бюджет'!Y73+'місц.-районн.бюджет'!Y73+обласний!Y73+інші!Y73</f>
        <v>594901.5999999999</v>
      </c>
      <c r="Z73" s="77">
        <f>'насел.'!Z73+пільги!Z73+субсидії!Z73+'держ.бюджет'!Z73+'місц.-районн.бюджет'!Z73+обласний!Z73+інші!Z73</f>
        <v>478748.8</v>
      </c>
      <c r="AA73" s="75">
        <f>Z73/Y73*100</f>
        <v>80.47529204829841</v>
      </c>
      <c r="AB73" s="77">
        <f>'насел.'!AB73+пільги!AB73+субсидії!AB73+'держ.бюджет'!AB73+'місц.-районн.бюджет'!AB73+обласний!AB73+інші!AB73</f>
        <v>186957.7</v>
      </c>
      <c r="AC73" s="77">
        <f>'насел.'!AC73+пільги!AC73+субсидії!AC73+'держ.бюджет'!AC73+'місц.-районн.бюджет'!AC73+обласний!AC73+інші!AC73</f>
        <v>171415.1</v>
      </c>
      <c r="AD73" s="75">
        <f>AC73/AB73*100</f>
        <v>91.68656867302069</v>
      </c>
      <c r="AE73" s="77">
        <f>'насел.'!AE73+пільги!AE73+субсидії!AE73+'держ.бюджет'!AE73+'місц.-районн.бюджет'!AE73+обласний!AE73+інші!AE73</f>
        <v>190908.59999999998</v>
      </c>
      <c r="AF73" s="77">
        <f>'насел.'!AF73+пільги!AF73+субсидії!AF73+'держ.бюджет'!AF73+'місц.-районн.бюджет'!AF73+обласний!AF73+інші!AF73</f>
        <v>160899</v>
      </c>
      <c r="AG73" s="75">
        <f>AF73/AE73*100</f>
        <v>84.28064529308791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377866.30000000005</v>
      </c>
      <c r="AL73" s="77">
        <f>'насел.'!AL73+пільги!AK73+субсидії!AL73+'держ.бюджет'!AL73+'місц.-районн.бюджет'!AL73+обласний!AL73+інші!AL73</f>
        <v>332314.1</v>
      </c>
      <c r="AM73" s="77">
        <f>AL73/AK73*100</f>
        <v>87.9448895019217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1635524.3</v>
      </c>
      <c r="AU73" s="77">
        <f>'насел.'!AU73+пільги!AU73+субсидії!AU73+'держ.бюджет'!AU73+'місц.-районн.бюджет'!AU73+обласний!AU73+інші!AU73</f>
        <v>1264929.5999999999</v>
      </c>
      <c r="AV73" s="75">
        <f>AU73/AT73*100</f>
        <v>77.340923641428</v>
      </c>
      <c r="AW73" s="77">
        <f t="shared" si="13"/>
        <v>370594.7000000002</v>
      </c>
      <c r="AX73" s="110">
        <f>'насел.'!AX73+пільги!AX73+субсидії!AX73+'держ.бюджет'!AX73+'місц.-районн.бюджет'!AX73+обласний!AX73+інші!AX73</f>
        <v>2334154.6000000006</v>
      </c>
      <c r="AY73" s="109"/>
      <c r="AZ73" s="109"/>
      <c r="BA73" s="109"/>
      <c r="BB73" s="10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2085462.0999999996</v>
      </c>
      <c r="D74" s="37">
        <f>'насел.'!D74+пільги!D74+субсидії!D74+'держ.бюджет'!D74+'місц.-районн.бюджет'!D74+обласний!D74+інші!D74</f>
        <v>261679.32</v>
      </c>
      <c r="E74" s="37">
        <f>'насел.'!E74+пільги!E74+субсидії!E74+'держ.бюджет'!E74+'місц.-районн.бюджет'!E74+обласний!E74+інші!E74</f>
        <v>167883.59999999998</v>
      </c>
      <c r="F74" s="38">
        <f>E74/D74*100</f>
        <v>64.15623519657571</v>
      </c>
      <c r="G74" s="37">
        <f>'насел.'!G74+пільги!G74+субсидії!G74+'держ.бюджет'!G74+'місц.-районн.бюджет'!G74+обласний!G74+інші!G74</f>
        <v>263515.726</v>
      </c>
      <c r="H74" s="37">
        <f>'насел.'!H74+пільги!H74+субсидії!H74+'держ.бюджет'!H74+'місц.-районн.бюджет'!H74+обласний!H74+інші!H74</f>
        <v>181442.82000000007</v>
      </c>
      <c r="I74" s="38">
        <f>H74/G74*100</f>
        <v>68.85464588933111</v>
      </c>
      <c r="J74" s="37">
        <f>'насел.'!J74+пільги!J74+субсидії!J74+'держ.бюджет'!J74+'місц.-районн.бюджет'!J74+обласний!J74+інші!J74</f>
        <v>258511.72599999997</v>
      </c>
      <c r="K74" s="37">
        <f>'насел.'!K74+пільги!K74+субсидії!K74+'держ.бюджет'!K74+'місц.-районн.бюджет'!K74+обласний!K74+інші!K74</f>
        <v>214982.72600000002</v>
      </c>
      <c r="L74" s="38">
        <f>K74/J74*100</f>
        <v>83.16169224756948</v>
      </c>
      <c r="M74" s="38">
        <f>'насел.'!M74+пільги!M74+субсидії!M74+'держ.бюджет'!M74+'місц.-районн.бюджет'!M74+обласний!M74+інші!M74</f>
        <v>783706.772</v>
      </c>
      <c r="N74" s="38">
        <f>'насел.'!N74+пільги!N74+субсидії!N74+'держ.бюджет'!N74+'місц.-районн.бюджет'!N74+обласний!N74+інші!N74</f>
        <v>564309.146</v>
      </c>
      <c r="O74" s="38">
        <f>N74/M74*100</f>
        <v>72.00513842184841</v>
      </c>
      <c r="P74" s="37">
        <f>'насел.'!P74+пільги!P74+субсидії!P74+'держ.бюджет'!P74+'місц.-районн.бюджет'!P74+обласний!P74+інші!P74</f>
        <v>256644.82599999997</v>
      </c>
      <c r="Q74" s="37">
        <f>'насел.'!Q74+пільги!Q74+субсидії!Q74+'держ.бюджет'!Q74+'місц.-районн.бюджет'!Q74+обласний!Q74+інші!Q74</f>
        <v>208084.126</v>
      </c>
      <c r="R74" s="37">
        <f>Q74/P74*100</f>
        <v>81.07863666809321</v>
      </c>
      <c r="S74" s="37">
        <f>'насел.'!S74+пільги!S74+субсидії!S74+'держ.бюджет'!S74+'місц.-районн.бюджет'!S74+обласний!S74+інші!S74</f>
        <v>237386.92599999998</v>
      </c>
      <c r="T74" s="37">
        <f>'насел.'!T74+пільги!T74+субсидії!T74+'держ.бюджет'!T74+'місц.-районн.бюджет'!T74+обласний!T74+інші!T74</f>
        <v>190427.326</v>
      </c>
      <c r="U74" s="38">
        <f>T74/S74*100</f>
        <v>80.21811866757987</v>
      </c>
      <c r="V74" s="37">
        <f>'насел.'!V74+пільги!V74+субсидії!V74+'держ.бюджет'!V74+'місц.-районн.бюджет'!V74+обласний!V74+інші!V74</f>
        <v>227044.12</v>
      </c>
      <c r="W74" s="37">
        <f>'насел.'!W74+пільги!W74+субсидії!W74+'держ.бюджет'!W74+'місц.-районн.бюджет'!W74+обласний!W74+інші!W74</f>
        <v>194077.92600000004</v>
      </c>
      <c r="X74" s="38">
        <f>W74/V74*100</f>
        <v>85.4802696497932</v>
      </c>
      <c r="Y74" s="37">
        <f>'насел.'!Y74+пільги!Y74+субсидії!Y74+'держ.бюджет'!Y74+'місц.-районн.бюджет'!Y74+обласний!Y74+інші!Y74</f>
        <v>721075.872</v>
      </c>
      <c r="Z74" s="37">
        <f>'насел.'!Z74+пільги!Z74+субсидії!Z74+'держ.бюджет'!Z74+'місц.-районн.бюджет'!Z74+обласний!Z74+інші!Z74</f>
        <v>592589.3780000001</v>
      </c>
      <c r="AA74" s="38">
        <f>Z74/Y74*100</f>
        <v>82.18127953115038</v>
      </c>
      <c r="AB74" s="37">
        <f>'насел.'!AB74+пільги!AB74+субсидії!AB74+'держ.бюджет'!AB74+'місц.-районн.бюджет'!AB74+обласний!AB74+інші!AB74</f>
        <v>230151.33999999997</v>
      </c>
      <c r="AC74" s="37">
        <f>'насел.'!AC74+пільги!AC74+субсидії!AC74+'держ.бюджет'!AC74+'місц.-районн.бюджет'!AC74+обласний!AC74+інші!AC74</f>
        <v>212179.12000000002</v>
      </c>
      <c r="AD74" s="38">
        <f>AC74/AB74*100</f>
        <v>92.1911295411098</v>
      </c>
      <c r="AE74" s="37">
        <f>'насел.'!AE74+пільги!AE74+субсидії!AE74+'держ.бюджет'!AE74+'місц.-районн.бюджет'!AE74+обласний!AE74+інші!AE74</f>
        <v>233941.953</v>
      </c>
      <c r="AF74" s="37">
        <f>'насел.'!AF74+пільги!AF74+субсидії!AF74+'держ.бюджет'!AF74+'місц.-районн.бюджет'!AF74+обласний!AF74+інші!AF74</f>
        <v>201799.63999999998</v>
      </c>
      <c r="AG74" s="38">
        <f>AF74/AE74*100</f>
        <v>86.26056054169983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464093.29299999995</v>
      </c>
      <c r="AL74" s="37">
        <f>'насел.'!AL74+пільги!AK74+субсидії!AL74+'держ.бюджет'!AL74+'місц.-районн.бюджет'!AL74+обласний!AL74+інші!AL74</f>
        <v>413978.76</v>
      </c>
      <c r="AM74" s="37">
        <f>AL74/AK74*100</f>
        <v>89.20162524305216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242.7</v>
      </c>
      <c r="AS74" s="37">
        <f>'насел.'!AS74+пільги!AR74+субсидії!AS74+'держ.бюджет'!AS74+'місц.-районн.бюджет'!AS74+обласний!AS74+інші!AS74</f>
        <v>246.5</v>
      </c>
      <c r="AT74" s="37">
        <f>'насел.'!AT74+пільги!AT74+субсидії!AT74+'держ.бюджет'!AT74+'місц.-районн.бюджет'!AT74+обласний!AT74+інші!AT74</f>
        <v>1969118.6369999996</v>
      </c>
      <c r="AU74" s="37">
        <f>'насел.'!AU74+пільги!AU74+субсидії!AU74+'держ.бюджет'!AU74+'місц.-районн.бюджет'!AU74+обласний!AU74+інші!AU74</f>
        <v>1571123.7840000002</v>
      </c>
      <c r="AV74" s="38">
        <f>AU74/AT74*100</f>
        <v>79.78817296623862</v>
      </c>
      <c r="AW74" s="37">
        <f>AT74-AU74</f>
        <v>397994.8529999994</v>
      </c>
      <c r="AX74" s="114">
        <f>'насел.'!AX74+пільги!AX74+субсидії!AX74+'держ.бюджет'!AX74+'місц.-районн.бюджет'!AX74+обласний!AX74+інші!AX74</f>
        <v>2483456.953</v>
      </c>
      <c r="AY74" s="78"/>
      <c r="AZ74" s="109"/>
      <c r="BA74" s="109"/>
      <c r="BB74" s="109"/>
    </row>
  </sheetData>
  <sheetProtection/>
  <mergeCells count="21">
    <mergeCell ref="B4:C4"/>
    <mergeCell ref="J5:L5"/>
    <mergeCell ref="AK5:AM5"/>
    <mergeCell ref="V5:X5"/>
    <mergeCell ref="AN5:AO5"/>
    <mergeCell ref="Y5:AA5"/>
    <mergeCell ref="S5:U5"/>
    <mergeCell ref="M5:O5"/>
    <mergeCell ref="AH5:AJ5"/>
    <mergeCell ref="G5:I5"/>
    <mergeCell ref="AX5:AX6"/>
    <mergeCell ref="D5:F5"/>
    <mergeCell ref="AB5:AD5"/>
    <mergeCell ref="D1:AX1"/>
    <mergeCell ref="AP5:AQ5"/>
    <mergeCell ref="B2:AX3"/>
    <mergeCell ref="AR5:AS5"/>
    <mergeCell ref="AE5:AG5"/>
    <mergeCell ref="AW5:AW6"/>
    <mergeCell ref="P5:R5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5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2" ySplit="4" topLeftCell="AB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D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1" width="14.75390625" style="9" hidden="1" customWidth="1"/>
    <col min="22" max="22" width="16.375" style="9" hidden="1" customWidth="1"/>
    <col min="23" max="23" width="16.1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5" width="14.25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182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61" s="9" customFormat="1" ht="34.5" customHeight="1">
      <c r="A7" s="8"/>
      <c r="B7" s="89" t="s">
        <v>127</v>
      </c>
      <c r="C7" s="40">
        <f>SUM(C8:C71)-C8-C14-C23-C30-C39-C45-C61</f>
        <v>114194.29999999999</v>
      </c>
      <c r="D7" s="40">
        <f aca="true" t="shared" si="0" ref="D7:AX7">SUM(D8:D71)-D8-D14-D23-D30-D39-D45-D61</f>
        <v>31835.799999999996</v>
      </c>
      <c r="E7" s="40">
        <f t="shared" si="0"/>
        <v>28913.099999999988</v>
      </c>
      <c r="F7" s="41">
        <f aca="true" t="shared" si="1" ref="F7:F51">E7/D7*100</f>
        <v>90.81945482758401</v>
      </c>
      <c r="G7" s="40">
        <f t="shared" si="0"/>
        <v>31875.200000000008</v>
      </c>
      <c r="H7" s="40">
        <f t="shared" si="0"/>
        <v>29399.000000000004</v>
      </c>
      <c r="I7" s="41">
        <f>H7/G7*100</f>
        <v>92.23157815480373</v>
      </c>
      <c r="J7" s="40">
        <f t="shared" si="0"/>
        <v>31919.19999999999</v>
      </c>
      <c r="K7" s="40">
        <f t="shared" si="0"/>
        <v>31064.100000000035</v>
      </c>
      <c r="L7" s="40">
        <f>K7/J7*100</f>
        <v>97.32104814657023</v>
      </c>
      <c r="M7" s="40">
        <f t="shared" si="0"/>
        <v>95630.20000000001</v>
      </c>
      <c r="N7" s="40">
        <f t="shared" si="0"/>
        <v>89376.19999999995</v>
      </c>
      <c r="O7" s="40" t="e">
        <f t="shared" si="0"/>
        <v>#DIV/0!</v>
      </c>
      <c r="P7" s="40">
        <f t="shared" si="0"/>
        <v>33286.70000000001</v>
      </c>
      <c r="Q7" s="40">
        <f t="shared" si="0"/>
        <v>30193.4</v>
      </c>
      <c r="R7" s="40" t="e">
        <f t="shared" si="0"/>
        <v>#DIV/0!</v>
      </c>
      <c r="S7" s="40">
        <f t="shared" si="0"/>
        <v>33447.19999999998</v>
      </c>
      <c r="T7" s="40">
        <f t="shared" si="0"/>
        <v>29550.099999999995</v>
      </c>
      <c r="U7" s="40" t="e">
        <f t="shared" si="0"/>
        <v>#DIV/0!</v>
      </c>
      <c r="V7" s="40">
        <f t="shared" si="0"/>
        <v>33520.9</v>
      </c>
      <c r="W7" s="40">
        <f t="shared" si="0"/>
        <v>29901.30000000001</v>
      </c>
      <c r="X7" s="40" t="e">
        <f t="shared" si="0"/>
        <v>#DIV/0!</v>
      </c>
      <c r="Y7" s="40">
        <f t="shared" si="0"/>
        <v>100254.80000000008</v>
      </c>
      <c r="Z7" s="40">
        <f t="shared" si="0"/>
        <v>89644.80000000005</v>
      </c>
      <c r="AA7" s="40">
        <f>Z7/Y7*100</f>
        <v>89.41696557172322</v>
      </c>
      <c r="AB7" s="40">
        <f t="shared" si="0"/>
        <v>34709</v>
      </c>
      <c r="AC7" s="40">
        <f t="shared" si="0"/>
        <v>32996.3</v>
      </c>
      <c r="AD7" s="40">
        <f aca="true" t="shared" si="2" ref="AD7:AD70">AC7/AB7*100</f>
        <v>95.0655449595206</v>
      </c>
      <c r="AE7" s="40">
        <f t="shared" si="0"/>
        <v>35077.8</v>
      </c>
      <c r="AF7" s="40">
        <f t="shared" si="0"/>
        <v>32843.90000000001</v>
      </c>
      <c r="AG7" s="40">
        <f aca="true" t="shared" si="3" ref="AG7:AG70">AF7/AE7*100</f>
        <v>93.63158464898028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69786.79999999999</v>
      </c>
      <c r="AL7" s="40">
        <f t="shared" si="0"/>
        <v>65840.20000000001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4" ref="AT7:AU9">M7+Y7+AK7+AN7+AP7+AR7</f>
        <v>265671.80000000005</v>
      </c>
      <c r="AU7" s="39">
        <f t="shared" si="4"/>
        <v>244861.2</v>
      </c>
      <c r="AV7" s="40">
        <f aca="true" t="shared" si="5" ref="AV7:AV73">AU7/AT7*100</f>
        <v>92.1668012939273</v>
      </c>
      <c r="AW7" s="40">
        <f t="shared" si="0"/>
        <v>20810.60000000001</v>
      </c>
      <c r="AX7" s="40">
        <f t="shared" si="0"/>
        <v>135004.89999999997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6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7" ref="L8:L25">K8/J8*100</f>
        <v>96.69297061572007</v>
      </c>
      <c r="M8" s="40">
        <f aca="true" t="shared" si="8" ref="M8:M39">D8+G8+J8</f>
        <v>5652.5</v>
      </c>
      <c r="N8" s="40">
        <f aca="true" t="shared" si="9" ref="N8:N39">E8+H8+K8</f>
        <v>5620.6</v>
      </c>
      <c r="O8" s="40">
        <f aca="true" t="shared" si="10" ref="O8:O74">N8/M8*100</f>
        <v>99.43564794338788</v>
      </c>
      <c r="P8" s="57">
        <f aca="true" t="shared" si="11" ref="P8:W8">SUM(P9:P13)</f>
        <v>2037</v>
      </c>
      <c r="Q8" s="57">
        <f t="shared" si="11"/>
        <v>1920.8</v>
      </c>
      <c r="R8" s="57">
        <f t="shared" si="11"/>
        <v>470.63544256092695</v>
      </c>
      <c r="S8" s="57">
        <f t="shared" si="11"/>
        <v>2014.3999999999999</v>
      </c>
      <c r="T8" s="57">
        <f t="shared" si="11"/>
        <v>1906.5</v>
      </c>
      <c r="U8" s="57">
        <f t="shared" si="11"/>
        <v>467.3246547653217</v>
      </c>
      <c r="V8" s="57">
        <f t="shared" si="11"/>
        <v>2004.8000000000002</v>
      </c>
      <c r="W8" s="57">
        <f t="shared" si="11"/>
        <v>1871.8</v>
      </c>
      <c r="X8" s="40">
        <f aca="true" t="shared" si="12" ref="X8:X24">W8/V8*100</f>
        <v>93.36592178770948</v>
      </c>
      <c r="Y8" s="40">
        <f aca="true" t="shared" si="13" ref="Y8:Y39">P8+S8+V8</f>
        <v>6056.2</v>
      </c>
      <c r="Z8" s="40">
        <f aca="true" t="shared" si="14" ref="Z8:Z39">Q8+T8+W8</f>
        <v>5699.1</v>
      </c>
      <c r="AA8" s="40">
        <f aca="true" t="shared" si="15" ref="AA8:AA54">Z8/Y8*100</f>
        <v>94.10356329051221</v>
      </c>
      <c r="AB8" s="57">
        <f aca="true" t="shared" si="16" ref="AB8:AI8">SUM(AB9:AB13)</f>
        <v>2400.2</v>
      </c>
      <c r="AC8" s="57">
        <f t="shared" si="16"/>
        <v>2286.2</v>
      </c>
      <c r="AD8" s="40">
        <f t="shared" si="2"/>
        <v>95.25039580034998</v>
      </c>
      <c r="AE8" s="57">
        <f t="shared" si="16"/>
        <v>2353.9</v>
      </c>
      <c r="AF8" s="57">
        <f t="shared" si="16"/>
        <v>2242.6</v>
      </c>
      <c r="AG8" s="40">
        <f t="shared" si="3"/>
        <v>95.27167679170738</v>
      </c>
      <c r="AH8" s="57">
        <f t="shared" si="16"/>
        <v>0</v>
      </c>
      <c r="AI8" s="57">
        <f t="shared" si="16"/>
        <v>0</v>
      </c>
      <c r="AJ8" s="40" t="e">
        <f aca="true" t="shared" si="17" ref="AJ8:AJ28">AI8/AH8*100</f>
        <v>#DIV/0!</v>
      </c>
      <c r="AK8" s="40">
        <f>AB8+AE8+AH8</f>
        <v>4754.1</v>
      </c>
      <c r="AL8" s="40">
        <f>AC8+AF8+AI8</f>
        <v>4528.799999999999</v>
      </c>
      <c r="AM8" s="40">
        <f aca="true" t="shared" si="18" ref="AM8:AM28">AL8/AK8*100</f>
        <v>95.26093266864389</v>
      </c>
      <c r="AN8" s="57">
        <f aca="true" t="shared" si="19" ref="AN8:AS8">SUM(AN9:AN13)</f>
        <v>0</v>
      </c>
      <c r="AO8" s="57">
        <f t="shared" si="19"/>
        <v>0</v>
      </c>
      <c r="AP8" s="57">
        <f t="shared" si="19"/>
        <v>0</v>
      </c>
      <c r="AQ8" s="57">
        <f t="shared" si="19"/>
        <v>0</v>
      </c>
      <c r="AR8" s="57">
        <f t="shared" si="19"/>
        <v>0</v>
      </c>
      <c r="AS8" s="57">
        <f t="shared" si="19"/>
        <v>0</v>
      </c>
      <c r="AT8" s="39">
        <f t="shared" si="4"/>
        <v>16462.800000000003</v>
      </c>
      <c r="AU8" s="39">
        <f t="shared" si="4"/>
        <v>15848.5</v>
      </c>
      <c r="AV8" s="40">
        <f t="shared" si="5"/>
        <v>96.26855698909054</v>
      </c>
      <c r="AW8" s="40">
        <f aca="true" t="shared" si="20" ref="AW8:AW31">AT8-AU8</f>
        <v>614.3000000000029</v>
      </c>
      <c r="AX8" s="61">
        <f aca="true" t="shared" si="21" ref="AX8:AX39">C8+AT8-AU8</f>
        <v>3264.7000000000044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6"/>
        <v>104.90300575570242</v>
      </c>
      <c r="J9" s="73">
        <v>477.6</v>
      </c>
      <c r="K9" s="73">
        <v>485.3</v>
      </c>
      <c r="L9" s="38">
        <f t="shared" si="7"/>
        <v>101.61222780569514</v>
      </c>
      <c r="M9" s="75">
        <f t="shared" si="8"/>
        <v>1441.9</v>
      </c>
      <c r="N9" s="75">
        <f t="shared" si="9"/>
        <v>1455.1</v>
      </c>
      <c r="O9" s="38">
        <f t="shared" si="10"/>
        <v>100.91545876967889</v>
      </c>
      <c r="P9" s="73">
        <v>550.4</v>
      </c>
      <c r="Q9" s="73">
        <v>504.4</v>
      </c>
      <c r="R9" s="38">
        <f>Q9/P9*100</f>
        <v>91.64244186046511</v>
      </c>
      <c r="S9" s="73">
        <v>496.4</v>
      </c>
      <c r="T9" s="73">
        <v>484.3</v>
      </c>
      <c r="U9" s="38">
        <f>T9/S9*100</f>
        <v>97.56244963738921</v>
      </c>
      <c r="V9" s="73">
        <v>514.2</v>
      </c>
      <c r="W9" s="73">
        <v>476.8</v>
      </c>
      <c r="X9" s="38">
        <f t="shared" si="12"/>
        <v>92.7265655387009</v>
      </c>
      <c r="Y9" s="75">
        <f t="shared" si="13"/>
        <v>1561</v>
      </c>
      <c r="Z9" s="75">
        <f t="shared" si="14"/>
        <v>1465.5</v>
      </c>
      <c r="AA9" s="38">
        <f t="shared" si="15"/>
        <v>93.8821268417681</v>
      </c>
      <c r="AB9" s="73">
        <v>613.5</v>
      </c>
      <c r="AC9" s="73">
        <v>578</v>
      </c>
      <c r="AD9" s="40">
        <f t="shared" si="2"/>
        <v>94.21352893235535</v>
      </c>
      <c r="AE9" s="73">
        <v>635.7</v>
      </c>
      <c r="AF9" s="73">
        <v>558</v>
      </c>
      <c r="AG9" s="40">
        <f t="shared" si="3"/>
        <v>87.7772534214252</v>
      </c>
      <c r="AH9" s="73"/>
      <c r="AI9" s="73"/>
      <c r="AJ9" s="38" t="e">
        <f t="shared" si="17"/>
        <v>#DIV/0!</v>
      </c>
      <c r="AK9" s="75">
        <f aca="true" t="shared" si="22" ref="AK9:AK62">AB9+AE9+AH9</f>
        <v>1249.2</v>
      </c>
      <c r="AL9" s="75">
        <f aca="true" t="shared" si="23" ref="AL9:AL62">AC9+AF9+AI9</f>
        <v>1136</v>
      </c>
      <c r="AM9" s="38">
        <f t="shared" si="18"/>
        <v>90.93820044828689</v>
      </c>
      <c r="AN9" s="73"/>
      <c r="AO9" s="73"/>
      <c r="AP9" s="73"/>
      <c r="AQ9" s="73"/>
      <c r="AR9" s="73"/>
      <c r="AS9" s="73"/>
      <c r="AT9" s="76">
        <f t="shared" si="4"/>
        <v>4252.1</v>
      </c>
      <c r="AU9" s="76">
        <f t="shared" si="4"/>
        <v>4056.6</v>
      </c>
      <c r="AV9" s="38">
        <f t="shared" si="5"/>
        <v>95.40227181863078</v>
      </c>
      <c r="AW9" s="75">
        <f t="shared" si="20"/>
        <v>195.50000000000045</v>
      </c>
      <c r="AX9" s="77">
        <f t="shared" si="21"/>
        <v>759.1000000000008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6"/>
        <v>106.91699604743086</v>
      </c>
      <c r="J10" s="43">
        <f>35.3+629</f>
        <v>664.3</v>
      </c>
      <c r="K10" s="43">
        <f>41.4+594.7</f>
        <v>636.1</v>
      </c>
      <c r="L10" s="38">
        <f t="shared" si="7"/>
        <v>95.75493000150536</v>
      </c>
      <c r="M10" s="44">
        <f t="shared" si="8"/>
        <v>1938.8</v>
      </c>
      <c r="N10" s="44">
        <f t="shared" si="9"/>
        <v>1958.1999999999998</v>
      </c>
      <c r="O10" s="40">
        <f t="shared" si="10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>
        <f>660.1+42.1</f>
        <v>702.2</v>
      </c>
      <c r="T10" s="43">
        <f>616.6+37.8</f>
        <v>654.4</v>
      </c>
      <c r="U10" s="38">
        <f>T10/S10*100</f>
        <v>93.19282255767587</v>
      </c>
      <c r="V10" s="43">
        <v>629.1</v>
      </c>
      <c r="W10" s="43">
        <v>607.5</v>
      </c>
      <c r="X10" s="38">
        <f t="shared" si="12"/>
        <v>96.56652360515021</v>
      </c>
      <c r="Y10" s="44">
        <f t="shared" si="13"/>
        <v>1998.1999999999998</v>
      </c>
      <c r="Z10" s="44">
        <f t="shared" si="14"/>
        <v>1895.6</v>
      </c>
      <c r="AA10" s="40">
        <f t="shared" si="15"/>
        <v>94.86537884095686</v>
      </c>
      <c r="AB10" s="43">
        <f>700.1+55.5</f>
        <v>755.6</v>
      </c>
      <c r="AC10" s="43">
        <f>667.2+76.8</f>
        <v>744</v>
      </c>
      <c r="AD10" s="40">
        <f t="shared" si="2"/>
        <v>98.4647961884595</v>
      </c>
      <c r="AE10" s="43">
        <f>718.5+46.5</f>
        <v>765</v>
      </c>
      <c r="AF10" s="43">
        <f>661.1+51.4</f>
        <v>712.5</v>
      </c>
      <c r="AG10" s="40">
        <f t="shared" si="3"/>
        <v>93.13725490196079</v>
      </c>
      <c r="AH10" s="43"/>
      <c r="AI10" s="43"/>
      <c r="AJ10" s="40" t="e">
        <f t="shared" si="17"/>
        <v>#DIV/0!</v>
      </c>
      <c r="AK10" s="44">
        <f t="shared" si="22"/>
        <v>1520.6</v>
      </c>
      <c r="AL10" s="44">
        <f t="shared" si="23"/>
        <v>1456.5</v>
      </c>
      <c r="AM10" s="40">
        <f t="shared" si="18"/>
        <v>95.78455872681837</v>
      </c>
      <c r="AN10" s="43"/>
      <c r="AO10" s="43"/>
      <c r="AP10" s="43"/>
      <c r="AQ10" s="43"/>
      <c r="AR10" s="43"/>
      <c r="AS10" s="43"/>
      <c r="AT10" s="76">
        <f aca="true" t="shared" si="24" ref="AT10:AT74">M10+Y10+AK10+AN10+AP10+AR10</f>
        <v>5457.6</v>
      </c>
      <c r="AU10" s="76">
        <f aca="true" t="shared" si="25" ref="AU10:AU74">N10+Z10+AL10+AO10+AQ10+AS10</f>
        <v>5310.299999999999</v>
      </c>
      <c r="AV10" s="40">
        <f>AU10/AT10*100</f>
        <v>97.30101143359717</v>
      </c>
      <c r="AW10" s="44">
        <f t="shared" si="20"/>
        <v>147.3000000000011</v>
      </c>
      <c r="AX10" s="45">
        <f t="shared" si="21"/>
        <v>912.0000000000009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6"/>
        <v>102.13076474022182</v>
      </c>
      <c r="J11" s="43">
        <v>354.9</v>
      </c>
      <c r="K11" s="43">
        <v>354.3</v>
      </c>
      <c r="L11" s="40">
        <f t="shared" si="7"/>
        <v>99.83093829247677</v>
      </c>
      <c r="M11" s="44">
        <f t="shared" si="8"/>
        <v>1055.6</v>
      </c>
      <c r="N11" s="44">
        <f t="shared" si="9"/>
        <v>1058.1</v>
      </c>
      <c r="O11" s="40">
        <f t="shared" si="10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>
        <v>366.5</v>
      </c>
      <c r="T11" s="43">
        <v>351.3</v>
      </c>
      <c r="U11" s="40">
        <f>T11/S11*100</f>
        <v>95.85266030013642</v>
      </c>
      <c r="V11" s="43">
        <v>398.8</v>
      </c>
      <c r="W11" s="43">
        <v>366.3</v>
      </c>
      <c r="X11" s="40">
        <f t="shared" si="12"/>
        <v>91.8505516549649</v>
      </c>
      <c r="Y11" s="44">
        <f t="shared" si="13"/>
        <v>1119.2</v>
      </c>
      <c r="Z11" s="44">
        <f t="shared" si="14"/>
        <v>1068.5</v>
      </c>
      <c r="AA11" s="40">
        <f t="shared" si="15"/>
        <v>95.4699785561115</v>
      </c>
      <c r="AB11" s="43">
        <f>414.6+40+18.6</f>
        <v>473.20000000000005</v>
      </c>
      <c r="AC11" s="43">
        <f>405.7+40.2+18.8</f>
        <v>464.7</v>
      </c>
      <c r="AD11" s="40">
        <f t="shared" si="2"/>
        <v>98.2037193575655</v>
      </c>
      <c r="AE11" s="43">
        <f>402.7+44.7+19.4</f>
        <v>466.79999999999995</v>
      </c>
      <c r="AF11" s="43">
        <f>429.1+44.8+19.4</f>
        <v>493.3</v>
      </c>
      <c r="AG11" s="40">
        <f t="shared" si="3"/>
        <v>105.67694944301628</v>
      </c>
      <c r="AH11" s="43"/>
      <c r="AI11" s="43"/>
      <c r="AJ11" s="40" t="e">
        <f t="shared" si="17"/>
        <v>#DIV/0!</v>
      </c>
      <c r="AK11" s="44">
        <f t="shared" si="22"/>
        <v>940</v>
      </c>
      <c r="AL11" s="44">
        <f t="shared" si="23"/>
        <v>958</v>
      </c>
      <c r="AM11" s="40">
        <f t="shared" si="18"/>
        <v>101.91489361702128</v>
      </c>
      <c r="AN11" s="43"/>
      <c r="AO11" s="43"/>
      <c r="AP11" s="43"/>
      <c r="AQ11" s="43"/>
      <c r="AR11" s="43"/>
      <c r="AS11" s="43"/>
      <c r="AT11" s="76">
        <f t="shared" si="24"/>
        <v>3114.8</v>
      </c>
      <c r="AU11" s="76">
        <f t="shared" si="25"/>
        <v>3084.6</v>
      </c>
      <c r="AV11" s="40">
        <f t="shared" si="5"/>
        <v>99.03043534095286</v>
      </c>
      <c r="AW11" s="44">
        <f t="shared" si="20"/>
        <v>30.200000000000273</v>
      </c>
      <c r="AX11" s="45">
        <f t="shared" si="21"/>
        <v>935.2000000000003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6"/>
        <v>82.62032085561498</v>
      </c>
      <c r="J12" s="43">
        <v>82.1</v>
      </c>
      <c r="K12" s="43">
        <v>44.9</v>
      </c>
      <c r="L12" s="40">
        <f t="shared" si="7"/>
        <v>54.689403166869674</v>
      </c>
      <c r="M12" s="44">
        <f t="shared" si="8"/>
        <v>149.89999999999998</v>
      </c>
      <c r="N12" s="44">
        <f t="shared" si="9"/>
        <v>107.6</v>
      </c>
      <c r="O12" s="40">
        <f t="shared" si="10"/>
        <v>71.78118745830554</v>
      </c>
      <c r="P12" s="43">
        <v>85.7</v>
      </c>
      <c r="Q12" s="43">
        <v>78.8</v>
      </c>
      <c r="R12" s="40">
        <f>Q12/P12*100</f>
        <v>91.94865810968494</v>
      </c>
      <c r="S12" s="43">
        <v>88.8</v>
      </c>
      <c r="T12" s="43">
        <v>76.8</v>
      </c>
      <c r="U12" s="40">
        <f>T12/S12*100</f>
        <v>86.48648648648648</v>
      </c>
      <c r="V12" s="43">
        <v>88.7</v>
      </c>
      <c r="W12" s="43">
        <v>81.9</v>
      </c>
      <c r="X12" s="48">
        <f t="shared" si="12"/>
        <v>92.33370913190531</v>
      </c>
      <c r="Y12" s="44">
        <f t="shared" si="13"/>
        <v>263.2</v>
      </c>
      <c r="Z12" s="44">
        <f t="shared" si="14"/>
        <v>237.5</v>
      </c>
      <c r="AA12" s="40">
        <f t="shared" si="15"/>
        <v>90.2355623100304</v>
      </c>
      <c r="AB12" s="43">
        <v>113.6</v>
      </c>
      <c r="AC12" s="43">
        <v>105.1</v>
      </c>
      <c r="AD12" s="40">
        <f t="shared" si="2"/>
        <v>92.51760563380282</v>
      </c>
      <c r="AE12" s="43">
        <v>103.6</v>
      </c>
      <c r="AF12" s="43">
        <v>89.8</v>
      </c>
      <c r="AG12" s="40">
        <f t="shared" si="3"/>
        <v>86.67953667953668</v>
      </c>
      <c r="AH12" s="43"/>
      <c r="AI12" s="43"/>
      <c r="AJ12" s="40" t="e">
        <f t="shared" si="17"/>
        <v>#DIV/0!</v>
      </c>
      <c r="AK12" s="44">
        <f t="shared" si="22"/>
        <v>217.2</v>
      </c>
      <c r="AL12" s="44">
        <f t="shared" si="23"/>
        <v>194.89999999999998</v>
      </c>
      <c r="AM12" s="40">
        <f t="shared" si="18"/>
        <v>89.7329650092081</v>
      </c>
      <c r="AN12" s="43"/>
      <c r="AO12" s="43"/>
      <c r="AP12" s="43"/>
      <c r="AQ12" s="43"/>
      <c r="AR12" s="43"/>
      <c r="AS12" s="43"/>
      <c r="AT12" s="76">
        <f t="shared" si="24"/>
        <v>630.3</v>
      </c>
      <c r="AU12" s="76">
        <f t="shared" si="25"/>
        <v>540</v>
      </c>
      <c r="AV12" s="40">
        <f t="shared" si="5"/>
        <v>85.67348881485007</v>
      </c>
      <c r="AW12" s="44">
        <f t="shared" si="20"/>
        <v>90.29999999999995</v>
      </c>
      <c r="AX12" s="45">
        <f t="shared" si="21"/>
        <v>117.69999999999993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6"/>
        <v>101.63887291546865</v>
      </c>
      <c r="J13" s="43">
        <v>347.3</v>
      </c>
      <c r="K13" s="43">
        <v>341.9</v>
      </c>
      <c r="L13" s="40">
        <f t="shared" si="7"/>
        <v>98.44514828678375</v>
      </c>
      <c r="M13" s="44">
        <f t="shared" si="8"/>
        <v>1066.3</v>
      </c>
      <c r="N13" s="44">
        <f t="shared" si="9"/>
        <v>1041.6</v>
      </c>
      <c r="O13" s="40">
        <f t="shared" si="10"/>
        <v>97.6835787301885</v>
      </c>
      <c r="P13" s="43">
        <v>380.1</v>
      </c>
      <c r="Q13" s="43">
        <v>353</v>
      </c>
      <c r="R13" s="40">
        <f>Q13/P13*100</f>
        <v>92.87029729018678</v>
      </c>
      <c r="S13" s="43">
        <v>360.5</v>
      </c>
      <c r="T13" s="43">
        <v>339.7</v>
      </c>
      <c r="U13" s="40">
        <f>T13/S13*100</f>
        <v>94.23023578363384</v>
      </c>
      <c r="V13" s="43">
        <v>374</v>
      </c>
      <c r="W13" s="43">
        <v>339.3</v>
      </c>
      <c r="X13" s="40">
        <f t="shared" si="12"/>
        <v>90.72192513368984</v>
      </c>
      <c r="Y13" s="44">
        <f t="shared" si="13"/>
        <v>1114.6</v>
      </c>
      <c r="Z13" s="44">
        <f t="shared" si="14"/>
        <v>1032</v>
      </c>
      <c r="AA13" s="40">
        <f t="shared" si="15"/>
        <v>92.58926969316347</v>
      </c>
      <c r="AB13" s="43">
        <v>444.3</v>
      </c>
      <c r="AC13" s="43">
        <v>394.4</v>
      </c>
      <c r="AD13" s="40">
        <f t="shared" si="2"/>
        <v>88.76884987620977</v>
      </c>
      <c r="AE13" s="43">
        <v>382.8</v>
      </c>
      <c r="AF13" s="43">
        <v>389</v>
      </c>
      <c r="AG13" s="40">
        <f t="shared" si="3"/>
        <v>101.61964472309299</v>
      </c>
      <c r="AH13" s="43"/>
      <c r="AI13" s="43"/>
      <c r="AJ13" s="40" t="e">
        <f t="shared" si="17"/>
        <v>#DIV/0!</v>
      </c>
      <c r="AK13" s="44">
        <f t="shared" si="22"/>
        <v>827.1</v>
      </c>
      <c r="AL13" s="44">
        <f t="shared" si="23"/>
        <v>783.4</v>
      </c>
      <c r="AM13" s="40">
        <f t="shared" si="18"/>
        <v>94.71647926490145</v>
      </c>
      <c r="AN13" s="43"/>
      <c r="AO13" s="43"/>
      <c r="AP13" s="43"/>
      <c r="AQ13" s="43"/>
      <c r="AR13" s="43"/>
      <c r="AS13" s="43"/>
      <c r="AT13" s="76">
        <f t="shared" si="24"/>
        <v>3007.9999999999995</v>
      </c>
      <c r="AU13" s="76">
        <f t="shared" si="25"/>
        <v>2857</v>
      </c>
      <c r="AV13" s="40">
        <f t="shared" si="5"/>
        <v>94.98005319148938</v>
      </c>
      <c r="AW13" s="44">
        <f t="shared" si="20"/>
        <v>150.99999999999955</v>
      </c>
      <c r="AX13" s="45">
        <f t="shared" si="21"/>
        <v>540.6999999999994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8799.9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6"/>
        <v>93.49731308832541</v>
      </c>
      <c r="J14" s="57">
        <f>SUM(J15:J22)</f>
        <v>5734.1</v>
      </c>
      <c r="K14" s="57">
        <f>SUM(K15:K22)</f>
        <v>5394.6</v>
      </c>
      <c r="L14" s="40">
        <f t="shared" si="7"/>
        <v>94.07928009626619</v>
      </c>
      <c r="M14" s="40">
        <f t="shared" si="8"/>
        <v>16793.4</v>
      </c>
      <c r="N14" s="40">
        <f t="shared" si="9"/>
        <v>15521.300000000001</v>
      </c>
      <c r="O14" s="40">
        <f t="shared" si="10"/>
        <v>92.42500029773602</v>
      </c>
      <c r="P14" s="57">
        <f aca="true" t="shared" si="26" ref="P14:W14">SUM(P15:P22)</f>
        <v>5688.8</v>
      </c>
      <c r="Q14" s="57">
        <f t="shared" si="26"/>
        <v>5556.8</v>
      </c>
      <c r="R14" s="57" t="e">
        <f t="shared" si="26"/>
        <v>#DIV/0!</v>
      </c>
      <c r="S14" s="57">
        <f t="shared" si="26"/>
        <v>6078.3</v>
      </c>
      <c r="T14" s="57">
        <f t="shared" si="26"/>
        <v>5503.8</v>
      </c>
      <c r="U14" s="57" t="e">
        <f t="shared" si="26"/>
        <v>#DIV/0!</v>
      </c>
      <c r="V14" s="57">
        <f t="shared" si="26"/>
        <v>5833.300000000001</v>
      </c>
      <c r="W14" s="57">
        <f t="shared" si="26"/>
        <v>5593.2</v>
      </c>
      <c r="X14" s="40">
        <f t="shared" si="12"/>
        <v>95.88397647986557</v>
      </c>
      <c r="Y14" s="40">
        <f t="shared" si="13"/>
        <v>17600.4</v>
      </c>
      <c r="Z14" s="40">
        <f t="shared" si="14"/>
        <v>16653.8</v>
      </c>
      <c r="AA14" s="40">
        <f t="shared" si="15"/>
        <v>94.6217131428831</v>
      </c>
      <c r="AB14" s="57">
        <f aca="true" t="shared" si="27" ref="AB14:AI14">SUM(AB15:AB22)</f>
        <v>6128.200000000001</v>
      </c>
      <c r="AC14" s="57">
        <f t="shared" si="27"/>
        <v>6065.400000000001</v>
      </c>
      <c r="AD14" s="40">
        <f t="shared" si="2"/>
        <v>98.97522926797429</v>
      </c>
      <c r="AE14" s="57">
        <f t="shared" si="27"/>
        <v>6291.800000000001</v>
      </c>
      <c r="AF14" s="57">
        <f t="shared" si="27"/>
        <v>5921.3</v>
      </c>
      <c r="AG14" s="40">
        <f t="shared" si="3"/>
        <v>94.11138307002764</v>
      </c>
      <c r="AH14" s="57">
        <f t="shared" si="27"/>
        <v>0</v>
      </c>
      <c r="AI14" s="57">
        <f t="shared" si="27"/>
        <v>0</v>
      </c>
      <c r="AJ14" s="40" t="e">
        <f t="shared" si="17"/>
        <v>#DIV/0!</v>
      </c>
      <c r="AK14" s="40">
        <f t="shared" si="22"/>
        <v>12420.000000000002</v>
      </c>
      <c r="AL14" s="40">
        <f t="shared" si="23"/>
        <v>11986.7</v>
      </c>
      <c r="AM14" s="40">
        <f t="shared" si="18"/>
        <v>96.51127214170691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4"/>
        <v>46813.8</v>
      </c>
      <c r="AU14" s="39">
        <f t="shared" si="25"/>
        <v>44161.8</v>
      </c>
      <c r="AV14" s="40">
        <f t="shared" si="5"/>
        <v>94.33500378093639</v>
      </c>
      <c r="AW14" s="40">
        <f t="shared" si="20"/>
        <v>2652</v>
      </c>
      <c r="AX14" s="61">
        <f t="shared" si="21"/>
        <v>11451.900000000001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6"/>
        <v>96.51765868115584</v>
      </c>
      <c r="J15" s="43">
        <v>2002.6</v>
      </c>
      <c r="K15" s="43">
        <v>2001</v>
      </c>
      <c r="L15" s="40">
        <f t="shared" si="7"/>
        <v>99.92010386497554</v>
      </c>
      <c r="M15" s="44">
        <f t="shared" si="8"/>
        <v>6164.299999999999</v>
      </c>
      <c r="N15" s="44">
        <f t="shared" si="9"/>
        <v>5886.2</v>
      </c>
      <c r="O15" s="40">
        <f t="shared" si="10"/>
        <v>95.48853884463769</v>
      </c>
      <c r="P15" s="43">
        <v>1962.2</v>
      </c>
      <c r="Q15" s="43">
        <v>1945.6</v>
      </c>
      <c r="R15" s="40">
        <f aca="true" t="shared" si="29" ref="R15:R22">Q15/P15*100</f>
        <v>99.15401080419937</v>
      </c>
      <c r="S15" s="43">
        <v>2091.8</v>
      </c>
      <c r="T15" s="43">
        <v>1914.2</v>
      </c>
      <c r="U15" s="40">
        <f aca="true" t="shared" si="30" ref="U15:U22">T15/S15*100</f>
        <v>91.50970456066545</v>
      </c>
      <c r="V15" s="43">
        <v>2016.9</v>
      </c>
      <c r="W15" s="43">
        <v>1959.5</v>
      </c>
      <c r="X15" s="40">
        <f t="shared" si="12"/>
        <v>97.15404829193317</v>
      </c>
      <c r="Y15" s="44">
        <f t="shared" si="13"/>
        <v>6070.9</v>
      </c>
      <c r="Z15" s="44">
        <f t="shared" si="14"/>
        <v>5819.3</v>
      </c>
      <c r="AA15" s="40">
        <f t="shared" si="15"/>
        <v>95.8556391968242</v>
      </c>
      <c r="AB15" s="43">
        <v>2170.9</v>
      </c>
      <c r="AC15" s="43">
        <v>2115.3</v>
      </c>
      <c r="AD15" s="40">
        <f t="shared" si="2"/>
        <v>97.43885024644158</v>
      </c>
      <c r="AE15" s="43">
        <v>2218.3</v>
      </c>
      <c r="AF15" s="43">
        <v>2105.4</v>
      </c>
      <c r="AG15" s="40">
        <f t="shared" si="3"/>
        <v>94.91051706261551</v>
      </c>
      <c r="AH15" s="43"/>
      <c r="AI15" s="43"/>
      <c r="AJ15" s="40" t="e">
        <f t="shared" si="17"/>
        <v>#DIV/0!</v>
      </c>
      <c r="AK15" s="44">
        <f t="shared" si="22"/>
        <v>4389.200000000001</v>
      </c>
      <c r="AL15" s="44">
        <f t="shared" si="23"/>
        <v>4220.700000000001</v>
      </c>
      <c r="AM15" s="40">
        <f t="shared" si="18"/>
        <v>96.16103162307482</v>
      </c>
      <c r="AN15" s="43"/>
      <c r="AO15" s="43"/>
      <c r="AP15" s="43"/>
      <c r="AQ15" s="43"/>
      <c r="AR15" s="43"/>
      <c r="AS15" s="43"/>
      <c r="AT15" s="76">
        <f t="shared" si="24"/>
        <v>16624.4</v>
      </c>
      <c r="AU15" s="76">
        <f t="shared" si="25"/>
        <v>15926.2</v>
      </c>
      <c r="AV15" s="40">
        <f t="shared" si="5"/>
        <v>95.8001491783162</v>
      </c>
      <c r="AW15" s="44">
        <f t="shared" si="20"/>
        <v>698.2000000000007</v>
      </c>
      <c r="AX15" s="45">
        <f t="shared" si="21"/>
        <v>3630.2000000000007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s="27" customFormat="1" ht="34.5" customHeight="1">
      <c r="A16" s="30" t="s">
        <v>10</v>
      </c>
      <c r="B16" s="71" t="s">
        <v>76</v>
      </c>
      <c r="C16" s="72">
        <f>110.2+376.9</f>
        <v>487.09999999999997</v>
      </c>
      <c r="D16" s="73">
        <f>0+319</f>
        <v>319</v>
      </c>
      <c r="E16" s="73">
        <f>0.5+301.2</f>
        <v>301.7</v>
      </c>
      <c r="F16" s="74">
        <f t="shared" si="1"/>
        <v>94.57680250783699</v>
      </c>
      <c r="G16" s="73">
        <v>301.8</v>
      </c>
      <c r="H16" s="73">
        <v>300.8</v>
      </c>
      <c r="I16" s="74">
        <f t="shared" si="6"/>
        <v>99.66865473823724</v>
      </c>
      <c r="J16" s="73">
        <v>305.9</v>
      </c>
      <c r="K16" s="73">
        <f>295.1+0.4</f>
        <v>295.5</v>
      </c>
      <c r="L16" s="38">
        <f t="shared" si="7"/>
        <v>96.60019614253025</v>
      </c>
      <c r="M16" s="75">
        <f t="shared" si="8"/>
        <v>926.6999999999999</v>
      </c>
      <c r="N16" s="75">
        <f t="shared" si="9"/>
        <v>898</v>
      </c>
      <c r="O16" s="38">
        <f t="shared" si="10"/>
        <v>96.90298910111149</v>
      </c>
      <c r="P16" s="73">
        <v>305.3</v>
      </c>
      <c r="Q16" s="73">
        <v>300</v>
      </c>
      <c r="R16" s="38">
        <f t="shared" si="29"/>
        <v>98.2640026203734</v>
      </c>
      <c r="S16" s="73">
        <v>314.6</v>
      </c>
      <c r="T16" s="73">
        <v>292.8</v>
      </c>
      <c r="U16" s="38">
        <f t="shared" si="30"/>
        <v>93.07056579783853</v>
      </c>
      <c r="V16" s="73">
        <v>323.8</v>
      </c>
      <c r="W16" s="73">
        <v>287.4</v>
      </c>
      <c r="X16" s="38">
        <f t="shared" si="12"/>
        <v>88.7584928968499</v>
      </c>
      <c r="Y16" s="75">
        <f t="shared" si="13"/>
        <v>943.7</v>
      </c>
      <c r="Z16" s="75">
        <f t="shared" si="14"/>
        <v>880.1999999999999</v>
      </c>
      <c r="AA16" s="38">
        <f t="shared" si="15"/>
        <v>93.27116668432764</v>
      </c>
      <c r="AB16" s="73">
        <v>324.8</v>
      </c>
      <c r="AC16" s="73">
        <v>317.3</v>
      </c>
      <c r="AD16" s="38">
        <f t="shared" si="2"/>
        <v>97.69088669950739</v>
      </c>
      <c r="AE16" s="73">
        <v>332.5</v>
      </c>
      <c r="AF16" s="73">
        <v>318.9</v>
      </c>
      <c r="AG16" s="38">
        <f t="shared" si="3"/>
        <v>95.90977443609022</v>
      </c>
      <c r="AH16" s="73"/>
      <c r="AI16" s="73"/>
      <c r="AJ16" s="38" t="e">
        <f t="shared" si="17"/>
        <v>#DIV/0!</v>
      </c>
      <c r="AK16" s="75">
        <f t="shared" si="22"/>
        <v>657.3</v>
      </c>
      <c r="AL16" s="75">
        <f t="shared" si="23"/>
        <v>636.2</v>
      </c>
      <c r="AM16" s="38">
        <f t="shared" si="18"/>
        <v>96.78989806785336</v>
      </c>
      <c r="AN16" s="73"/>
      <c r="AO16" s="73"/>
      <c r="AP16" s="73"/>
      <c r="AQ16" s="73"/>
      <c r="AR16" s="73"/>
      <c r="AS16" s="73"/>
      <c r="AT16" s="76">
        <f t="shared" si="24"/>
        <v>2527.7</v>
      </c>
      <c r="AU16" s="76">
        <f t="shared" si="25"/>
        <v>2414.3999999999996</v>
      </c>
      <c r="AV16" s="38">
        <f t="shared" si="5"/>
        <v>95.51766427978004</v>
      </c>
      <c r="AW16" s="75">
        <f t="shared" si="20"/>
        <v>113.30000000000018</v>
      </c>
      <c r="AX16" s="77">
        <f t="shared" si="21"/>
        <v>600.4000000000001</v>
      </c>
      <c r="AY16" s="31">
        <f>109.2+477.5</f>
        <v>586.7</v>
      </c>
      <c r="AZ16" s="31"/>
      <c r="BA16" s="78"/>
      <c r="BB16" s="79"/>
      <c r="BC16" s="80"/>
      <c r="BD16" s="80"/>
      <c r="BE16" s="79"/>
      <c r="BF16" s="80"/>
      <c r="BG16" s="80"/>
      <c r="BH16" s="80"/>
      <c r="BI16" s="80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6"/>
        <v>101.27369668246445</v>
      </c>
      <c r="J17" s="43">
        <v>344.9</v>
      </c>
      <c r="K17" s="43">
        <v>339.8</v>
      </c>
      <c r="L17" s="40">
        <f t="shared" si="7"/>
        <v>98.52131052478981</v>
      </c>
      <c r="M17" s="44">
        <f t="shared" si="8"/>
        <v>1043.8000000000002</v>
      </c>
      <c r="N17" s="44">
        <f t="shared" si="9"/>
        <v>1022.0999999999999</v>
      </c>
      <c r="O17" s="40">
        <f t="shared" si="10"/>
        <v>97.92105767388387</v>
      </c>
      <c r="P17" s="43">
        <v>331.8</v>
      </c>
      <c r="Q17" s="43">
        <v>330.2</v>
      </c>
      <c r="R17" s="40">
        <f t="shared" si="29"/>
        <v>99.51778179626281</v>
      </c>
      <c r="S17" s="43">
        <v>332.8</v>
      </c>
      <c r="T17" s="43">
        <v>312.5</v>
      </c>
      <c r="U17" s="40">
        <f t="shared" si="30"/>
        <v>93.90024038461539</v>
      </c>
      <c r="V17" s="43">
        <v>328.8</v>
      </c>
      <c r="W17" s="43">
        <v>317</v>
      </c>
      <c r="X17" s="40">
        <f t="shared" si="12"/>
        <v>96.41119221411192</v>
      </c>
      <c r="Y17" s="44">
        <f t="shared" si="13"/>
        <v>993.4000000000001</v>
      </c>
      <c r="Z17" s="44">
        <f t="shared" si="14"/>
        <v>959.7</v>
      </c>
      <c r="AA17" s="40">
        <f t="shared" si="15"/>
        <v>96.60761022750151</v>
      </c>
      <c r="AB17" s="43">
        <v>378.4</v>
      </c>
      <c r="AC17" s="43">
        <v>364.2</v>
      </c>
      <c r="AD17" s="40">
        <f t="shared" si="2"/>
        <v>96.24735729386893</v>
      </c>
      <c r="AE17" s="43">
        <v>361</v>
      </c>
      <c r="AF17" s="43">
        <v>356.4</v>
      </c>
      <c r="AG17" s="40">
        <f t="shared" si="3"/>
        <v>98.72576177285318</v>
      </c>
      <c r="AH17" s="43"/>
      <c r="AI17" s="43"/>
      <c r="AJ17" s="40" t="e">
        <f t="shared" si="17"/>
        <v>#DIV/0!</v>
      </c>
      <c r="AK17" s="44">
        <f t="shared" si="22"/>
        <v>739.4</v>
      </c>
      <c r="AL17" s="44">
        <f t="shared" si="23"/>
        <v>720.5999999999999</v>
      </c>
      <c r="AM17" s="40">
        <f t="shared" si="18"/>
        <v>97.45739789018121</v>
      </c>
      <c r="AN17" s="43"/>
      <c r="AO17" s="43"/>
      <c r="AP17" s="43"/>
      <c r="AQ17" s="43"/>
      <c r="AR17" s="43"/>
      <c r="AS17" s="43"/>
      <c r="AT17" s="76">
        <f t="shared" si="24"/>
        <v>2776.6000000000004</v>
      </c>
      <c r="AU17" s="76">
        <f t="shared" si="25"/>
        <v>2702.3999999999996</v>
      </c>
      <c r="AV17" s="40">
        <f t="shared" si="5"/>
        <v>97.32766693077862</v>
      </c>
      <c r="AW17" s="44">
        <f t="shared" si="20"/>
        <v>74.20000000000073</v>
      </c>
      <c r="AX17" s="45">
        <f t="shared" si="21"/>
        <v>665.7000000000007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6"/>
        <v>#DIV/0!</v>
      </c>
      <c r="J18" s="43"/>
      <c r="K18" s="43"/>
      <c r="L18" s="40" t="e">
        <f t="shared" si="7"/>
        <v>#DIV/0!</v>
      </c>
      <c r="M18" s="44">
        <f t="shared" si="8"/>
        <v>0</v>
      </c>
      <c r="N18" s="44">
        <f t="shared" si="9"/>
        <v>0</v>
      </c>
      <c r="O18" s="40" t="e">
        <f t="shared" si="10"/>
        <v>#DIV/0!</v>
      </c>
      <c r="P18" s="43"/>
      <c r="Q18" s="43"/>
      <c r="R18" s="40" t="e">
        <f t="shared" si="29"/>
        <v>#DIV/0!</v>
      </c>
      <c r="S18" s="43"/>
      <c r="T18" s="43"/>
      <c r="U18" s="40" t="e">
        <f t="shared" si="30"/>
        <v>#DIV/0!</v>
      </c>
      <c r="V18" s="43"/>
      <c r="W18" s="43"/>
      <c r="X18" s="40" t="e">
        <f t="shared" si="12"/>
        <v>#DIV/0!</v>
      </c>
      <c r="Y18" s="44">
        <f t="shared" si="13"/>
        <v>0</v>
      </c>
      <c r="Z18" s="44">
        <f t="shared" si="14"/>
        <v>0</v>
      </c>
      <c r="AA18" s="40" t="e">
        <f t="shared" si="15"/>
        <v>#DIV/0!</v>
      </c>
      <c r="AB18" s="43"/>
      <c r="AC18" s="43"/>
      <c r="AD18" s="40" t="e">
        <f t="shared" si="2"/>
        <v>#DIV/0!</v>
      </c>
      <c r="AE18" s="43"/>
      <c r="AF18" s="43"/>
      <c r="AG18" s="40" t="e">
        <f t="shared" si="3"/>
        <v>#DIV/0!</v>
      </c>
      <c r="AH18" s="43"/>
      <c r="AI18" s="43"/>
      <c r="AJ18" s="40" t="e">
        <f t="shared" si="17"/>
        <v>#DIV/0!</v>
      </c>
      <c r="AK18" s="44">
        <f t="shared" si="22"/>
        <v>0</v>
      </c>
      <c r="AL18" s="44">
        <f t="shared" si="23"/>
        <v>0</v>
      </c>
      <c r="AM18" s="40" t="e">
        <f t="shared" si="18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5"/>
        <v>0</v>
      </c>
      <c r="AV18" s="40" t="e">
        <f t="shared" si="5"/>
        <v>#DIV/0!</v>
      </c>
      <c r="AW18" s="44">
        <f t="shared" si="20"/>
        <v>0</v>
      </c>
      <c r="AX18" s="45">
        <f t="shared" si="21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6"/>
        <v>89.62848297213621</v>
      </c>
      <c r="J19" s="43">
        <v>2985.1</v>
      </c>
      <c r="K19" s="43">
        <v>2666.8</v>
      </c>
      <c r="L19" s="49">
        <f t="shared" si="7"/>
        <v>89.33704063515461</v>
      </c>
      <c r="M19" s="44">
        <f t="shared" si="8"/>
        <v>8363</v>
      </c>
      <c r="N19" s="44">
        <f t="shared" si="9"/>
        <v>7442.900000000001</v>
      </c>
      <c r="O19" s="40">
        <f t="shared" si="10"/>
        <v>88.99796723663758</v>
      </c>
      <c r="P19" s="43">
        <v>2978.1</v>
      </c>
      <c r="Q19" s="43">
        <v>2870.6</v>
      </c>
      <c r="R19" s="40">
        <f t="shared" si="29"/>
        <v>96.39031597327154</v>
      </c>
      <c r="S19" s="43">
        <v>3204.9</v>
      </c>
      <c r="T19" s="43">
        <v>2853.7</v>
      </c>
      <c r="U19" s="40">
        <f t="shared" si="30"/>
        <v>89.04177977471996</v>
      </c>
      <c r="V19" s="43">
        <v>3029.8</v>
      </c>
      <c r="W19" s="43">
        <v>2901.1</v>
      </c>
      <c r="X19" s="48">
        <f t="shared" si="12"/>
        <v>95.75219486434747</v>
      </c>
      <c r="Y19" s="44">
        <f t="shared" si="13"/>
        <v>9212.8</v>
      </c>
      <c r="Z19" s="44">
        <f t="shared" si="14"/>
        <v>8625.4</v>
      </c>
      <c r="AA19" s="40">
        <f t="shared" si="15"/>
        <v>93.62408822507815</v>
      </c>
      <c r="AB19" s="43">
        <v>3136.3</v>
      </c>
      <c r="AC19" s="43">
        <v>3137.2</v>
      </c>
      <c r="AD19" s="40">
        <f t="shared" si="2"/>
        <v>100.02869623441634</v>
      </c>
      <c r="AE19" s="43">
        <v>3341.9</v>
      </c>
      <c r="AF19" s="43">
        <v>3103.4</v>
      </c>
      <c r="AG19" s="40">
        <f t="shared" si="3"/>
        <v>92.86334121308238</v>
      </c>
      <c r="AH19" s="43"/>
      <c r="AI19" s="43"/>
      <c r="AJ19" s="40" t="e">
        <f t="shared" si="17"/>
        <v>#DIV/0!</v>
      </c>
      <c r="AK19" s="44">
        <f t="shared" si="22"/>
        <v>6478.200000000001</v>
      </c>
      <c r="AL19" s="44">
        <f t="shared" si="23"/>
        <v>6240.6</v>
      </c>
      <c r="AM19" s="40">
        <f t="shared" si="18"/>
        <v>96.33231453181439</v>
      </c>
      <c r="AN19" s="43"/>
      <c r="AO19" s="43"/>
      <c r="AP19" s="43"/>
      <c r="AQ19" s="43"/>
      <c r="AR19" s="43"/>
      <c r="AS19" s="43"/>
      <c r="AT19" s="76">
        <f t="shared" si="24"/>
        <v>24054</v>
      </c>
      <c r="AU19" s="76">
        <f t="shared" si="25"/>
        <v>22308.9</v>
      </c>
      <c r="AV19" s="40">
        <f t="shared" si="5"/>
        <v>92.74507358443502</v>
      </c>
      <c r="AW19" s="44">
        <f t="shared" si="20"/>
        <v>1745.0999999999985</v>
      </c>
      <c r="AX19" s="45">
        <f t="shared" si="21"/>
        <v>6477.399999999998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6"/>
        <v>#DIV/0!</v>
      </c>
      <c r="J20" s="73"/>
      <c r="K20" s="73"/>
      <c r="L20" s="38" t="e">
        <f t="shared" si="7"/>
        <v>#DIV/0!</v>
      </c>
      <c r="M20" s="75">
        <f t="shared" si="8"/>
        <v>0</v>
      </c>
      <c r="N20" s="75">
        <f t="shared" si="9"/>
        <v>0</v>
      </c>
      <c r="O20" s="38" t="e">
        <f t="shared" si="10"/>
        <v>#DIV/0!</v>
      </c>
      <c r="P20" s="73"/>
      <c r="Q20" s="73"/>
      <c r="R20" s="38" t="e">
        <f t="shared" si="29"/>
        <v>#DIV/0!</v>
      </c>
      <c r="S20" s="73"/>
      <c r="T20" s="73"/>
      <c r="U20" s="38" t="e">
        <f t="shared" si="30"/>
        <v>#DIV/0!</v>
      </c>
      <c r="V20" s="73"/>
      <c r="W20" s="73"/>
      <c r="X20" s="38" t="e">
        <f t="shared" si="12"/>
        <v>#DIV/0!</v>
      </c>
      <c r="Y20" s="75">
        <f t="shared" si="13"/>
        <v>0</v>
      </c>
      <c r="Z20" s="75">
        <f t="shared" si="14"/>
        <v>0</v>
      </c>
      <c r="AA20" s="38" t="e">
        <f t="shared" si="15"/>
        <v>#DIV/0!</v>
      </c>
      <c r="AB20" s="73"/>
      <c r="AC20" s="73"/>
      <c r="AD20" s="40" t="e">
        <f t="shared" si="2"/>
        <v>#DIV/0!</v>
      </c>
      <c r="AE20" s="73"/>
      <c r="AF20" s="73"/>
      <c r="AG20" s="40" t="e">
        <f t="shared" si="3"/>
        <v>#DIV/0!</v>
      </c>
      <c r="AH20" s="73"/>
      <c r="AI20" s="73"/>
      <c r="AJ20" s="38" t="e">
        <f t="shared" si="17"/>
        <v>#DIV/0!</v>
      </c>
      <c r="AK20" s="75">
        <f t="shared" si="22"/>
        <v>0</v>
      </c>
      <c r="AL20" s="75">
        <f t="shared" si="23"/>
        <v>0</v>
      </c>
      <c r="AM20" s="38" t="e">
        <f t="shared" si="18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5"/>
        <v>0</v>
      </c>
      <c r="AV20" s="38" t="e">
        <f t="shared" si="5"/>
        <v>#DIV/0!</v>
      </c>
      <c r="AW20" s="75">
        <f t="shared" si="20"/>
        <v>0</v>
      </c>
      <c r="AX20" s="77">
        <f t="shared" si="21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6"/>
        <v>98.07162534435263</v>
      </c>
      <c r="J21" s="43">
        <v>70.8</v>
      </c>
      <c r="K21" s="43">
        <v>70.5</v>
      </c>
      <c r="L21" s="40">
        <f t="shared" si="7"/>
        <v>99.57627118644068</v>
      </c>
      <c r="M21" s="44">
        <f t="shared" si="8"/>
        <v>212.7</v>
      </c>
      <c r="N21" s="44">
        <f t="shared" si="9"/>
        <v>196.8</v>
      </c>
      <c r="O21" s="40">
        <f t="shared" si="10"/>
        <v>92.52468265162202</v>
      </c>
      <c r="P21" s="43">
        <v>77.6</v>
      </c>
      <c r="Q21" s="43">
        <v>75.6</v>
      </c>
      <c r="R21" s="40">
        <f t="shared" si="29"/>
        <v>97.42268041237114</v>
      </c>
      <c r="S21" s="43">
        <v>97.9</v>
      </c>
      <c r="T21" s="43">
        <v>94.6</v>
      </c>
      <c r="U21" s="40">
        <f t="shared" si="30"/>
        <v>96.62921348314606</v>
      </c>
      <c r="V21" s="43">
        <v>101.3</v>
      </c>
      <c r="W21" s="43">
        <v>98.8</v>
      </c>
      <c r="X21" s="40">
        <f t="shared" si="12"/>
        <v>97.53208292201381</v>
      </c>
      <c r="Y21" s="44">
        <f t="shared" si="13"/>
        <v>276.8</v>
      </c>
      <c r="Z21" s="44">
        <f t="shared" si="14"/>
        <v>269</v>
      </c>
      <c r="AA21" s="40">
        <f t="shared" si="15"/>
        <v>97.18208092485548</v>
      </c>
      <c r="AB21" s="43">
        <v>84.7</v>
      </c>
      <c r="AC21" s="43">
        <v>85.3</v>
      </c>
      <c r="AD21" s="40">
        <f t="shared" si="2"/>
        <v>100.70838252656434</v>
      </c>
      <c r="AE21" s="43"/>
      <c r="AF21" s="43"/>
      <c r="AG21" s="40" t="e">
        <f t="shared" si="3"/>
        <v>#DIV/0!</v>
      </c>
      <c r="AH21" s="43"/>
      <c r="AI21" s="43"/>
      <c r="AJ21" s="40" t="e">
        <f t="shared" si="17"/>
        <v>#DIV/0!</v>
      </c>
      <c r="AK21" s="44">
        <f t="shared" si="22"/>
        <v>84.7</v>
      </c>
      <c r="AL21" s="44">
        <f t="shared" si="23"/>
        <v>85.3</v>
      </c>
      <c r="AM21" s="40">
        <f t="shared" si="18"/>
        <v>100.70838252656434</v>
      </c>
      <c r="AN21" s="43"/>
      <c r="AO21" s="43"/>
      <c r="AP21" s="43"/>
      <c r="AQ21" s="43"/>
      <c r="AR21" s="43"/>
      <c r="AS21" s="43"/>
      <c r="AT21" s="76">
        <f t="shared" si="24"/>
        <v>574.2</v>
      </c>
      <c r="AU21" s="76">
        <f t="shared" si="25"/>
        <v>551.1</v>
      </c>
      <c r="AV21" s="40">
        <f t="shared" si="5"/>
        <v>95.97701149425288</v>
      </c>
      <c r="AW21" s="44">
        <f t="shared" si="20"/>
        <v>23.100000000000023</v>
      </c>
      <c r="AX21" s="45">
        <f t="shared" si="21"/>
        <v>55.700000000000045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16.3+2.3+5.8</f>
        <v>24.400000000000002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6"/>
        <v>87.45980707395498</v>
      </c>
      <c r="J22" s="43">
        <f>9.6+9.7+5.5</f>
        <v>24.799999999999997</v>
      </c>
      <c r="K22" s="43">
        <f>6.2+9.4+5.4</f>
        <v>21</v>
      </c>
      <c r="L22" s="53">
        <f t="shared" si="7"/>
        <v>84.67741935483872</v>
      </c>
      <c r="M22" s="44">
        <f t="shared" si="8"/>
        <v>82.9</v>
      </c>
      <c r="N22" s="44">
        <f t="shared" si="9"/>
        <v>75.3</v>
      </c>
      <c r="O22" s="40">
        <f t="shared" si="10"/>
        <v>90.83232810615198</v>
      </c>
      <c r="P22" s="43">
        <f>16+5+12.8</f>
        <v>33.8</v>
      </c>
      <c r="Q22" s="43">
        <f>16.8+4.8+13.2</f>
        <v>34.8</v>
      </c>
      <c r="R22" s="40">
        <f t="shared" si="29"/>
        <v>102.9585798816568</v>
      </c>
      <c r="S22" s="43">
        <f>20.3+5+11</f>
        <v>36.3</v>
      </c>
      <c r="T22" s="43">
        <f>20.2+4+11.8</f>
        <v>36</v>
      </c>
      <c r="U22" s="40">
        <f t="shared" si="30"/>
        <v>99.17355371900827</v>
      </c>
      <c r="V22" s="43">
        <f>12+15.7+5</f>
        <v>32.7</v>
      </c>
      <c r="W22" s="43">
        <f>11.5+10.9+7</f>
        <v>29.4</v>
      </c>
      <c r="X22" s="54">
        <f t="shared" si="12"/>
        <v>89.90825688073393</v>
      </c>
      <c r="Y22" s="44">
        <f t="shared" si="13"/>
        <v>102.8</v>
      </c>
      <c r="Z22" s="44">
        <f t="shared" si="14"/>
        <v>100.19999999999999</v>
      </c>
      <c r="AA22" s="40">
        <f t="shared" si="15"/>
        <v>97.47081712062256</v>
      </c>
      <c r="AB22" s="43">
        <f>6+15.3+11.8</f>
        <v>33.1</v>
      </c>
      <c r="AC22" s="43">
        <f>6.5+27+12.6</f>
        <v>46.1</v>
      </c>
      <c r="AD22" s="40">
        <f t="shared" si="2"/>
        <v>139.2749244712991</v>
      </c>
      <c r="AE22" s="43">
        <f>15.5+16.6+6</f>
        <v>38.1</v>
      </c>
      <c r="AF22" s="43">
        <f>16+14.2+7</f>
        <v>37.2</v>
      </c>
      <c r="AG22" s="40">
        <f t="shared" si="3"/>
        <v>97.63779527559055</v>
      </c>
      <c r="AH22" s="43"/>
      <c r="AI22" s="43"/>
      <c r="AJ22" s="40" t="e">
        <f t="shared" si="17"/>
        <v>#DIV/0!</v>
      </c>
      <c r="AK22" s="44">
        <f t="shared" si="22"/>
        <v>71.2</v>
      </c>
      <c r="AL22" s="44">
        <f t="shared" si="23"/>
        <v>83.30000000000001</v>
      </c>
      <c r="AM22" s="40">
        <f t="shared" si="18"/>
        <v>116.99438202247192</v>
      </c>
      <c r="AN22" s="43"/>
      <c r="AO22" s="43"/>
      <c r="AP22" s="43"/>
      <c r="AQ22" s="43"/>
      <c r="AR22" s="43"/>
      <c r="AS22" s="43"/>
      <c r="AT22" s="76">
        <f t="shared" si="24"/>
        <v>256.9</v>
      </c>
      <c r="AU22" s="76">
        <f t="shared" si="25"/>
        <v>258.8</v>
      </c>
      <c r="AV22" s="40">
        <f t="shared" si="5"/>
        <v>100.73958738808876</v>
      </c>
      <c r="AW22" s="44">
        <f t="shared" si="20"/>
        <v>-1.900000000000034</v>
      </c>
      <c r="AX22" s="45">
        <f t="shared" si="21"/>
        <v>22.499999999999943</v>
      </c>
      <c r="AY22" s="12">
        <f>2+18.4+2.1</f>
        <v>22.5</v>
      </c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6"/>
        <v>90.05213908359518</v>
      </c>
      <c r="J23" s="57">
        <f>SUM(J24:J29)</f>
        <v>2802.5</v>
      </c>
      <c r="K23" s="57">
        <f>SUM(K24:K29)</f>
        <v>2897.4</v>
      </c>
      <c r="L23" s="53">
        <f t="shared" si="7"/>
        <v>103.38626226583408</v>
      </c>
      <c r="M23" s="40">
        <f t="shared" si="8"/>
        <v>8607</v>
      </c>
      <c r="N23" s="40">
        <f t="shared" si="9"/>
        <v>8023.699999999999</v>
      </c>
      <c r="O23" s="40">
        <f t="shared" si="10"/>
        <v>93.22295805739513</v>
      </c>
      <c r="P23" s="57">
        <f aca="true" t="shared" si="31" ref="P23:W23">SUM(P24:P29)</f>
        <v>2773.1</v>
      </c>
      <c r="Q23" s="57">
        <f t="shared" si="31"/>
        <v>2661.7</v>
      </c>
      <c r="R23" s="57" t="e">
        <f t="shared" si="31"/>
        <v>#DIV/0!</v>
      </c>
      <c r="S23" s="57">
        <f t="shared" si="31"/>
        <v>2855.5999999999995</v>
      </c>
      <c r="T23" s="57">
        <f t="shared" si="31"/>
        <v>2712.4</v>
      </c>
      <c r="U23" s="57" t="e">
        <f t="shared" si="31"/>
        <v>#DIV/0!</v>
      </c>
      <c r="V23" s="57">
        <f t="shared" si="31"/>
        <v>2922.1</v>
      </c>
      <c r="W23" s="57">
        <f t="shared" si="31"/>
        <v>2650</v>
      </c>
      <c r="X23" s="54">
        <f t="shared" si="12"/>
        <v>90.68820368912769</v>
      </c>
      <c r="Y23" s="40">
        <f t="shared" si="13"/>
        <v>8550.8</v>
      </c>
      <c r="Z23" s="40">
        <f t="shared" si="14"/>
        <v>8024.1</v>
      </c>
      <c r="AA23" s="40">
        <f t="shared" si="15"/>
        <v>93.84034242410068</v>
      </c>
      <c r="AB23" s="57">
        <f aca="true" t="shared" si="32" ref="AB23:AI23">SUM(AB24:AB29)</f>
        <v>3332.5</v>
      </c>
      <c r="AC23" s="57">
        <f t="shared" si="32"/>
        <v>3049.2000000000003</v>
      </c>
      <c r="AD23" s="40">
        <f t="shared" si="2"/>
        <v>91.49887471867967</v>
      </c>
      <c r="AE23" s="57">
        <f t="shared" si="32"/>
        <v>3203.9</v>
      </c>
      <c r="AF23" s="57">
        <f t="shared" si="32"/>
        <v>3068</v>
      </c>
      <c r="AG23" s="40">
        <f t="shared" si="3"/>
        <v>95.75829457848248</v>
      </c>
      <c r="AH23" s="57">
        <f t="shared" si="32"/>
        <v>0</v>
      </c>
      <c r="AI23" s="57">
        <f t="shared" si="32"/>
        <v>0</v>
      </c>
      <c r="AJ23" s="40" t="e">
        <f t="shared" si="17"/>
        <v>#DIV/0!</v>
      </c>
      <c r="AK23" s="40">
        <f t="shared" si="22"/>
        <v>6536.4</v>
      </c>
      <c r="AL23" s="40">
        <f t="shared" si="23"/>
        <v>6117.200000000001</v>
      </c>
      <c r="AM23" s="40">
        <f t="shared" si="18"/>
        <v>93.58668380148096</v>
      </c>
      <c r="AN23" s="57">
        <f aca="true" t="shared" si="33" ref="AN23:AS23">SUM(AN24:AN29)</f>
        <v>0</v>
      </c>
      <c r="AO23" s="57">
        <f t="shared" si="33"/>
        <v>0</v>
      </c>
      <c r="AP23" s="57">
        <f t="shared" si="33"/>
        <v>0</v>
      </c>
      <c r="AQ23" s="57">
        <f t="shared" si="33"/>
        <v>0</v>
      </c>
      <c r="AR23" s="57">
        <f t="shared" si="33"/>
        <v>0</v>
      </c>
      <c r="AS23" s="57">
        <f t="shared" si="33"/>
        <v>0</v>
      </c>
      <c r="AT23" s="39">
        <f t="shared" si="24"/>
        <v>23694.199999999997</v>
      </c>
      <c r="AU23" s="39">
        <f t="shared" si="25"/>
        <v>22165</v>
      </c>
      <c r="AV23" s="40">
        <f t="shared" si="5"/>
        <v>93.54609988942443</v>
      </c>
      <c r="AW23" s="40">
        <f t="shared" si="20"/>
        <v>1529.199999999997</v>
      </c>
      <c r="AX23" s="61">
        <f t="shared" si="21"/>
        <v>5426.5999999999985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6"/>
        <v>104.10531012940652</v>
      </c>
      <c r="J24" s="43">
        <v>228.4</v>
      </c>
      <c r="K24" s="43">
        <v>232.9</v>
      </c>
      <c r="L24" s="40">
        <f t="shared" si="7"/>
        <v>101.97022767075306</v>
      </c>
      <c r="M24" s="44">
        <f t="shared" si="8"/>
        <v>687.6</v>
      </c>
      <c r="N24" s="44">
        <f t="shared" si="9"/>
        <v>665.1</v>
      </c>
      <c r="O24" s="40">
        <f t="shared" si="10"/>
        <v>96.72774869109948</v>
      </c>
      <c r="P24" s="43">
        <v>218</v>
      </c>
      <c r="Q24" s="43">
        <v>217.8</v>
      </c>
      <c r="R24" s="40">
        <f>Q24/P24*100</f>
        <v>99.90825688073394</v>
      </c>
      <c r="S24" s="43">
        <v>223</v>
      </c>
      <c r="T24" s="43">
        <v>224</v>
      </c>
      <c r="U24" s="40">
        <f>T24/S24*100</f>
        <v>100.44843049327355</v>
      </c>
      <c r="V24" s="43">
        <v>242.3</v>
      </c>
      <c r="W24" s="43">
        <v>221.4</v>
      </c>
      <c r="X24" s="54">
        <f t="shared" si="12"/>
        <v>91.37432934378869</v>
      </c>
      <c r="Y24" s="44">
        <f t="shared" si="13"/>
        <v>683.3</v>
      </c>
      <c r="Z24" s="44">
        <f t="shared" si="14"/>
        <v>663.2</v>
      </c>
      <c r="AA24" s="40">
        <f t="shared" si="15"/>
        <v>97.05839309234598</v>
      </c>
      <c r="AB24" s="43">
        <v>262.2</v>
      </c>
      <c r="AC24" s="43">
        <v>240.5</v>
      </c>
      <c r="AD24" s="40">
        <f t="shared" si="2"/>
        <v>91.72387490465293</v>
      </c>
      <c r="AE24" s="43">
        <v>259.2</v>
      </c>
      <c r="AF24" s="43">
        <v>251.8</v>
      </c>
      <c r="AG24" s="40">
        <f t="shared" si="3"/>
        <v>97.14506172839506</v>
      </c>
      <c r="AH24" s="43"/>
      <c r="AI24" s="43"/>
      <c r="AJ24" s="40" t="e">
        <f t="shared" si="17"/>
        <v>#DIV/0!</v>
      </c>
      <c r="AK24" s="44">
        <f t="shared" si="22"/>
        <v>521.4</v>
      </c>
      <c r="AL24" s="44">
        <f t="shared" si="23"/>
        <v>492.3</v>
      </c>
      <c r="AM24" s="40">
        <f t="shared" si="18"/>
        <v>94.41887226697354</v>
      </c>
      <c r="AN24" s="43"/>
      <c r="AO24" s="43"/>
      <c r="AP24" s="43"/>
      <c r="AQ24" s="43"/>
      <c r="AR24" s="43"/>
      <c r="AS24" s="43"/>
      <c r="AT24" s="76">
        <f t="shared" si="24"/>
        <v>1892.3000000000002</v>
      </c>
      <c r="AU24" s="76">
        <f t="shared" si="25"/>
        <v>1820.6000000000001</v>
      </c>
      <c r="AV24" s="40">
        <f t="shared" si="5"/>
        <v>96.21096020715531</v>
      </c>
      <c r="AW24" s="44">
        <f t="shared" si="20"/>
        <v>71.70000000000005</v>
      </c>
      <c r="AX24" s="45">
        <f t="shared" si="21"/>
        <v>306.10000000000014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6"/>
        <v>88.5640584694755</v>
      </c>
      <c r="J25" s="43">
        <v>157.8</v>
      </c>
      <c r="K25" s="43">
        <v>253.9</v>
      </c>
      <c r="L25" s="40">
        <f t="shared" si="7"/>
        <v>160.8998732572877</v>
      </c>
      <c r="M25" s="44">
        <f t="shared" si="8"/>
        <v>636.0999999999999</v>
      </c>
      <c r="N25" s="44">
        <f t="shared" si="9"/>
        <v>681.8</v>
      </c>
      <c r="O25" s="40">
        <f t="shared" si="10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>
        <v>254.7</v>
      </c>
      <c r="T25" s="43">
        <v>222.7</v>
      </c>
      <c r="U25" s="40">
        <f>T25/S25*100</f>
        <v>87.43619945033373</v>
      </c>
      <c r="V25" s="43">
        <v>313.7</v>
      </c>
      <c r="W25" s="43">
        <v>197.5</v>
      </c>
      <c r="X25" s="40">
        <f>W25/V25*100</f>
        <v>62.95824035702901</v>
      </c>
      <c r="Y25" s="44">
        <f t="shared" si="13"/>
        <v>777.8</v>
      </c>
      <c r="Z25" s="44">
        <f t="shared" si="14"/>
        <v>642.3</v>
      </c>
      <c r="AA25" s="40">
        <f t="shared" si="15"/>
        <v>82.5790691694523</v>
      </c>
      <c r="AB25" s="43">
        <v>409.7</v>
      </c>
      <c r="AC25" s="43">
        <v>255.8</v>
      </c>
      <c r="AD25" s="40">
        <f t="shared" si="2"/>
        <v>62.43592872833781</v>
      </c>
      <c r="AE25" s="43">
        <v>325.4</v>
      </c>
      <c r="AF25" s="43">
        <v>319.5</v>
      </c>
      <c r="AG25" s="40">
        <f t="shared" si="3"/>
        <v>98.18684695759067</v>
      </c>
      <c r="AH25" s="43"/>
      <c r="AI25" s="43"/>
      <c r="AJ25" s="40" t="e">
        <f t="shared" si="17"/>
        <v>#DIV/0!</v>
      </c>
      <c r="AK25" s="44">
        <f t="shared" si="22"/>
        <v>735.0999999999999</v>
      </c>
      <c r="AL25" s="44">
        <f t="shared" si="23"/>
        <v>575.3</v>
      </c>
      <c r="AM25" s="40">
        <f t="shared" si="18"/>
        <v>78.26146102571079</v>
      </c>
      <c r="AN25" s="43"/>
      <c r="AO25" s="43"/>
      <c r="AP25" s="43"/>
      <c r="AQ25" s="43"/>
      <c r="AR25" s="43"/>
      <c r="AS25" s="43"/>
      <c r="AT25" s="76">
        <f t="shared" si="24"/>
        <v>2149</v>
      </c>
      <c r="AU25" s="76">
        <f t="shared" si="25"/>
        <v>1899.3999999999999</v>
      </c>
      <c r="AV25" s="40">
        <f t="shared" si="5"/>
        <v>88.38529548627267</v>
      </c>
      <c r="AW25" s="44">
        <f t="shared" si="20"/>
        <v>249.60000000000014</v>
      </c>
      <c r="AX25" s="45">
        <f t="shared" si="21"/>
        <v>451.70000000000005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6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8"/>
        <v>6742.4</v>
      </c>
      <c r="N26" s="44">
        <f t="shared" si="9"/>
        <v>6073.5</v>
      </c>
      <c r="O26" s="40">
        <f t="shared" si="10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>
        <v>2170.7</v>
      </c>
      <c r="T26" s="43">
        <v>2067.3</v>
      </c>
      <c r="U26" s="40">
        <f>T26/S26*100</f>
        <v>95.23655963514075</v>
      </c>
      <c r="V26" s="43">
        <v>2172.6</v>
      </c>
      <c r="W26" s="43">
        <v>2027.3</v>
      </c>
      <c r="X26" s="40">
        <f>W26/V26*100</f>
        <v>93.31216054496916</v>
      </c>
      <c r="Y26" s="44">
        <f t="shared" si="13"/>
        <v>6500.299999999999</v>
      </c>
      <c r="Z26" s="44">
        <f t="shared" si="14"/>
        <v>6111.3</v>
      </c>
      <c r="AA26" s="40">
        <f t="shared" si="15"/>
        <v>94.01566081565468</v>
      </c>
      <c r="AB26" s="43">
        <v>2459</v>
      </c>
      <c r="AC26" s="43">
        <v>2331</v>
      </c>
      <c r="AD26" s="40">
        <f t="shared" si="2"/>
        <v>94.7946319642131</v>
      </c>
      <c r="AE26" s="43">
        <v>2404.9</v>
      </c>
      <c r="AF26" s="43">
        <v>2289.9</v>
      </c>
      <c r="AG26" s="40">
        <f t="shared" si="3"/>
        <v>95.21809638654413</v>
      </c>
      <c r="AH26" s="43"/>
      <c r="AI26" s="43"/>
      <c r="AJ26" s="40" t="e">
        <f t="shared" si="17"/>
        <v>#DIV/0!</v>
      </c>
      <c r="AK26" s="44">
        <f t="shared" si="22"/>
        <v>4863.9</v>
      </c>
      <c r="AL26" s="44">
        <f t="shared" si="23"/>
        <v>4620.9</v>
      </c>
      <c r="AM26" s="40">
        <f t="shared" si="18"/>
        <v>95.00400912847715</v>
      </c>
      <c r="AN26" s="43"/>
      <c r="AO26" s="43"/>
      <c r="AP26" s="43"/>
      <c r="AQ26" s="43"/>
      <c r="AR26" s="43"/>
      <c r="AS26" s="43"/>
      <c r="AT26" s="76">
        <f t="shared" si="24"/>
        <v>18106.6</v>
      </c>
      <c r="AU26" s="76">
        <f t="shared" si="25"/>
        <v>16805.699999999997</v>
      </c>
      <c r="AV26" s="40">
        <f t="shared" si="5"/>
        <v>92.8153270078314</v>
      </c>
      <c r="AW26" s="44">
        <f t="shared" si="20"/>
        <v>1300.9000000000015</v>
      </c>
      <c r="AX26" s="45">
        <f t="shared" si="21"/>
        <v>4357.700000000001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6"/>
        <v>#DIV/0!</v>
      </c>
      <c r="J27" s="43"/>
      <c r="K27" s="43"/>
      <c r="L27" s="40" t="e">
        <f>K27/J27*100</f>
        <v>#DIV/0!</v>
      </c>
      <c r="M27" s="44">
        <f t="shared" si="8"/>
        <v>0</v>
      </c>
      <c r="N27" s="44">
        <f t="shared" si="9"/>
        <v>0</v>
      </c>
      <c r="O27" s="40" t="e">
        <f t="shared" si="10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3"/>
        <v>0</v>
      </c>
      <c r="Z27" s="44">
        <f t="shared" si="14"/>
        <v>0</v>
      </c>
      <c r="AA27" s="40" t="e">
        <f t="shared" si="15"/>
        <v>#DIV/0!</v>
      </c>
      <c r="AB27" s="43"/>
      <c r="AC27" s="43"/>
      <c r="AD27" s="40" t="e">
        <f t="shared" si="2"/>
        <v>#DIV/0!</v>
      </c>
      <c r="AE27" s="43"/>
      <c r="AF27" s="43"/>
      <c r="AG27" s="40" t="e">
        <f t="shared" si="3"/>
        <v>#DIV/0!</v>
      </c>
      <c r="AH27" s="43"/>
      <c r="AI27" s="43"/>
      <c r="AJ27" s="40" t="e">
        <f t="shared" si="17"/>
        <v>#DIV/0!</v>
      </c>
      <c r="AK27" s="44">
        <f t="shared" si="22"/>
        <v>0</v>
      </c>
      <c r="AL27" s="44">
        <f t="shared" si="23"/>
        <v>0</v>
      </c>
      <c r="AM27" s="40" t="e">
        <f t="shared" si="18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5"/>
        <v>0</v>
      </c>
      <c r="AV27" s="40" t="e">
        <f t="shared" si="5"/>
        <v>#DIV/0!</v>
      </c>
      <c r="AW27" s="44">
        <f t="shared" si="20"/>
        <v>0</v>
      </c>
      <c r="AX27" s="45">
        <f t="shared" si="21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6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8"/>
        <v>540.9000000000001</v>
      </c>
      <c r="N28" s="44">
        <f t="shared" si="9"/>
        <v>603.3</v>
      </c>
      <c r="O28" s="40">
        <f t="shared" si="10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>
        <v>207.2</v>
      </c>
      <c r="T28" s="55">
        <v>198.4</v>
      </c>
      <c r="U28" s="40">
        <f>T28/S28*100</f>
        <v>95.75289575289577</v>
      </c>
      <c r="V28" s="43">
        <v>193.5</v>
      </c>
      <c r="W28" s="55">
        <v>203.8</v>
      </c>
      <c r="X28" s="56">
        <f>W28/V28*100</f>
        <v>105.32299741602067</v>
      </c>
      <c r="Y28" s="44">
        <f t="shared" si="13"/>
        <v>589.4</v>
      </c>
      <c r="Z28" s="44">
        <f t="shared" si="14"/>
        <v>607.3</v>
      </c>
      <c r="AA28" s="40">
        <f t="shared" si="15"/>
        <v>103.03698676620292</v>
      </c>
      <c r="AB28" s="43">
        <v>201.6</v>
      </c>
      <c r="AC28" s="55">
        <v>221.9</v>
      </c>
      <c r="AD28" s="40">
        <f t="shared" si="2"/>
        <v>110.06944444444444</v>
      </c>
      <c r="AE28" s="43">
        <v>214.4</v>
      </c>
      <c r="AF28" s="55">
        <v>206.8</v>
      </c>
      <c r="AG28" s="40">
        <f t="shared" si="3"/>
        <v>96.45522388059702</v>
      </c>
      <c r="AH28" s="43"/>
      <c r="AI28" s="55"/>
      <c r="AJ28" s="40" t="e">
        <f t="shared" si="17"/>
        <v>#DIV/0!</v>
      </c>
      <c r="AK28" s="44">
        <f t="shared" si="22"/>
        <v>416</v>
      </c>
      <c r="AL28" s="44">
        <f t="shared" si="23"/>
        <v>428.70000000000005</v>
      </c>
      <c r="AM28" s="40">
        <f t="shared" si="18"/>
        <v>103.05288461538463</v>
      </c>
      <c r="AN28" s="43"/>
      <c r="AO28" s="55"/>
      <c r="AP28" s="43"/>
      <c r="AQ28" s="55"/>
      <c r="AR28" s="43"/>
      <c r="AS28" s="55"/>
      <c r="AT28" s="76">
        <f t="shared" si="24"/>
        <v>1546.3000000000002</v>
      </c>
      <c r="AU28" s="76">
        <f t="shared" si="25"/>
        <v>1639.3</v>
      </c>
      <c r="AV28" s="40">
        <f t="shared" si="5"/>
        <v>106.01435685183986</v>
      </c>
      <c r="AW28" s="44">
        <f t="shared" si="20"/>
        <v>-92.99999999999977</v>
      </c>
      <c r="AX28" s="45">
        <f t="shared" si="21"/>
        <v>311.10000000000014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4" ref="F29:F49">E29/D29*100</f>
        <v>#DIV/0!</v>
      </c>
      <c r="G29" s="43"/>
      <c r="H29" s="43"/>
      <c r="I29" s="41" t="e">
        <f t="shared" si="6"/>
        <v>#DIV/0!</v>
      </c>
      <c r="J29" s="43"/>
      <c r="K29" s="43"/>
      <c r="L29" s="40" t="e">
        <f>K29/J29*100</f>
        <v>#DIV/0!</v>
      </c>
      <c r="M29" s="44">
        <f t="shared" si="8"/>
        <v>0</v>
      </c>
      <c r="N29" s="44">
        <f t="shared" si="9"/>
        <v>0</v>
      </c>
      <c r="O29" s="40" t="e">
        <f aca="true" t="shared" si="35" ref="O29:O49">N29/M29*100</f>
        <v>#DIV/0!</v>
      </c>
      <c r="P29" s="43"/>
      <c r="Q29" s="43"/>
      <c r="R29" s="40" t="e">
        <f aca="true" t="shared" si="36" ref="R29:R49">Q29/P29*100</f>
        <v>#DIV/0!</v>
      </c>
      <c r="S29" s="43"/>
      <c r="T29" s="43"/>
      <c r="U29" s="40" t="e">
        <f aca="true" t="shared" si="37" ref="U29:U49">T29/S29*100</f>
        <v>#DIV/0!</v>
      </c>
      <c r="V29" s="43"/>
      <c r="W29" s="43"/>
      <c r="X29" s="40" t="e">
        <f aca="true" t="shared" si="38" ref="X29:X45">W29/V29*100</f>
        <v>#DIV/0!</v>
      </c>
      <c r="Y29" s="44">
        <f t="shared" si="13"/>
        <v>0</v>
      </c>
      <c r="Z29" s="44">
        <f t="shared" si="14"/>
        <v>0</v>
      </c>
      <c r="AA29" s="40" t="e">
        <f aca="true" t="shared" si="39" ref="AA29:AA49">Z29/Y29*100</f>
        <v>#DIV/0!</v>
      </c>
      <c r="AB29" s="43"/>
      <c r="AC29" s="43"/>
      <c r="AD29" s="40" t="e">
        <f t="shared" si="2"/>
        <v>#DIV/0!</v>
      </c>
      <c r="AE29" s="43"/>
      <c r="AF29" s="43"/>
      <c r="AG29" s="40" t="e">
        <f t="shared" si="3"/>
        <v>#DIV/0!</v>
      </c>
      <c r="AH29" s="43"/>
      <c r="AI29" s="43"/>
      <c r="AJ29" s="40" t="e">
        <f aca="true" t="shared" si="40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41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5"/>
        <v>0</v>
      </c>
      <c r="AV29" s="40" t="e">
        <f>AU29/AT29*100</f>
        <v>#DIV/0!</v>
      </c>
      <c r="AW29" s="44">
        <f t="shared" si="20"/>
        <v>0</v>
      </c>
      <c r="AX29" s="45">
        <f t="shared" si="21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7304.8</v>
      </c>
      <c r="D30" s="90">
        <f>SUM(D31:D38)</f>
        <v>3101.8999999999996</v>
      </c>
      <c r="E30" s="90">
        <f>SUM(E31:E38)</f>
        <v>3056.9</v>
      </c>
      <c r="F30" s="74">
        <f t="shared" si="34"/>
        <v>98.54927625004031</v>
      </c>
      <c r="G30" s="90">
        <f>SUM(G31:G38)</f>
        <v>3128.0999999999995</v>
      </c>
      <c r="H30" s="90">
        <f>SUM(H31:H38)</f>
        <v>3006.0999999999995</v>
      </c>
      <c r="I30" s="74">
        <f t="shared" si="6"/>
        <v>96.09986893002142</v>
      </c>
      <c r="J30" s="90">
        <f>SUM(J31:J38)</f>
        <v>4010.3999999999996</v>
      </c>
      <c r="K30" s="90">
        <f>SUM(K31:K38)</f>
        <v>3101.7</v>
      </c>
      <c r="L30" s="38">
        <f>K30/J30*100</f>
        <v>77.34141232794734</v>
      </c>
      <c r="M30" s="38">
        <f t="shared" si="8"/>
        <v>10240.399999999998</v>
      </c>
      <c r="N30" s="38">
        <f t="shared" si="9"/>
        <v>9164.7</v>
      </c>
      <c r="O30" s="38">
        <f t="shared" si="35"/>
        <v>89.49552751845634</v>
      </c>
      <c r="P30" s="90">
        <f aca="true" t="shared" si="42" ref="P30:W30">SUM(P31:P38)</f>
        <v>4223.799999999999</v>
      </c>
      <c r="Q30" s="90">
        <f t="shared" si="42"/>
        <v>3676.6000000000004</v>
      </c>
      <c r="R30" s="90" t="e">
        <f t="shared" si="42"/>
        <v>#DIV/0!</v>
      </c>
      <c r="S30" s="90">
        <f t="shared" si="42"/>
        <v>4067.5000000000005</v>
      </c>
      <c r="T30" s="90">
        <f t="shared" si="42"/>
        <v>3872.1</v>
      </c>
      <c r="U30" s="90" t="e">
        <f t="shared" si="42"/>
        <v>#DIV/0!</v>
      </c>
      <c r="V30" s="90">
        <f t="shared" si="42"/>
        <v>4458.1</v>
      </c>
      <c r="W30" s="90">
        <f t="shared" si="42"/>
        <v>3897.7</v>
      </c>
      <c r="X30" s="38">
        <f t="shared" si="38"/>
        <v>87.42962248491509</v>
      </c>
      <c r="Y30" s="38">
        <f t="shared" si="13"/>
        <v>12749.4</v>
      </c>
      <c r="Z30" s="38">
        <f t="shared" si="14"/>
        <v>11446.400000000001</v>
      </c>
      <c r="AA30" s="38">
        <f t="shared" si="39"/>
        <v>89.77991121150801</v>
      </c>
      <c r="AB30" s="90">
        <f aca="true" t="shared" si="43" ref="AB30:AI30">SUM(AB31:AB38)</f>
        <v>4037.3999999999996</v>
      </c>
      <c r="AC30" s="90">
        <f t="shared" si="43"/>
        <v>4141.3</v>
      </c>
      <c r="AD30" s="40">
        <f t="shared" si="2"/>
        <v>102.57343835141428</v>
      </c>
      <c r="AE30" s="90">
        <f t="shared" si="43"/>
        <v>4544.8</v>
      </c>
      <c r="AF30" s="90">
        <f t="shared" si="43"/>
        <v>4284.2</v>
      </c>
      <c r="AG30" s="40">
        <f t="shared" si="3"/>
        <v>94.26597430029923</v>
      </c>
      <c r="AH30" s="90">
        <f t="shared" si="43"/>
        <v>0</v>
      </c>
      <c r="AI30" s="90">
        <f t="shared" si="43"/>
        <v>0</v>
      </c>
      <c r="AJ30" s="38" t="e">
        <f t="shared" si="40"/>
        <v>#DIV/0!</v>
      </c>
      <c r="AK30" s="38">
        <f aca="true" t="shared" si="44" ref="AK30:AK49">AB30+AE30+AH30</f>
        <v>8582.2</v>
      </c>
      <c r="AL30" s="38">
        <f aca="true" t="shared" si="45" ref="AL30:AL49">AC30+AF30+AI30</f>
        <v>8425.5</v>
      </c>
      <c r="AM30" s="38">
        <f t="shared" si="41"/>
        <v>98.17412784600684</v>
      </c>
      <c r="AN30" s="90">
        <f aca="true" t="shared" si="46" ref="AN30:AS30">SUM(AN31:AN38)</f>
        <v>0</v>
      </c>
      <c r="AO30" s="90">
        <f t="shared" si="46"/>
        <v>0</v>
      </c>
      <c r="AP30" s="90">
        <f t="shared" si="46"/>
        <v>0</v>
      </c>
      <c r="AQ30" s="90">
        <f t="shared" si="46"/>
        <v>0</v>
      </c>
      <c r="AR30" s="90">
        <f t="shared" si="46"/>
        <v>0</v>
      </c>
      <c r="AS30" s="90">
        <f t="shared" si="46"/>
        <v>0</v>
      </c>
      <c r="AT30" s="39">
        <f t="shared" si="24"/>
        <v>31571.999999999996</v>
      </c>
      <c r="AU30" s="39">
        <f t="shared" si="25"/>
        <v>29036.600000000002</v>
      </c>
      <c r="AV30" s="38">
        <f>AU30/AT30*100</f>
        <v>91.96946661598886</v>
      </c>
      <c r="AW30" s="38">
        <f t="shared" si="20"/>
        <v>2535.399999999994</v>
      </c>
      <c r="AX30" s="37">
        <f t="shared" si="21"/>
        <v>9840.199999999993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4"/>
        <v>109.18790752815649</v>
      </c>
      <c r="G31" s="43">
        <v>171.1</v>
      </c>
      <c r="H31" s="43">
        <v>180.4</v>
      </c>
      <c r="I31" s="41">
        <f t="shared" si="6"/>
        <v>105.43541788427821</v>
      </c>
      <c r="J31" s="43">
        <v>173.4</v>
      </c>
      <c r="K31" s="43">
        <v>142.5</v>
      </c>
      <c r="L31" s="46">
        <v>0</v>
      </c>
      <c r="M31" s="44">
        <f t="shared" si="8"/>
        <v>513.1999999999999</v>
      </c>
      <c r="N31" s="44">
        <f t="shared" si="9"/>
        <v>507.1</v>
      </c>
      <c r="O31" s="40">
        <f t="shared" si="35"/>
        <v>98.81137957911147</v>
      </c>
      <c r="P31" s="47">
        <v>181.4</v>
      </c>
      <c r="Q31" s="47">
        <v>172.9</v>
      </c>
      <c r="R31" s="40">
        <f t="shared" si="36"/>
        <v>95.31422271223815</v>
      </c>
      <c r="S31" s="43">
        <v>167.6</v>
      </c>
      <c r="T31" s="43">
        <v>176.5</v>
      </c>
      <c r="U31" s="46">
        <f t="shared" si="37"/>
        <v>105.31026252983293</v>
      </c>
      <c r="V31" s="43">
        <v>179.2</v>
      </c>
      <c r="W31" s="43">
        <v>168.5</v>
      </c>
      <c r="X31" s="46">
        <f t="shared" si="38"/>
        <v>94.02901785714286</v>
      </c>
      <c r="Y31" s="44">
        <f t="shared" si="13"/>
        <v>528.2</v>
      </c>
      <c r="Z31" s="44">
        <f t="shared" si="14"/>
        <v>517.9</v>
      </c>
      <c r="AA31" s="40">
        <f t="shared" si="39"/>
        <v>98.04998106777735</v>
      </c>
      <c r="AB31" s="43">
        <v>190.1</v>
      </c>
      <c r="AC31" s="43">
        <v>173.6</v>
      </c>
      <c r="AD31" s="40">
        <f t="shared" si="2"/>
        <v>91.32035770647028</v>
      </c>
      <c r="AE31" s="43">
        <v>182.7</v>
      </c>
      <c r="AF31" s="43">
        <v>183.4</v>
      </c>
      <c r="AG31" s="40">
        <f t="shared" si="3"/>
        <v>100.38314176245211</v>
      </c>
      <c r="AH31" s="43"/>
      <c r="AI31" s="43"/>
      <c r="AJ31" s="40" t="e">
        <f t="shared" si="40"/>
        <v>#DIV/0!</v>
      </c>
      <c r="AK31" s="44">
        <f t="shared" si="44"/>
        <v>372.79999999999995</v>
      </c>
      <c r="AL31" s="44">
        <f t="shared" si="45"/>
        <v>357</v>
      </c>
      <c r="AM31" s="40">
        <f t="shared" si="41"/>
        <v>95.76180257510731</v>
      </c>
      <c r="AN31" s="43"/>
      <c r="AO31" s="43"/>
      <c r="AP31" s="43"/>
      <c r="AQ31" s="43"/>
      <c r="AR31" s="43"/>
      <c r="AS31" s="43"/>
      <c r="AT31" s="76">
        <f t="shared" si="24"/>
        <v>1414.2</v>
      </c>
      <c r="AU31" s="76">
        <f t="shared" si="25"/>
        <v>1382</v>
      </c>
      <c r="AV31" s="40">
        <f>AU31/AT31*100</f>
        <v>97.72309432894922</v>
      </c>
      <c r="AW31" s="44">
        <f t="shared" si="20"/>
        <v>32.200000000000045</v>
      </c>
      <c r="AX31" s="45">
        <f t="shared" si="21"/>
        <v>493.3000000000002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4"/>
        <v>82.46597277822258</v>
      </c>
      <c r="G32" s="43">
        <v>104.6</v>
      </c>
      <c r="H32" s="43">
        <v>98.8</v>
      </c>
      <c r="I32" s="41">
        <f t="shared" si="6"/>
        <v>94.45506692160612</v>
      </c>
      <c r="J32" s="43">
        <v>104</v>
      </c>
      <c r="K32" s="43">
        <v>94.1</v>
      </c>
      <c r="L32" s="40">
        <f aca="true" t="shared" si="47" ref="L32:L46">K32/J32*100</f>
        <v>90.48076923076923</v>
      </c>
      <c r="M32" s="44">
        <f t="shared" si="8"/>
        <v>333.5</v>
      </c>
      <c r="N32" s="44">
        <f t="shared" si="9"/>
        <v>295.9</v>
      </c>
      <c r="O32" s="40">
        <f t="shared" si="35"/>
        <v>88.72563718140928</v>
      </c>
      <c r="P32" s="43">
        <v>82</v>
      </c>
      <c r="Q32" s="43">
        <v>68.2</v>
      </c>
      <c r="R32" s="40">
        <f t="shared" si="36"/>
        <v>83.17073170731707</v>
      </c>
      <c r="S32" s="43">
        <v>127.6</v>
      </c>
      <c r="T32" s="43">
        <v>117.8</v>
      </c>
      <c r="U32" s="40">
        <f t="shared" si="37"/>
        <v>92.31974921630093</v>
      </c>
      <c r="V32" s="43">
        <v>130.7</v>
      </c>
      <c r="W32" s="43">
        <v>120.1</v>
      </c>
      <c r="X32" s="40">
        <f t="shared" si="38"/>
        <v>91.88982402448356</v>
      </c>
      <c r="Y32" s="44">
        <f t="shared" si="13"/>
        <v>340.29999999999995</v>
      </c>
      <c r="Z32" s="44">
        <f t="shared" si="14"/>
        <v>306.1</v>
      </c>
      <c r="AA32" s="40">
        <f t="shared" si="39"/>
        <v>89.95004407875406</v>
      </c>
      <c r="AB32" s="43">
        <v>141.3</v>
      </c>
      <c r="AC32" s="43">
        <v>120.2</v>
      </c>
      <c r="AD32" s="40">
        <f t="shared" si="2"/>
        <v>85.06723283793347</v>
      </c>
      <c r="AE32" s="43">
        <v>120.4</v>
      </c>
      <c r="AF32" s="43">
        <v>131.3</v>
      </c>
      <c r="AG32" s="40">
        <f t="shared" si="3"/>
        <v>109.0531561461794</v>
      </c>
      <c r="AH32" s="43"/>
      <c r="AI32" s="43"/>
      <c r="AJ32" s="40" t="e">
        <f t="shared" si="40"/>
        <v>#DIV/0!</v>
      </c>
      <c r="AK32" s="44">
        <f t="shared" si="44"/>
        <v>261.70000000000005</v>
      </c>
      <c r="AL32" s="44">
        <f t="shared" si="45"/>
        <v>251.5</v>
      </c>
      <c r="AM32" s="40">
        <f t="shared" si="41"/>
        <v>96.102407336645</v>
      </c>
      <c r="AN32" s="43"/>
      <c r="AO32" s="43"/>
      <c r="AP32" s="43"/>
      <c r="AQ32" s="43"/>
      <c r="AR32" s="43"/>
      <c r="AS32" s="43"/>
      <c r="AT32" s="76">
        <f t="shared" si="24"/>
        <v>935.5</v>
      </c>
      <c r="AU32" s="76">
        <f t="shared" si="25"/>
        <v>853.5</v>
      </c>
      <c r="AV32" s="40">
        <f aca="true" t="shared" si="48" ref="AV32:AV49">AU32/AT32*100</f>
        <v>91.23463388562266</v>
      </c>
      <c r="AW32" s="44">
        <f aca="true" t="shared" si="49" ref="AW32:AW49">AT32-AU32</f>
        <v>82</v>
      </c>
      <c r="AX32" s="45">
        <f t="shared" si="21"/>
        <v>206.5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4"/>
        <v>88.74841972187106</v>
      </c>
      <c r="G33" s="43">
        <v>73.9</v>
      </c>
      <c r="H33" s="43">
        <v>83.4</v>
      </c>
      <c r="I33" s="41">
        <f t="shared" si="6"/>
        <v>112.8552097428958</v>
      </c>
      <c r="J33" s="43">
        <v>77.9</v>
      </c>
      <c r="K33" s="43">
        <v>78.2</v>
      </c>
      <c r="L33" s="40">
        <f t="shared" si="47"/>
        <v>100.38510911424903</v>
      </c>
      <c r="M33" s="44">
        <f t="shared" si="8"/>
        <v>230.9</v>
      </c>
      <c r="N33" s="44">
        <f t="shared" si="9"/>
        <v>231.8</v>
      </c>
      <c r="O33" s="40">
        <f t="shared" si="35"/>
        <v>100.3897791251624</v>
      </c>
      <c r="P33" s="43">
        <v>78.9</v>
      </c>
      <c r="Q33" s="43">
        <v>89.2</v>
      </c>
      <c r="R33" s="40">
        <f t="shared" si="36"/>
        <v>113.05449936628645</v>
      </c>
      <c r="S33" s="43">
        <v>79.1</v>
      </c>
      <c r="T33" s="43">
        <v>73.7</v>
      </c>
      <c r="U33" s="40">
        <f t="shared" si="37"/>
        <v>93.173198482933</v>
      </c>
      <c r="V33" s="43">
        <v>82.6</v>
      </c>
      <c r="W33" s="43">
        <v>72.4</v>
      </c>
      <c r="X33" s="48">
        <f t="shared" si="38"/>
        <v>87.65133171912835</v>
      </c>
      <c r="Y33" s="44">
        <f t="shared" si="13"/>
        <v>240.6</v>
      </c>
      <c r="Z33" s="44">
        <f t="shared" si="14"/>
        <v>235.3</v>
      </c>
      <c r="AA33" s="40">
        <f t="shared" si="39"/>
        <v>97.79717373233584</v>
      </c>
      <c r="AB33" s="43">
        <v>95.7</v>
      </c>
      <c r="AC33" s="43">
        <v>87.2</v>
      </c>
      <c r="AD33" s="40">
        <f t="shared" si="2"/>
        <v>91.11807732497388</v>
      </c>
      <c r="AE33" s="43">
        <v>91</v>
      </c>
      <c r="AF33" s="43">
        <v>84.1</v>
      </c>
      <c r="AG33" s="40">
        <f t="shared" si="3"/>
        <v>92.41758241758241</v>
      </c>
      <c r="AH33" s="43"/>
      <c r="AI33" s="43"/>
      <c r="AJ33" s="40" t="e">
        <f t="shared" si="40"/>
        <v>#DIV/0!</v>
      </c>
      <c r="AK33" s="44">
        <f t="shared" si="44"/>
        <v>186.7</v>
      </c>
      <c r="AL33" s="44">
        <f t="shared" si="45"/>
        <v>171.3</v>
      </c>
      <c r="AM33" s="40">
        <f t="shared" si="41"/>
        <v>91.75147295125872</v>
      </c>
      <c r="AN33" s="43"/>
      <c r="AO33" s="43"/>
      <c r="AP33" s="43"/>
      <c r="AQ33" s="43"/>
      <c r="AR33" s="43"/>
      <c r="AS33" s="43"/>
      <c r="AT33" s="76">
        <f t="shared" si="24"/>
        <v>658.2</v>
      </c>
      <c r="AU33" s="76">
        <f t="shared" si="25"/>
        <v>638.4000000000001</v>
      </c>
      <c r="AV33" s="40">
        <f t="shared" si="48"/>
        <v>96.99179580674567</v>
      </c>
      <c r="AW33" s="44">
        <f t="shared" si="49"/>
        <v>19.799999999999955</v>
      </c>
      <c r="AX33" s="45">
        <f t="shared" si="21"/>
        <v>208.5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4"/>
        <v>#DIV/0!</v>
      </c>
      <c r="G34" s="43"/>
      <c r="H34" s="43"/>
      <c r="I34" s="41" t="e">
        <f t="shared" si="6"/>
        <v>#DIV/0!</v>
      </c>
      <c r="J34" s="43"/>
      <c r="K34" s="43"/>
      <c r="L34" s="40" t="e">
        <f t="shared" si="47"/>
        <v>#DIV/0!</v>
      </c>
      <c r="M34" s="44">
        <f t="shared" si="8"/>
        <v>0</v>
      </c>
      <c r="N34" s="44">
        <f t="shared" si="9"/>
        <v>0</v>
      </c>
      <c r="O34" s="40" t="e">
        <f t="shared" si="35"/>
        <v>#DIV/0!</v>
      </c>
      <c r="P34" s="43"/>
      <c r="Q34" s="43"/>
      <c r="R34" s="40" t="e">
        <f t="shared" si="36"/>
        <v>#DIV/0!</v>
      </c>
      <c r="S34" s="43"/>
      <c r="T34" s="43"/>
      <c r="U34" s="40" t="e">
        <f t="shared" si="37"/>
        <v>#DIV/0!</v>
      </c>
      <c r="V34" s="43"/>
      <c r="W34" s="43"/>
      <c r="X34" s="40" t="e">
        <f t="shared" si="38"/>
        <v>#DIV/0!</v>
      </c>
      <c r="Y34" s="44">
        <f t="shared" si="13"/>
        <v>0</v>
      </c>
      <c r="Z34" s="44">
        <f t="shared" si="14"/>
        <v>0</v>
      </c>
      <c r="AA34" s="40" t="e">
        <f t="shared" si="39"/>
        <v>#DIV/0!</v>
      </c>
      <c r="AB34" s="43"/>
      <c r="AC34" s="43"/>
      <c r="AD34" s="40" t="e">
        <f t="shared" si="2"/>
        <v>#DIV/0!</v>
      </c>
      <c r="AE34" s="43"/>
      <c r="AF34" s="43"/>
      <c r="AG34" s="40" t="e">
        <f t="shared" si="3"/>
        <v>#DIV/0!</v>
      </c>
      <c r="AH34" s="43"/>
      <c r="AI34" s="43"/>
      <c r="AJ34" s="40" t="e">
        <f t="shared" si="40"/>
        <v>#DIV/0!</v>
      </c>
      <c r="AK34" s="44">
        <f t="shared" si="44"/>
        <v>0</v>
      </c>
      <c r="AL34" s="44">
        <f t="shared" si="45"/>
        <v>0</v>
      </c>
      <c r="AM34" s="40" t="e">
        <f t="shared" si="41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5"/>
        <v>0</v>
      </c>
      <c r="AV34" s="40" t="e">
        <f t="shared" si="48"/>
        <v>#DIV/0!</v>
      </c>
      <c r="AW34" s="44">
        <f t="shared" si="49"/>
        <v>0</v>
      </c>
      <c r="AX34" s="45">
        <f t="shared" si="21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4"/>
        <v>99.52390983779227</v>
      </c>
      <c r="G35" s="43">
        <v>2412.2</v>
      </c>
      <c r="H35" s="43">
        <v>2307.5</v>
      </c>
      <c r="I35" s="41">
        <f t="shared" si="6"/>
        <v>95.65956388359174</v>
      </c>
      <c r="J35" s="43">
        <v>3297.1</v>
      </c>
      <c r="K35" s="43">
        <v>2436.5</v>
      </c>
      <c r="L35" s="40">
        <f t="shared" si="47"/>
        <v>73.89827424099967</v>
      </c>
      <c r="M35" s="44">
        <f t="shared" si="8"/>
        <v>8082.799999999999</v>
      </c>
      <c r="N35" s="44">
        <f t="shared" si="9"/>
        <v>7106.2</v>
      </c>
      <c r="O35" s="40">
        <f t="shared" si="35"/>
        <v>87.91755332310586</v>
      </c>
      <c r="P35" s="43">
        <v>3541.1</v>
      </c>
      <c r="Q35" s="43">
        <v>2999.8</v>
      </c>
      <c r="R35" s="40">
        <f t="shared" si="36"/>
        <v>84.71378950043771</v>
      </c>
      <c r="S35" s="43">
        <v>3332.7</v>
      </c>
      <c r="T35" s="43">
        <v>3163</v>
      </c>
      <c r="U35" s="40">
        <f t="shared" si="37"/>
        <v>94.90803252617998</v>
      </c>
      <c r="V35" s="43">
        <v>3644.7</v>
      </c>
      <c r="W35" s="43">
        <v>3198.7</v>
      </c>
      <c r="X35" s="40">
        <f t="shared" si="38"/>
        <v>87.76305320053777</v>
      </c>
      <c r="Y35" s="44">
        <f t="shared" si="13"/>
        <v>10518.5</v>
      </c>
      <c r="Z35" s="44">
        <f t="shared" si="14"/>
        <v>9361.5</v>
      </c>
      <c r="AA35" s="40">
        <f t="shared" si="39"/>
        <v>89.00033274706469</v>
      </c>
      <c r="AB35" s="43">
        <v>3231</v>
      </c>
      <c r="AC35" s="43">
        <v>3381.8</v>
      </c>
      <c r="AD35" s="40">
        <f t="shared" si="2"/>
        <v>104.6672856700712</v>
      </c>
      <c r="AE35" s="43">
        <v>3632.4</v>
      </c>
      <c r="AF35" s="43">
        <v>3492.4</v>
      </c>
      <c r="AG35" s="40">
        <f t="shared" si="3"/>
        <v>96.1457989208237</v>
      </c>
      <c r="AH35" s="43"/>
      <c r="AI35" s="43"/>
      <c r="AJ35" s="40" t="e">
        <f t="shared" si="40"/>
        <v>#DIV/0!</v>
      </c>
      <c r="AK35" s="44">
        <f t="shared" si="44"/>
        <v>6863.4</v>
      </c>
      <c r="AL35" s="44">
        <f t="shared" si="45"/>
        <v>6874.200000000001</v>
      </c>
      <c r="AM35" s="40">
        <f t="shared" si="41"/>
        <v>100.15735641227381</v>
      </c>
      <c r="AN35" s="43"/>
      <c r="AO35" s="43"/>
      <c r="AP35" s="43"/>
      <c r="AQ35" s="43"/>
      <c r="AR35" s="43"/>
      <c r="AS35" s="43"/>
      <c r="AT35" s="76">
        <f t="shared" si="24"/>
        <v>25464.699999999997</v>
      </c>
      <c r="AU35" s="76">
        <f t="shared" si="25"/>
        <v>23341.9</v>
      </c>
      <c r="AV35" s="40">
        <f t="shared" si="48"/>
        <v>91.66375413808136</v>
      </c>
      <c r="AW35" s="44">
        <f t="shared" si="49"/>
        <v>2122.7999999999956</v>
      </c>
      <c r="AX35" s="45">
        <f t="shared" si="21"/>
        <v>7974.199999999997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4"/>
        <v>92.80575539568345</v>
      </c>
      <c r="G36" s="43">
        <v>23.5</v>
      </c>
      <c r="H36" s="43">
        <v>19.7</v>
      </c>
      <c r="I36" s="41">
        <f t="shared" si="6"/>
        <v>83.82978723404256</v>
      </c>
      <c r="J36" s="43">
        <v>26.9</v>
      </c>
      <c r="K36" s="43">
        <v>21.7</v>
      </c>
      <c r="L36" s="40">
        <f t="shared" si="47"/>
        <v>80.66914498141264</v>
      </c>
      <c r="M36" s="44">
        <f t="shared" si="8"/>
        <v>78.19999999999999</v>
      </c>
      <c r="N36" s="44">
        <f t="shared" si="9"/>
        <v>67.2</v>
      </c>
      <c r="O36" s="40">
        <f t="shared" si="35"/>
        <v>85.93350383631714</v>
      </c>
      <c r="P36" s="43">
        <v>25.7</v>
      </c>
      <c r="Q36" s="43">
        <v>15.7</v>
      </c>
      <c r="R36" s="40">
        <f t="shared" si="36"/>
        <v>61.08949416342412</v>
      </c>
      <c r="S36" s="43">
        <v>24.8</v>
      </c>
      <c r="T36" s="43">
        <v>22.7</v>
      </c>
      <c r="U36" s="40">
        <f t="shared" si="37"/>
        <v>91.53225806451613</v>
      </c>
      <c r="V36" s="43">
        <v>35.9</v>
      </c>
      <c r="W36" s="43">
        <v>25.2</v>
      </c>
      <c r="X36" s="40">
        <f t="shared" si="38"/>
        <v>70.1949860724234</v>
      </c>
      <c r="Y36" s="44">
        <f t="shared" si="13"/>
        <v>86.4</v>
      </c>
      <c r="Z36" s="44">
        <f t="shared" si="14"/>
        <v>63.599999999999994</v>
      </c>
      <c r="AA36" s="40">
        <f t="shared" si="39"/>
        <v>73.6111111111111</v>
      </c>
      <c r="AB36" s="43">
        <v>36.2</v>
      </c>
      <c r="AC36" s="43">
        <v>28.9</v>
      </c>
      <c r="AD36" s="40">
        <f t="shared" si="2"/>
        <v>79.8342541436464</v>
      </c>
      <c r="AE36" s="43">
        <v>28</v>
      </c>
      <c r="AF36" s="43">
        <v>20.1</v>
      </c>
      <c r="AG36" s="40">
        <f t="shared" si="3"/>
        <v>71.78571428571429</v>
      </c>
      <c r="AH36" s="43"/>
      <c r="AI36" s="43"/>
      <c r="AJ36" s="40" t="e">
        <f t="shared" si="40"/>
        <v>#DIV/0!</v>
      </c>
      <c r="AK36" s="44">
        <f t="shared" si="44"/>
        <v>64.2</v>
      </c>
      <c r="AL36" s="44">
        <f t="shared" si="45"/>
        <v>49</v>
      </c>
      <c r="AM36" s="40">
        <f t="shared" si="41"/>
        <v>76.32398753894081</v>
      </c>
      <c r="AN36" s="43"/>
      <c r="AO36" s="43"/>
      <c r="AP36" s="43"/>
      <c r="AQ36" s="43"/>
      <c r="AR36" s="43"/>
      <c r="AS36" s="43"/>
      <c r="AT36" s="76">
        <f t="shared" si="24"/>
        <v>228.8</v>
      </c>
      <c r="AU36" s="76">
        <f t="shared" si="25"/>
        <v>179.8</v>
      </c>
      <c r="AV36" s="40">
        <f t="shared" si="48"/>
        <v>78.58391608391608</v>
      </c>
      <c r="AW36" s="44">
        <f t="shared" si="49"/>
        <v>49</v>
      </c>
      <c r="AX36" s="45">
        <f t="shared" si="21"/>
        <v>253.3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20.1</v>
      </c>
      <c r="D37" s="43">
        <v>8.7</v>
      </c>
      <c r="E37" s="43">
        <v>8.7</v>
      </c>
      <c r="F37" s="41">
        <f t="shared" si="34"/>
        <v>100</v>
      </c>
      <c r="G37" s="43">
        <v>8.7</v>
      </c>
      <c r="H37" s="43">
        <v>8.7</v>
      </c>
      <c r="I37" s="41">
        <f t="shared" si="6"/>
        <v>100</v>
      </c>
      <c r="J37" s="43">
        <v>8.7</v>
      </c>
      <c r="K37" s="43">
        <v>8.7</v>
      </c>
      <c r="L37" s="40">
        <f t="shared" si="47"/>
        <v>100</v>
      </c>
      <c r="M37" s="44">
        <f t="shared" si="8"/>
        <v>26.099999999999998</v>
      </c>
      <c r="N37" s="44">
        <f t="shared" si="9"/>
        <v>26.099999999999998</v>
      </c>
      <c r="O37" s="40">
        <f t="shared" si="35"/>
        <v>100</v>
      </c>
      <c r="P37" s="43">
        <v>8.8</v>
      </c>
      <c r="Q37" s="43">
        <v>9</v>
      </c>
      <c r="R37" s="40">
        <f t="shared" si="36"/>
        <v>102.27272727272727</v>
      </c>
      <c r="S37" s="43">
        <v>8.9</v>
      </c>
      <c r="T37" s="43">
        <v>9</v>
      </c>
      <c r="U37" s="40">
        <f t="shared" si="37"/>
        <v>101.12359550561798</v>
      </c>
      <c r="V37" s="43"/>
      <c r="W37" s="43"/>
      <c r="X37" s="40" t="e">
        <f t="shared" si="38"/>
        <v>#DIV/0!</v>
      </c>
      <c r="Y37" s="44">
        <f t="shared" si="13"/>
        <v>17.700000000000003</v>
      </c>
      <c r="Z37" s="44">
        <f t="shared" si="14"/>
        <v>18</v>
      </c>
      <c r="AA37" s="40">
        <f t="shared" si="39"/>
        <v>101.69491525423726</v>
      </c>
      <c r="AB37" s="43"/>
      <c r="AC37" s="43"/>
      <c r="AD37" s="40" t="e">
        <f t="shared" si="2"/>
        <v>#DIV/0!</v>
      </c>
      <c r="AE37" s="43"/>
      <c r="AF37" s="43"/>
      <c r="AG37" s="40" t="e">
        <f t="shared" si="3"/>
        <v>#DIV/0!</v>
      </c>
      <c r="AH37" s="43"/>
      <c r="AI37" s="43"/>
      <c r="AJ37" s="40" t="e">
        <f t="shared" si="40"/>
        <v>#DIV/0!</v>
      </c>
      <c r="AK37" s="44">
        <f t="shared" si="44"/>
        <v>0</v>
      </c>
      <c r="AL37" s="44">
        <f t="shared" si="45"/>
        <v>0</v>
      </c>
      <c r="AM37" s="40" t="e">
        <f t="shared" si="41"/>
        <v>#DIV/0!</v>
      </c>
      <c r="AN37" s="43"/>
      <c r="AO37" s="43"/>
      <c r="AP37" s="43"/>
      <c r="AQ37" s="43"/>
      <c r="AR37" s="43"/>
      <c r="AS37" s="43"/>
      <c r="AT37" s="76">
        <f t="shared" si="24"/>
        <v>43.8</v>
      </c>
      <c r="AU37" s="76">
        <f t="shared" si="25"/>
        <v>44.099999999999994</v>
      </c>
      <c r="AV37" s="40">
        <f t="shared" si="48"/>
        <v>100.68493150684932</v>
      </c>
      <c r="AW37" s="44">
        <f t="shared" si="49"/>
        <v>-0.29999999999999716</v>
      </c>
      <c r="AX37" s="45">
        <f t="shared" si="21"/>
        <v>19.800000000000004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4"/>
        <v>94.86215538847118</v>
      </c>
      <c r="G38" s="43">
        <v>334.1</v>
      </c>
      <c r="H38" s="43">
        <v>307.6</v>
      </c>
      <c r="I38" s="41">
        <f t="shared" si="6"/>
        <v>92.06824304100569</v>
      </c>
      <c r="J38" s="43">
        <v>322.4</v>
      </c>
      <c r="K38" s="43">
        <v>320</v>
      </c>
      <c r="L38" s="40">
        <f t="shared" si="47"/>
        <v>99.25558312655087</v>
      </c>
      <c r="M38" s="44">
        <f t="shared" si="8"/>
        <v>975.6999999999999</v>
      </c>
      <c r="N38" s="44">
        <f t="shared" si="9"/>
        <v>930.4000000000001</v>
      </c>
      <c r="O38" s="40">
        <f t="shared" si="35"/>
        <v>95.35717946089989</v>
      </c>
      <c r="P38" s="43">
        <v>305.9</v>
      </c>
      <c r="Q38" s="43">
        <v>321.8</v>
      </c>
      <c r="R38" s="40">
        <f t="shared" si="36"/>
        <v>105.19777705132398</v>
      </c>
      <c r="S38" s="43">
        <v>326.8</v>
      </c>
      <c r="T38" s="43">
        <v>309.4</v>
      </c>
      <c r="U38" s="40">
        <f t="shared" si="37"/>
        <v>94.67564259485923</v>
      </c>
      <c r="V38" s="43">
        <v>385</v>
      </c>
      <c r="W38" s="43">
        <v>312.8</v>
      </c>
      <c r="X38" s="40">
        <f t="shared" si="38"/>
        <v>81.24675324675324</v>
      </c>
      <c r="Y38" s="44">
        <f t="shared" si="13"/>
        <v>1017.7</v>
      </c>
      <c r="Z38" s="44">
        <f t="shared" si="14"/>
        <v>944</v>
      </c>
      <c r="AA38" s="40">
        <f t="shared" si="39"/>
        <v>92.75818021027807</v>
      </c>
      <c r="AB38" s="43">
        <v>343.1</v>
      </c>
      <c r="AC38" s="43">
        <v>349.6</v>
      </c>
      <c r="AD38" s="40">
        <f t="shared" si="2"/>
        <v>101.89449140192363</v>
      </c>
      <c r="AE38" s="43">
        <v>490.3</v>
      </c>
      <c r="AF38" s="43">
        <v>372.9</v>
      </c>
      <c r="AG38" s="40">
        <f t="shared" si="3"/>
        <v>76.05547623903732</v>
      </c>
      <c r="AH38" s="43"/>
      <c r="AI38" s="43"/>
      <c r="AJ38" s="40" t="e">
        <f t="shared" si="40"/>
        <v>#DIV/0!</v>
      </c>
      <c r="AK38" s="44">
        <f t="shared" si="44"/>
        <v>833.4000000000001</v>
      </c>
      <c r="AL38" s="44">
        <f t="shared" si="45"/>
        <v>722.5</v>
      </c>
      <c r="AM38" s="40">
        <f t="shared" si="41"/>
        <v>86.69306455483562</v>
      </c>
      <c r="AN38" s="43"/>
      <c r="AO38" s="43"/>
      <c r="AP38" s="43"/>
      <c r="AQ38" s="43"/>
      <c r="AR38" s="43"/>
      <c r="AS38" s="43"/>
      <c r="AT38" s="76">
        <f t="shared" si="24"/>
        <v>2826.8</v>
      </c>
      <c r="AU38" s="76">
        <f t="shared" si="25"/>
        <v>2596.9</v>
      </c>
      <c r="AV38" s="40">
        <f t="shared" si="48"/>
        <v>91.86712890901372</v>
      </c>
      <c r="AW38" s="44">
        <f t="shared" si="49"/>
        <v>229.9000000000001</v>
      </c>
      <c r="AX38" s="45">
        <f t="shared" si="21"/>
        <v>684.5999999999999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4"/>
        <v>83.31630957801596</v>
      </c>
      <c r="G39" s="57">
        <f>SUM(G40:G44)</f>
        <v>8351.1</v>
      </c>
      <c r="H39" s="57">
        <f>SUM(H40:H44)</f>
        <v>6857.9</v>
      </c>
      <c r="I39" s="41">
        <f t="shared" si="6"/>
        <v>82.11972075534959</v>
      </c>
      <c r="J39" s="57">
        <f>SUM(J40:J44)</f>
        <v>7035.1</v>
      </c>
      <c r="K39" s="57">
        <f>SUM(K40:K44)</f>
        <v>7119</v>
      </c>
      <c r="L39" s="40">
        <f t="shared" si="47"/>
        <v>101.19259143437904</v>
      </c>
      <c r="M39" s="40">
        <f t="shared" si="8"/>
        <v>23512.1</v>
      </c>
      <c r="N39" s="40">
        <f t="shared" si="9"/>
        <v>20747.1</v>
      </c>
      <c r="O39" s="40">
        <f t="shared" si="35"/>
        <v>88.24009765184735</v>
      </c>
      <c r="P39" s="57">
        <f aca="true" t="shared" si="50" ref="P39:W39">SUM(P40:P44)</f>
        <v>7741.8</v>
      </c>
      <c r="Q39" s="57">
        <f t="shared" si="50"/>
        <v>6564.799999999999</v>
      </c>
      <c r="R39" s="57" t="e">
        <f t="shared" si="50"/>
        <v>#DIV/0!</v>
      </c>
      <c r="S39" s="57">
        <f t="shared" si="50"/>
        <v>8365.199999999999</v>
      </c>
      <c r="T39" s="57">
        <f t="shared" si="50"/>
        <v>6910.699999999999</v>
      </c>
      <c r="U39" s="57" t="e">
        <f t="shared" si="50"/>
        <v>#DIV/0!</v>
      </c>
      <c r="V39" s="57">
        <f t="shared" si="50"/>
        <v>7782.9000000000015</v>
      </c>
      <c r="W39" s="57">
        <f t="shared" si="50"/>
        <v>6735.8</v>
      </c>
      <c r="X39" s="40">
        <f t="shared" si="38"/>
        <v>86.54614603810917</v>
      </c>
      <c r="Y39" s="40">
        <f t="shared" si="13"/>
        <v>23889.9</v>
      </c>
      <c r="Z39" s="40">
        <f t="shared" si="14"/>
        <v>20211.3</v>
      </c>
      <c r="AA39" s="40">
        <f t="shared" si="39"/>
        <v>84.60186103750956</v>
      </c>
      <c r="AB39" s="57">
        <f aca="true" t="shared" si="51" ref="AB39:AI39">SUM(AB40:AB44)</f>
        <v>7353.4</v>
      </c>
      <c r="AC39" s="57">
        <f t="shared" si="51"/>
        <v>7186.5</v>
      </c>
      <c r="AD39" s="40">
        <f t="shared" si="2"/>
        <v>97.73030162917834</v>
      </c>
      <c r="AE39" s="57">
        <f t="shared" si="51"/>
        <v>7984.4</v>
      </c>
      <c r="AF39" s="57">
        <f t="shared" si="51"/>
        <v>7204.5</v>
      </c>
      <c r="AG39" s="40">
        <f t="shared" si="3"/>
        <v>90.23220279545113</v>
      </c>
      <c r="AH39" s="57">
        <f t="shared" si="51"/>
        <v>0</v>
      </c>
      <c r="AI39" s="57">
        <f t="shared" si="51"/>
        <v>0</v>
      </c>
      <c r="AJ39" s="40" t="e">
        <f t="shared" si="40"/>
        <v>#DIV/0!</v>
      </c>
      <c r="AK39" s="40">
        <f t="shared" si="44"/>
        <v>15337.8</v>
      </c>
      <c r="AL39" s="40">
        <f t="shared" si="45"/>
        <v>14391</v>
      </c>
      <c r="AM39" s="40">
        <f t="shared" si="41"/>
        <v>93.82701560849665</v>
      </c>
      <c r="AN39" s="57">
        <f aca="true" t="shared" si="52" ref="AN39:AS39">SUM(AN40:AN44)</f>
        <v>0</v>
      </c>
      <c r="AO39" s="57">
        <f t="shared" si="52"/>
        <v>0</v>
      </c>
      <c r="AP39" s="57">
        <f t="shared" si="52"/>
        <v>0</v>
      </c>
      <c r="AQ39" s="57">
        <f t="shared" si="52"/>
        <v>0</v>
      </c>
      <c r="AR39" s="57">
        <f t="shared" si="52"/>
        <v>0</v>
      </c>
      <c r="AS39" s="57">
        <f t="shared" si="52"/>
        <v>0</v>
      </c>
      <c r="AT39" s="39">
        <f t="shared" si="24"/>
        <v>62739.8</v>
      </c>
      <c r="AU39" s="39">
        <f t="shared" si="25"/>
        <v>55349.399999999994</v>
      </c>
      <c r="AV39" s="40">
        <f t="shared" si="48"/>
        <v>88.22055537314431</v>
      </c>
      <c r="AW39" s="40">
        <f t="shared" si="49"/>
        <v>7390.400000000009</v>
      </c>
      <c r="AX39" s="61">
        <f t="shared" si="21"/>
        <v>57649.3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4"/>
        <v>#DIV/0!</v>
      </c>
      <c r="G40" s="43"/>
      <c r="H40" s="43"/>
      <c r="I40" s="41" t="e">
        <f t="shared" si="6"/>
        <v>#DIV/0!</v>
      </c>
      <c r="J40" s="43"/>
      <c r="K40" s="43"/>
      <c r="L40" s="49" t="e">
        <f t="shared" si="47"/>
        <v>#DIV/0!</v>
      </c>
      <c r="M40" s="44">
        <f aca="true" t="shared" si="53" ref="M40:M71">D40+G40+J40</f>
        <v>0</v>
      </c>
      <c r="N40" s="44">
        <f aca="true" t="shared" si="54" ref="N40:N71">E40+H40+K40</f>
        <v>0</v>
      </c>
      <c r="O40" s="40" t="e">
        <f t="shared" si="35"/>
        <v>#DIV/0!</v>
      </c>
      <c r="P40" s="43"/>
      <c r="Q40" s="43"/>
      <c r="R40" s="40" t="e">
        <f t="shared" si="36"/>
        <v>#DIV/0!</v>
      </c>
      <c r="S40" s="43"/>
      <c r="T40" s="43"/>
      <c r="U40" s="40" t="e">
        <f t="shared" si="37"/>
        <v>#DIV/0!</v>
      </c>
      <c r="V40" s="43"/>
      <c r="W40" s="43"/>
      <c r="X40" s="48" t="e">
        <f t="shared" si="38"/>
        <v>#DIV/0!</v>
      </c>
      <c r="Y40" s="44">
        <f aca="true" t="shared" si="55" ref="Y40:Y71">P40+S40+V40</f>
        <v>0</v>
      </c>
      <c r="Z40" s="44">
        <f aca="true" t="shared" si="56" ref="Z40:Z71">Q40+T40+W40</f>
        <v>0</v>
      </c>
      <c r="AA40" s="40" t="e">
        <f t="shared" si="39"/>
        <v>#DIV/0!</v>
      </c>
      <c r="AB40" s="43"/>
      <c r="AC40" s="43"/>
      <c r="AD40" s="40" t="e">
        <f t="shared" si="2"/>
        <v>#DIV/0!</v>
      </c>
      <c r="AE40" s="43"/>
      <c r="AF40" s="43"/>
      <c r="AG40" s="40" t="e">
        <f t="shared" si="3"/>
        <v>#DIV/0!</v>
      </c>
      <c r="AH40" s="43"/>
      <c r="AI40" s="43"/>
      <c r="AJ40" s="40" t="e">
        <f t="shared" si="40"/>
        <v>#DIV/0!</v>
      </c>
      <c r="AK40" s="44">
        <f t="shared" si="44"/>
        <v>0</v>
      </c>
      <c r="AL40" s="44">
        <f t="shared" si="45"/>
        <v>0</v>
      </c>
      <c r="AM40" s="40" t="e">
        <f t="shared" si="41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5"/>
        <v>0</v>
      </c>
      <c r="AV40" s="40" t="e">
        <f t="shared" si="48"/>
        <v>#DIV/0!</v>
      </c>
      <c r="AW40" s="44">
        <f t="shared" si="49"/>
        <v>0</v>
      </c>
      <c r="AX40" s="45">
        <f aca="true" t="shared" si="57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4"/>
        <v>96.18684461391803</v>
      </c>
      <c r="G41" s="73">
        <v>95.3</v>
      </c>
      <c r="H41" s="73">
        <v>101.6</v>
      </c>
      <c r="I41" s="74">
        <f t="shared" si="6"/>
        <v>106.61070304302203</v>
      </c>
      <c r="J41" s="73">
        <v>95.6</v>
      </c>
      <c r="K41" s="73">
        <v>99</v>
      </c>
      <c r="L41" s="38">
        <f t="shared" si="47"/>
        <v>103.55648535564855</v>
      </c>
      <c r="M41" s="75">
        <f t="shared" si="53"/>
        <v>295.79999999999995</v>
      </c>
      <c r="N41" s="75">
        <f t="shared" si="54"/>
        <v>301.5</v>
      </c>
      <c r="O41" s="38">
        <f t="shared" si="35"/>
        <v>101.9269776876268</v>
      </c>
      <c r="P41" s="73">
        <v>117.1</v>
      </c>
      <c r="Q41" s="73">
        <v>86.5</v>
      </c>
      <c r="R41" s="38">
        <f t="shared" si="36"/>
        <v>73.86848847139198</v>
      </c>
      <c r="S41" s="73">
        <v>100.7</v>
      </c>
      <c r="T41" s="73">
        <v>110.4</v>
      </c>
      <c r="U41" s="38">
        <f t="shared" si="37"/>
        <v>109.6325719960278</v>
      </c>
      <c r="V41" s="73">
        <v>104.1</v>
      </c>
      <c r="W41" s="73">
        <v>97.3</v>
      </c>
      <c r="X41" s="38">
        <f t="shared" si="38"/>
        <v>93.46781940441883</v>
      </c>
      <c r="Y41" s="75">
        <f t="shared" si="55"/>
        <v>321.9</v>
      </c>
      <c r="Z41" s="75">
        <f t="shared" si="56"/>
        <v>294.2</v>
      </c>
      <c r="AA41" s="38">
        <f t="shared" si="39"/>
        <v>91.39484311898104</v>
      </c>
      <c r="AB41" s="73">
        <v>120.3</v>
      </c>
      <c r="AC41" s="73">
        <v>112.8</v>
      </c>
      <c r="AD41" s="40">
        <f t="shared" si="2"/>
        <v>93.76558603491272</v>
      </c>
      <c r="AE41" s="73">
        <v>109.9</v>
      </c>
      <c r="AF41" s="73">
        <v>105.4</v>
      </c>
      <c r="AG41" s="40">
        <f t="shared" si="3"/>
        <v>95.90536851683349</v>
      </c>
      <c r="AH41" s="73"/>
      <c r="AI41" s="73"/>
      <c r="AJ41" s="38" t="e">
        <f t="shared" si="40"/>
        <v>#DIV/0!</v>
      </c>
      <c r="AK41" s="75">
        <f t="shared" si="44"/>
        <v>230.2</v>
      </c>
      <c r="AL41" s="75">
        <f t="shared" si="45"/>
        <v>218.2</v>
      </c>
      <c r="AM41" s="38">
        <f t="shared" si="41"/>
        <v>94.7871416159861</v>
      </c>
      <c r="AN41" s="73"/>
      <c r="AO41" s="73"/>
      <c r="AP41" s="73"/>
      <c r="AQ41" s="73"/>
      <c r="AR41" s="73"/>
      <c r="AS41" s="73"/>
      <c r="AT41" s="76">
        <f t="shared" si="24"/>
        <v>847.8999999999999</v>
      </c>
      <c r="AU41" s="76">
        <f t="shared" si="25"/>
        <v>813.9000000000001</v>
      </c>
      <c r="AV41" s="38">
        <f t="shared" si="48"/>
        <v>95.99009317136458</v>
      </c>
      <c r="AW41" s="75">
        <f t="shared" si="49"/>
        <v>33.99999999999977</v>
      </c>
      <c r="AX41" s="77">
        <f t="shared" si="57"/>
        <v>142.69999999999982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4"/>
        <v>85.42746113989635</v>
      </c>
      <c r="G42" s="43">
        <f>4429.5+486.8</f>
        <v>4916.3</v>
      </c>
      <c r="H42" s="43">
        <f>3965.7+482.3</f>
        <v>4448</v>
      </c>
      <c r="I42" s="41">
        <f t="shared" si="6"/>
        <v>90.47454386428818</v>
      </c>
      <c r="J42" s="43">
        <f>3866.1+449.7</f>
        <v>4315.8</v>
      </c>
      <c r="K42" s="43">
        <f>4009+499.3</f>
        <v>4508.3</v>
      </c>
      <c r="L42" s="40">
        <f t="shared" si="47"/>
        <v>104.46035497474398</v>
      </c>
      <c r="M42" s="44">
        <f t="shared" si="53"/>
        <v>14481.7</v>
      </c>
      <c r="N42" s="44">
        <f t="shared" si="54"/>
        <v>13440.899999999998</v>
      </c>
      <c r="O42" s="40">
        <f t="shared" si="35"/>
        <v>92.81299847393605</v>
      </c>
      <c r="P42" s="43">
        <f>4381+469</f>
        <v>4850</v>
      </c>
      <c r="Q42" s="43">
        <f>3687.3+436.9</f>
        <v>4124.2</v>
      </c>
      <c r="R42" s="40">
        <f t="shared" si="36"/>
        <v>85.03505154639174</v>
      </c>
      <c r="S42" s="43">
        <f>4426.7+484.2</f>
        <v>4910.9</v>
      </c>
      <c r="T42" s="43">
        <f>3860.3+471.4</f>
        <v>4331.7</v>
      </c>
      <c r="U42" s="40">
        <f t="shared" si="37"/>
        <v>88.2058278523285</v>
      </c>
      <c r="V42" s="43">
        <f>456.1+4475.3</f>
        <v>4931.400000000001</v>
      </c>
      <c r="W42" s="43">
        <f>429.9+3745.6</f>
        <v>4175.5</v>
      </c>
      <c r="X42" s="40">
        <f t="shared" si="38"/>
        <v>84.67169566451716</v>
      </c>
      <c r="Y42" s="44">
        <f t="shared" si="55"/>
        <v>14692.3</v>
      </c>
      <c r="Z42" s="44">
        <f t="shared" si="56"/>
        <v>12631.4</v>
      </c>
      <c r="AA42" s="40">
        <f t="shared" si="39"/>
        <v>85.97292459315425</v>
      </c>
      <c r="AB42" s="43">
        <f>4306.3+496.4</f>
        <v>4802.7</v>
      </c>
      <c r="AC42" s="43">
        <f>3921.3+572.5</f>
        <v>4493.8</v>
      </c>
      <c r="AD42" s="40">
        <f t="shared" si="2"/>
        <v>93.568201220147</v>
      </c>
      <c r="AE42" s="43">
        <f>4256.8+551.7</f>
        <v>4808.5</v>
      </c>
      <c r="AF42" s="43">
        <f>4068.5+545.8</f>
        <v>4614.3</v>
      </c>
      <c r="AG42" s="40">
        <f t="shared" si="3"/>
        <v>95.96131849849226</v>
      </c>
      <c r="AH42" s="43"/>
      <c r="AI42" s="43"/>
      <c r="AJ42" s="40" t="e">
        <f t="shared" si="40"/>
        <v>#DIV/0!</v>
      </c>
      <c r="AK42" s="44">
        <f t="shared" si="44"/>
        <v>9611.2</v>
      </c>
      <c r="AL42" s="44">
        <f t="shared" si="45"/>
        <v>9108.1</v>
      </c>
      <c r="AM42" s="40">
        <f t="shared" si="41"/>
        <v>94.76548193773931</v>
      </c>
      <c r="AN42" s="43"/>
      <c r="AO42" s="43"/>
      <c r="AP42" s="43"/>
      <c r="AQ42" s="43"/>
      <c r="AR42" s="43"/>
      <c r="AS42" s="43"/>
      <c r="AT42" s="76">
        <f t="shared" si="24"/>
        <v>38785.2</v>
      </c>
      <c r="AU42" s="76">
        <f t="shared" si="25"/>
        <v>35180.399999999994</v>
      </c>
      <c r="AV42" s="40">
        <f t="shared" si="48"/>
        <v>90.70573311469322</v>
      </c>
      <c r="AW42" s="44">
        <f t="shared" si="49"/>
        <v>3604.800000000003</v>
      </c>
      <c r="AX42" s="45">
        <f t="shared" si="57"/>
        <v>41959.70000000001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4"/>
        <v>#DIV/0!</v>
      </c>
      <c r="G43" s="52"/>
      <c r="H43" s="52"/>
      <c r="I43" s="41" t="e">
        <f t="shared" si="6"/>
        <v>#DIV/0!</v>
      </c>
      <c r="J43" s="43"/>
      <c r="K43" s="43"/>
      <c r="L43" s="53" t="e">
        <f t="shared" si="47"/>
        <v>#DIV/0!</v>
      </c>
      <c r="M43" s="44">
        <f t="shared" si="53"/>
        <v>0</v>
      </c>
      <c r="N43" s="44">
        <f t="shared" si="54"/>
        <v>0</v>
      </c>
      <c r="O43" s="40" t="e">
        <f t="shared" si="35"/>
        <v>#DIV/0!</v>
      </c>
      <c r="P43" s="43"/>
      <c r="Q43" s="43"/>
      <c r="R43" s="40" t="e">
        <f t="shared" si="36"/>
        <v>#DIV/0!</v>
      </c>
      <c r="S43" s="43"/>
      <c r="T43" s="43"/>
      <c r="U43" s="40" t="e">
        <f t="shared" si="37"/>
        <v>#DIV/0!</v>
      </c>
      <c r="V43" s="43"/>
      <c r="W43" s="43"/>
      <c r="X43" s="54" t="e">
        <f t="shared" si="38"/>
        <v>#DIV/0!</v>
      </c>
      <c r="Y43" s="44">
        <f t="shared" si="55"/>
        <v>0</v>
      </c>
      <c r="Z43" s="44">
        <f t="shared" si="56"/>
        <v>0</v>
      </c>
      <c r="AA43" s="40" t="e">
        <f t="shared" si="39"/>
        <v>#DIV/0!</v>
      </c>
      <c r="AB43" s="43"/>
      <c r="AC43" s="43"/>
      <c r="AD43" s="40" t="e">
        <f t="shared" si="2"/>
        <v>#DIV/0!</v>
      </c>
      <c r="AE43" s="43"/>
      <c r="AF43" s="43"/>
      <c r="AG43" s="40" t="e">
        <f t="shared" si="3"/>
        <v>#DIV/0!</v>
      </c>
      <c r="AH43" s="43"/>
      <c r="AI43" s="43"/>
      <c r="AJ43" s="40" t="e">
        <f t="shared" si="40"/>
        <v>#DIV/0!</v>
      </c>
      <c r="AK43" s="44">
        <f t="shared" si="44"/>
        <v>0</v>
      </c>
      <c r="AL43" s="44">
        <f t="shared" si="45"/>
        <v>0</v>
      </c>
      <c r="AM43" s="40" t="e">
        <f t="shared" si="41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5"/>
        <v>0</v>
      </c>
      <c r="AV43" s="40" t="e">
        <f t="shared" si="48"/>
        <v>#DIV/0!</v>
      </c>
      <c r="AW43" s="44">
        <f t="shared" si="49"/>
        <v>0</v>
      </c>
      <c r="AX43" s="45">
        <f t="shared" si="57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4"/>
        <v>78.83019412571264</v>
      </c>
      <c r="G44" s="43">
        <v>3339.5</v>
      </c>
      <c r="H44" s="43">
        <f>2246.1+62.2</f>
        <v>2308.2999999999997</v>
      </c>
      <c r="I44" s="41">
        <f t="shared" si="6"/>
        <v>69.12112591705343</v>
      </c>
      <c r="J44" s="43">
        <v>2623.7</v>
      </c>
      <c r="K44" s="43">
        <v>2511.7</v>
      </c>
      <c r="L44" s="53">
        <f t="shared" si="47"/>
        <v>95.73121927049586</v>
      </c>
      <c r="M44" s="44">
        <f t="shared" si="53"/>
        <v>8734.599999999999</v>
      </c>
      <c r="N44" s="44">
        <f t="shared" si="54"/>
        <v>7004.7</v>
      </c>
      <c r="O44" s="40">
        <f t="shared" si="35"/>
        <v>80.19485723444693</v>
      </c>
      <c r="P44" s="43">
        <v>2774.7</v>
      </c>
      <c r="Q44" s="43">
        <v>2354.1</v>
      </c>
      <c r="R44" s="40">
        <f t="shared" si="36"/>
        <v>84.84160449778355</v>
      </c>
      <c r="S44" s="43">
        <f>3308+20.7+24.9</f>
        <v>3353.6</v>
      </c>
      <c r="T44" s="43">
        <f>2468.5+0.1</f>
        <v>2468.6</v>
      </c>
      <c r="U44" s="40">
        <f t="shared" si="37"/>
        <v>73.61044847328245</v>
      </c>
      <c r="V44" s="43">
        <f>2701.4+19.4+26.6</f>
        <v>2747.4</v>
      </c>
      <c r="W44" s="43">
        <f>2431+15.3+16.7</f>
        <v>2463</v>
      </c>
      <c r="X44" s="54">
        <f t="shared" si="38"/>
        <v>89.64839484603625</v>
      </c>
      <c r="Y44" s="44">
        <f t="shared" si="55"/>
        <v>8875.699999999999</v>
      </c>
      <c r="Z44" s="44">
        <f t="shared" si="56"/>
        <v>7285.7</v>
      </c>
      <c r="AA44" s="40">
        <f t="shared" si="39"/>
        <v>82.08591998377594</v>
      </c>
      <c r="AB44" s="43">
        <f>2382+25.6+22.8</f>
        <v>2430.4</v>
      </c>
      <c r="AC44" s="43">
        <f>2537.3+19.2+23.4</f>
        <v>2579.9</v>
      </c>
      <c r="AD44" s="40">
        <f t="shared" si="2"/>
        <v>106.15125082290982</v>
      </c>
      <c r="AE44" s="43">
        <f>3015+24.7+26.3</f>
        <v>3066</v>
      </c>
      <c r="AF44" s="43">
        <f>2441.6+22.3+20.9</f>
        <v>2484.8</v>
      </c>
      <c r="AG44" s="40">
        <f t="shared" si="3"/>
        <v>81.0437051532942</v>
      </c>
      <c r="AH44" s="43"/>
      <c r="AI44" s="43"/>
      <c r="AJ44" s="40" t="e">
        <f t="shared" si="40"/>
        <v>#DIV/0!</v>
      </c>
      <c r="AK44" s="44">
        <f t="shared" si="44"/>
        <v>5496.4</v>
      </c>
      <c r="AL44" s="44">
        <f t="shared" si="45"/>
        <v>5064.700000000001</v>
      </c>
      <c r="AM44" s="40">
        <f t="shared" si="41"/>
        <v>92.14576813914564</v>
      </c>
      <c r="AN44" s="43"/>
      <c r="AO44" s="43"/>
      <c r="AP44" s="43"/>
      <c r="AQ44" s="43"/>
      <c r="AR44" s="43"/>
      <c r="AS44" s="43"/>
      <c r="AT44" s="76">
        <f t="shared" si="24"/>
        <v>23106.699999999997</v>
      </c>
      <c r="AU44" s="76">
        <f t="shared" si="25"/>
        <v>19355.1</v>
      </c>
      <c r="AV44" s="40">
        <f t="shared" si="48"/>
        <v>83.76401649737956</v>
      </c>
      <c r="AW44" s="44">
        <f t="shared" si="49"/>
        <v>3751.5999999999985</v>
      </c>
      <c r="AX44" s="45">
        <f t="shared" si="57"/>
        <v>15546.900000000001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22354.5</v>
      </c>
      <c r="D45" s="57">
        <f>SUM(D46:D60)</f>
        <v>4247.599999999999</v>
      </c>
      <c r="E45" s="57">
        <f>SUM(E46:E60)</f>
        <v>3896</v>
      </c>
      <c r="F45" s="41">
        <f t="shared" si="34"/>
        <v>91.72238440531125</v>
      </c>
      <c r="G45" s="57">
        <f>SUM(G46:G50)</f>
        <v>818</v>
      </c>
      <c r="H45" s="57">
        <f>SUM(H46:H50)</f>
        <v>762.3</v>
      </c>
      <c r="I45" s="41">
        <f t="shared" si="6"/>
        <v>93.19070904645477</v>
      </c>
      <c r="J45" s="57">
        <f>SUM(J46:J50)</f>
        <v>817.4</v>
      </c>
      <c r="K45" s="57">
        <f>SUM(K46:K50)</f>
        <v>715.2</v>
      </c>
      <c r="L45" s="40">
        <f t="shared" si="47"/>
        <v>87.4969415218987</v>
      </c>
      <c r="M45" s="40">
        <f t="shared" si="53"/>
        <v>5882.999999999999</v>
      </c>
      <c r="N45" s="40">
        <f t="shared" si="54"/>
        <v>5373.5</v>
      </c>
      <c r="O45" s="40">
        <f t="shared" si="35"/>
        <v>91.33945266020739</v>
      </c>
      <c r="P45" s="57">
        <f aca="true" t="shared" si="58" ref="P45:W45">SUM(P46:P50)</f>
        <v>834.3</v>
      </c>
      <c r="Q45" s="57">
        <f t="shared" si="58"/>
        <v>619</v>
      </c>
      <c r="R45" s="57" t="e">
        <f t="shared" si="58"/>
        <v>#DIV/0!</v>
      </c>
      <c r="S45" s="57">
        <f t="shared" si="58"/>
        <v>867</v>
      </c>
      <c r="T45" s="57">
        <f t="shared" si="58"/>
        <v>625.3</v>
      </c>
      <c r="U45" s="57" t="e">
        <f t="shared" si="58"/>
        <v>#DIV/0!</v>
      </c>
      <c r="V45" s="57">
        <f t="shared" si="58"/>
        <v>327.8</v>
      </c>
      <c r="W45" s="57">
        <f t="shared" si="58"/>
        <v>405.5</v>
      </c>
      <c r="X45" s="54">
        <f t="shared" si="38"/>
        <v>123.70347773032337</v>
      </c>
      <c r="Y45" s="40">
        <f t="shared" si="55"/>
        <v>2029.1</v>
      </c>
      <c r="Z45" s="40">
        <f t="shared" si="56"/>
        <v>1649.8</v>
      </c>
      <c r="AA45" s="40">
        <f t="shared" si="39"/>
        <v>81.30698339165147</v>
      </c>
      <c r="AB45" s="57">
        <f aca="true" t="shared" si="59" ref="AB45:AI45">SUM(AB46:AB50)</f>
        <v>355.4</v>
      </c>
      <c r="AC45" s="57">
        <f t="shared" si="59"/>
        <v>312.8</v>
      </c>
      <c r="AD45" s="40">
        <f t="shared" si="2"/>
        <v>88.01350590883513</v>
      </c>
      <c r="AE45" s="57">
        <f t="shared" si="59"/>
        <v>388.9</v>
      </c>
      <c r="AF45" s="57">
        <f t="shared" si="59"/>
        <v>336.9</v>
      </c>
      <c r="AG45" s="40">
        <f t="shared" si="3"/>
        <v>86.62895345847261</v>
      </c>
      <c r="AH45" s="57">
        <f t="shared" si="59"/>
        <v>0</v>
      </c>
      <c r="AI45" s="57">
        <f t="shared" si="59"/>
        <v>0</v>
      </c>
      <c r="AJ45" s="40" t="e">
        <f t="shared" si="40"/>
        <v>#DIV/0!</v>
      </c>
      <c r="AK45" s="40">
        <f t="shared" si="44"/>
        <v>744.3</v>
      </c>
      <c r="AL45" s="40">
        <f t="shared" si="45"/>
        <v>649.7</v>
      </c>
      <c r="AM45" s="40">
        <f t="shared" si="41"/>
        <v>87.29007120784631</v>
      </c>
      <c r="AN45" s="57">
        <f aca="true" t="shared" si="60" ref="AN45:AS45">SUM(AN46:AN50)</f>
        <v>0</v>
      </c>
      <c r="AO45" s="57">
        <f t="shared" si="60"/>
        <v>0</v>
      </c>
      <c r="AP45" s="57">
        <f t="shared" si="60"/>
        <v>0</v>
      </c>
      <c r="AQ45" s="57">
        <f t="shared" si="60"/>
        <v>0</v>
      </c>
      <c r="AR45" s="57">
        <f t="shared" si="60"/>
        <v>0</v>
      </c>
      <c r="AS45" s="57">
        <f t="shared" si="60"/>
        <v>0</v>
      </c>
      <c r="AT45" s="39">
        <f t="shared" si="24"/>
        <v>8656.399999999998</v>
      </c>
      <c r="AU45" s="39">
        <f t="shared" si="25"/>
        <v>7673</v>
      </c>
      <c r="AV45" s="40">
        <f t="shared" si="48"/>
        <v>88.63961924125505</v>
      </c>
      <c r="AW45" s="40">
        <f t="shared" si="49"/>
        <v>983.3999999999978</v>
      </c>
      <c r="AX45" s="61">
        <f t="shared" si="57"/>
        <v>23337.899999999998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4"/>
        <v>#DIV/0!</v>
      </c>
      <c r="G46" s="43"/>
      <c r="H46" s="43"/>
      <c r="I46" s="41" t="e">
        <f t="shared" si="6"/>
        <v>#DIV/0!</v>
      </c>
      <c r="J46" s="43"/>
      <c r="K46" s="43"/>
      <c r="L46" s="40" t="e">
        <f t="shared" si="47"/>
        <v>#DIV/0!</v>
      </c>
      <c r="M46" s="44">
        <f t="shared" si="53"/>
        <v>0</v>
      </c>
      <c r="N46" s="44">
        <f t="shared" si="54"/>
        <v>0</v>
      </c>
      <c r="O46" s="40" t="e">
        <f t="shared" si="35"/>
        <v>#DIV/0!</v>
      </c>
      <c r="P46" s="43"/>
      <c r="Q46" s="43"/>
      <c r="R46" s="40" t="e">
        <f t="shared" si="36"/>
        <v>#DIV/0!</v>
      </c>
      <c r="S46" s="43"/>
      <c r="T46" s="43"/>
      <c r="U46" s="40" t="e">
        <f t="shared" si="37"/>
        <v>#DIV/0!</v>
      </c>
      <c r="V46" s="43"/>
      <c r="W46" s="43"/>
      <c r="X46" s="40" t="e">
        <f>W46/V46*100</f>
        <v>#DIV/0!</v>
      </c>
      <c r="Y46" s="44">
        <f t="shared" si="55"/>
        <v>0</v>
      </c>
      <c r="Z46" s="44">
        <f t="shared" si="56"/>
        <v>0</v>
      </c>
      <c r="AA46" s="40" t="e">
        <f t="shared" si="39"/>
        <v>#DIV/0!</v>
      </c>
      <c r="AB46" s="43"/>
      <c r="AC46" s="43"/>
      <c r="AD46" s="40" t="e">
        <f t="shared" si="2"/>
        <v>#DIV/0!</v>
      </c>
      <c r="AE46" s="43"/>
      <c r="AF46" s="43"/>
      <c r="AG46" s="40" t="e">
        <f t="shared" si="3"/>
        <v>#DIV/0!</v>
      </c>
      <c r="AH46" s="43"/>
      <c r="AI46" s="43"/>
      <c r="AJ46" s="40" t="e">
        <f t="shared" si="40"/>
        <v>#DIV/0!</v>
      </c>
      <c r="AK46" s="44">
        <f t="shared" si="44"/>
        <v>0</v>
      </c>
      <c r="AL46" s="44">
        <f t="shared" si="45"/>
        <v>0</v>
      </c>
      <c r="AM46" s="40" t="e">
        <f t="shared" si="41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5"/>
        <v>0</v>
      </c>
      <c r="AV46" s="40" t="e">
        <f t="shared" si="48"/>
        <v>#DIV/0!</v>
      </c>
      <c r="AW46" s="44">
        <f t="shared" si="49"/>
        <v>0</v>
      </c>
      <c r="AX46" s="45">
        <f t="shared" si="57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4"/>
        <v>83.80795910916395</v>
      </c>
      <c r="G47" s="43">
        <v>547.6</v>
      </c>
      <c r="H47" s="43">
        <v>505.6</v>
      </c>
      <c r="I47" s="41">
        <f t="shared" si="6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3"/>
        <v>1600.1000000000001</v>
      </c>
      <c r="N47" s="44">
        <f t="shared" si="54"/>
        <v>1380.6</v>
      </c>
      <c r="O47" s="40">
        <f t="shared" si="35"/>
        <v>86.28210736828947</v>
      </c>
      <c r="P47" s="43">
        <v>508</v>
      </c>
      <c r="Q47" s="43">
        <v>341.4</v>
      </c>
      <c r="R47" s="40">
        <f t="shared" si="36"/>
        <v>67.20472440944881</v>
      </c>
      <c r="S47" s="43">
        <v>518.2</v>
      </c>
      <c r="T47" s="43">
        <v>358.2</v>
      </c>
      <c r="U47" s="40">
        <f t="shared" si="37"/>
        <v>69.12389038981087</v>
      </c>
      <c r="V47" s="43"/>
      <c r="W47" s="43">
        <v>95.2</v>
      </c>
      <c r="X47" s="40" t="e">
        <f>W47/V47*100</f>
        <v>#DIV/0!</v>
      </c>
      <c r="Y47" s="44">
        <f t="shared" si="55"/>
        <v>1026.2</v>
      </c>
      <c r="Z47" s="44">
        <f t="shared" si="56"/>
        <v>794.8</v>
      </c>
      <c r="AA47" s="40">
        <f t="shared" si="39"/>
        <v>77.45078931982069</v>
      </c>
      <c r="AB47" s="43"/>
      <c r="AC47" s="43"/>
      <c r="AD47" s="40" t="e">
        <f t="shared" si="2"/>
        <v>#DIV/0!</v>
      </c>
      <c r="AE47" s="43"/>
      <c r="AF47" s="43"/>
      <c r="AG47" s="40" t="e">
        <f t="shared" si="3"/>
        <v>#DIV/0!</v>
      </c>
      <c r="AH47" s="43"/>
      <c r="AI47" s="43"/>
      <c r="AJ47" s="40" t="e">
        <f t="shared" si="40"/>
        <v>#DIV/0!</v>
      </c>
      <c r="AK47" s="44">
        <f t="shared" si="44"/>
        <v>0</v>
      </c>
      <c r="AL47" s="44">
        <f t="shared" si="45"/>
        <v>0</v>
      </c>
      <c r="AM47" s="40" t="e">
        <f t="shared" si="41"/>
        <v>#DIV/0!</v>
      </c>
      <c r="AN47" s="43"/>
      <c r="AO47" s="43"/>
      <c r="AP47" s="43"/>
      <c r="AQ47" s="43"/>
      <c r="AR47" s="43"/>
      <c r="AS47" s="43"/>
      <c r="AT47" s="76">
        <f t="shared" si="24"/>
        <v>2626.3</v>
      </c>
      <c r="AU47" s="76">
        <f t="shared" si="25"/>
        <v>2175.3999999999996</v>
      </c>
      <c r="AV47" s="40">
        <f t="shared" si="48"/>
        <v>82.83135970757337</v>
      </c>
      <c r="AW47" s="44">
        <f t="shared" si="49"/>
        <v>450.90000000000055</v>
      </c>
      <c r="AX47" s="45">
        <f t="shared" si="57"/>
        <v>2448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4"/>
        <v>#DIV/0!</v>
      </c>
      <c r="G48" s="43"/>
      <c r="H48" s="43"/>
      <c r="I48" s="41" t="e">
        <f t="shared" si="6"/>
        <v>#DIV/0!</v>
      </c>
      <c r="J48" s="43"/>
      <c r="K48" s="43"/>
      <c r="L48" s="40" t="e">
        <f>K48/J48*100</f>
        <v>#DIV/0!</v>
      </c>
      <c r="M48" s="44">
        <f t="shared" si="53"/>
        <v>0</v>
      </c>
      <c r="N48" s="44">
        <f t="shared" si="54"/>
        <v>0</v>
      </c>
      <c r="O48" s="40" t="e">
        <f t="shared" si="35"/>
        <v>#DIV/0!</v>
      </c>
      <c r="P48" s="43"/>
      <c r="Q48" s="43"/>
      <c r="R48" s="40" t="e">
        <f t="shared" si="36"/>
        <v>#DIV/0!</v>
      </c>
      <c r="S48" s="43"/>
      <c r="T48" s="43"/>
      <c r="U48" s="40" t="e">
        <f t="shared" si="37"/>
        <v>#DIV/0!</v>
      </c>
      <c r="V48" s="43"/>
      <c r="W48" s="43"/>
      <c r="X48" s="40" t="e">
        <f>W48/V48*100</f>
        <v>#DIV/0!</v>
      </c>
      <c r="Y48" s="44">
        <f t="shared" si="55"/>
        <v>0</v>
      </c>
      <c r="Z48" s="44">
        <f t="shared" si="56"/>
        <v>0</v>
      </c>
      <c r="AA48" s="40" t="e">
        <f t="shared" si="39"/>
        <v>#DIV/0!</v>
      </c>
      <c r="AB48" s="43"/>
      <c r="AC48" s="43"/>
      <c r="AD48" s="40" t="e">
        <f t="shared" si="2"/>
        <v>#DIV/0!</v>
      </c>
      <c r="AE48" s="43"/>
      <c r="AF48" s="43"/>
      <c r="AG48" s="40" t="e">
        <f t="shared" si="3"/>
        <v>#DIV/0!</v>
      </c>
      <c r="AH48" s="43"/>
      <c r="AI48" s="43"/>
      <c r="AJ48" s="40" t="e">
        <f t="shared" si="40"/>
        <v>#DIV/0!</v>
      </c>
      <c r="AK48" s="44">
        <f t="shared" si="44"/>
        <v>0</v>
      </c>
      <c r="AL48" s="44">
        <f t="shared" si="45"/>
        <v>0</v>
      </c>
      <c r="AM48" s="40" t="e">
        <f t="shared" si="41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5"/>
        <v>0</v>
      </c>
      <c r="AV48" s="40" t="e">
        <f t="shared" si="48"/>
        <v>#DIV/0!</v>
      </c>
      <c r="AW48" s="44">
        <f t="shared" si="49"/>
        <v>0</v>
      </c>
      <c r="AX48" s="45">
        <f t="shared" si="57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4"/>
        <v>91.50593471810087</v>
      </c>
      <c r="G49" s="43">
        <v>270.4</v>
      </c>
      <c r="H49" s="43">
        <v>256.7</v>
      </c>
      <c r="I49" s="41">
        <f t="shared" si="6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3"/>
        <v>852.7</v>
      </c>
      <c r="N49" s="44">
        <f t="shared" si="54"/>
        <v>802.7</v>
      </c>
      <c r="O49" s="40">
        <f t="shared" si="35"/>
        <v>94.13627301512841</v>
      </c>
      <c r="P49" s="43">
        <v>326.3</v>
      </c>
      <c r="Q49" s="55">
        <v>277.6</v>
      </c>
      <c r="R49" s="40">
        <f t="shared" si="36"/>
        <v>85.07508427827153</v>
      </c>
      <c r="S49" s="43">
        <v>348.8</v>
      </c>
      <c r="T49" s="55">
        <v>267.1</v>
      </c>
      <c r="U49" s="40">
        <f t="shared" si="37"/>
        <v>76.57683486238533</v>
      </c>
      <c r="V49" s="43">
        <v>327.8</v>
      </c>
      <c r="W49" s="55">
        <v>310.3</v>
      </c>
      <c r="X49" s="56">
        <f>W49/V49*100</f>
        <v>94.6613788895668</v>
      </c>
      <c r="Y49" s="44">
        <f t="shared" si="55"/>
        <v>1002.9000000000001</v>
      </c>
      <c r="Z49" s="44">
        <f t="shared" si="56"/>
        <v>855</v>
      </c>
      <c r="AA49" s="40">
        <f t="shared" si="39"/>
        <v>85.25276697577026</v>
      </c>
      <c r="AB49" s="43">
        <v>355.4</v>
      </c>
      <c r="AC49" s="55">
        <v>312.8</v>
      </c>
      <c r="AD49" s="40">
        <f t="shared" si="2"/>
        <v>88.01350590883513</v>
      </c>
      <c r="AE49" s="43">
        <v>388.9</v>
      </c>
      <c r="AF49" s="55">
        <v>336.9</v>
      </c>
      <c r="AG49" s="40">
        <f t="shared" si="3"/>
        <v>86.62895345847261</v>
      </c>
      <c r="AH49" s="43"/>
      <c r="AI49" s="55"/>
      <c r="AJ49" s="40" t="e">
        <f t="shared" si="40"/>
        <v>#DIV/0!</v>
      </c>
      <c r="AK49" s="44">
        <f t="shared" si="44"/>
        <v>744.3</v>
      </c>
      <c r="AL49" s="44">
        <f t="shared" si="45"/>
        <v>649.7</v>
      </c>
      <c r="AM49" s="40">
        <f t="shared" si="41"/>
        <v>87.29007120784631</v>
      </c>
      <c r="AN49" s="43"/>
      <c r="AO49" s="55"/>
      <c r="AP49" s="43"/>
      <c r="AQ49" s="55"/>
      <c r="AR49" s="43"/>
      <c r="AS49" s="55"/>
      <c r="AT49" s="76">
        <f t="shared" si="24"/>
        <v>2599.9</v>
      </c>
      <c r="AU49" s="76">
        <f t="shared" si="25"/>
        <v>2307.4</v>
      </c>
      <c r="AV49" s="40">
        <f t="shared" si="48"/>
        <v>88.74956729104966</v>
      </c>
      <c r="AW49" s="44">
        <f t="shared" si="49"/>
        <v>292.5</v>
      </c>
      <c r="AX49" s="45">
        <f t="shared" si="57"/>
        <v>1271.6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6"/>
        <v>#DIV/0!</v>
      </c>
      <c r="J50" s="43"/>
      <c r="K50" s="43"/>
      <c r="L50" s="49" t="e">
        <f aca="true" t="shared" si="61" ref="L50:L74">K50/J50*100</f>
        <v>#DIV/0!</v>
      </c>
      <c r="M50" s="44">
        <f t="shared" si="53"/>
        <v>0</v>
      </c>
      <c r="N50" s="44">
        <f t="shared" si="54"/>
        <v>0</v>
      </c>
      <c r="O50" s="40" t="e">
        <f t="shared" si="10"/>
        <v>#DIV/0!</v>
      </c>
      <c r="P50" s="43"/>
      <c r="Q50" s="43"/>
      <c r="R50" s="40" t="e">
        <f aca="true" t="shared" si="62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3" ref="X50:X72">W50/V50*100</f>
        <v>#DIV/0!</v>
      </c>
      <c r="Y50" s="44">
        <f t="shared" si="55"/>
        <v>0</v>
      </c>
      <c r="Z50" s="44">
        <f t="shared" si="56"/>
        <v>0</v>
      </c>
      <c r="AA50" s="40" t="e">
        <f t="shared" si="15"/>
        <v>#DIV/0!</v>
      </c>
      <c r="AB50" s="43"/>
      <c r="AC50" s="43"/>
      <c r="AD50" s="40" t="e">
        <f t="shared" si="2"/>
        <v>#DIV/0!</v>
      </c>
      <c r="AE50" s="43"/>
      <c r="AF50" s="43"/>
      <c r="AG50" s="40" t="e">
        <f t="shared" si="3"/>
        <v>#DIV/0!</v>
      </c>
      <c r="AH50" s="43"/>
      <c r="AI50" s="43"/>
      <c r="AJ50" s="40" t="e">
        <f>AI50/AH50*100</f>
        <v>#DIV/0!</v>
      </c>
      <c r="AK50" s="44">
        <f t="shared" si="22"/>
        <v>0</v>
      </c>
      <c r="AL50" s="44">
        <f t="shared" si="23"/>
        <v>0</v>
      </c>
      <c r="AM50" s="40" t="e">
        <f aca="true" t="shared" si="64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5"/>
        <v>0</v>
      </c>
      <c r="AV50" s="40" t="e">
        <f t="shared" si="5"/>
        <v>#DIV/0!</v>
      </c>
      <c r="AW50" s="44">
        <f aca="true" t="shared" si="65" ref="AW50:AW62">AT50-AU50</f>
        <v>0</v>
      </c>
      <c r="AX50" s="45">
        <f t="shared" si="57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6"/>
        <v>91.83702850561474</v>
      </c>
      <c r="J51" s="43">
        <v>709.6</v>
      </c>
      <c r="K51" s="43">
        <v>719.8</v>
      </c>
      <c r="L51" s="49">
        <f t="shared" si="61"/>
        <v>101.43742953776776</v>
      </c>
      <c r="M51" s="44">
        <f t="shared" si="53"/>
        <v>2138.8</v>
      </c>
      <c r="N51" s="44">
        <f t="shared" si="54"/>
        <v>1990.6</v>
      </c>
      <c r="O51" s="40">
        <f t="shared" si="10"/>
        <v>93.07088086777631</v>
      </c>
      <c r="P51" s="43">
        <v>758.3</v>
      </c>
      <c r="Q51" s="43">
        <v>679.5</v>
      </c>
      <c r="R51" s="40">
        <f t="shared" si="62"/>
        <v>89.60833443228275</v>
      </c>
      <c r="S51" s="43">
        <v>839.1</v>
      </c>
      <c r="T51" s="43">
        <v>700.5</v>
      </c>
      <c r="U51" s="40">
        <f>T51/S51*100</f>
        <v>83.48230246692884</v>
      </c>
      <c r="V51" s="43">
        <v>864.7</v>
      </c>
      <c r="W51" s="43">
        <v>757</v>
      </c>
      <c r="X51" s="48">
        <f t="shared" si="63"/>
        <v>87.54481323002197</v>
      </c>
      <c r="Y51" s="44">
        <f t="shared" si="55"/>
        <v>2462.1000000000004</v>
      </c>
      <c r="Z51" s="44">
        <f t="shared" si="56"/>
        <v>2137</v>
      </c>
      <c r="AA51" s="40">
        <f t="shared" si="15"/>
        <v>86.79582470248974</v>
      </c>
      <c r="AB51" s="43">
        <v>897.1</v>
      </c>
      <c r="AC51" s="43">
        <v>856.6</v>
      </c>
      <c r="AD51" s="40">
        <f t="shared" si="2"/>
        <v>95.48545312674173</v>
      </c>
      <c r="AE51" s="43">
        <v>862.4</v>
      </c>
      <c r="AF51" s="43">
        <v>824.1</v>
      </c>
      <c r="AG51" s="40">
        <f t="shared" si="3"/>
        <v>95.55890538033395</v>
      </c>
      <c r="AH51" s="43"/>
      <c r="AI51" s="43"/>
      <c r="AJ51" s="40" t="e">
        <f>AI51/AH51*100</f>
        <v>#DIV/0!</v>
      </c>
      <c r="AK51" s="44">
        <f t="shared" si="22"/>
        <v>1759.5</v>
      </c>
      <c r="AL51" s="44">
        <f t="shared" si="23"/>
        <v>1680.7</v>
      </c>
      <c r="AM51" s="40">
        <f t="shared" si="64"/>
        <v>95.52145495879512</v>
      </c>
      <c r="AN51" s="43"/>
      <c r="AO51" s="43"/>
      <c r="AP51" s="43"/>
      <c r="AQ51" s="43"/>
      <c r="AR51" s="43"/>
      <c r="AS51" s="43"/>
      <c r="AT51" s="76">
        <f t="shared" si="24"/>
        <v>6360.400000000001</v>
      </c>
      <c r="AU51" s="76">
        <f t="shared" si="25"/>
        <v>5808.3</v>
      </c>
      <c r="AV51" s="40">
        <f t="shared" si="5"/>
        <v>91.31972831897365</v>
      </c>
      <c r="AW51" s="44">
        <f t="shared" si="65"/>
        <v>552.1000000000004</v>
      </c>
      <c r="AX51" s="45">
        <f t="shared" si="57"/>
        <v>3480.7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185.6356997818864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3"/>
        <v>168.7</v>
      </c>
      <c r="N52" s="44">
        <f t="shared" si="54"/>
        <v>157.3</v>
      </c>
      <c r="O52" s="40">
        <f t="shared" si="10"/>
        <v>93.24244220509782</v>
      </c>
      <c r="P52" s="57">
        <v>56.5</v>
      </c>
      <c r="Q52" s="57">
        <v>51</v>
      </c>
      <c r="R52" s="58">
        <f t="shared" si="62"/>
        <v>90.2654867256637</v>
      </c>
      <c r="S52" s="57">
        <v>57</v>
      </c>
      <c r="T52" s="57">
        <v>50.8</v>
      </c>
      <c r="U52" s="57">
        <f>SUM(U53:U54)</f>
        <v>180.32504218944896</v>
      </c>
      <c r="V52" s="57">
        <v>57.6</v>
      </c>
      <c r="W52" s="57">
        <v>49</v>
      </c>
      <c r="X52" s="57">
        <f>SUM(X53:X54)</f>
        <v>180.2152198389099</v>
      </c>
      <c r="Y52" s="44">
        <f t="shared" si="55"/>
        <v>171.1</v>
      </c>
      <c r="Z52" s="44">
        <f t="shared" si="56"/>
        <v>150.8</v>
      </c>
      <c r="AA52" s="40">
        <f t="shared" si="15"/>
        <v>88.13559322033899</v>
      </c>
      <c r="AB52" s="57"/>
      <c r="AC52" s="57"/>
      <c r="AD52" s="40" t="e">
        <f t="shared" si="2"/>
        <v>#DIV/0!</v>
      </c>
      <c r="AE52" s="57"/>
      <c r="AF52" s="57"/>
      <c r="AG52" s="40" t="e">
        <f t="shared" si="3"/>
        <v>#DIV/0!</v>
      </c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4"/>
        <v>#DIV/0!</v>
      </c>
      <c r="AN52" s="57"/>
      <c r="AO52" s="57"/>
      <c r="AP52" s="57"/>
      <c r="AQ52" s="57"/>
      <c r="AR52" s="57"/>
      <c r="AS52" s="57"/>
      <c r="AT52" s="76">
        <f t="shared" si="24"/>
        <v>339.79999999999995</v>
      </c>
      <c r="AU52" s="76">
        <f t="shared" si="25"/>
        <v>308.1</v>
      </c>
      <c r="AV52" s="40">
        <f t="shared" si="5"/>
        <v>90.67098293113598</v>
      </c>
      <c r="AW52" s="44">
        <f t="shared" si="65"/>
        <v>31.699999999999932</v>
      </c>
      <c r="AX52" s="45">
        <f t="shared" si="57"/>
        <v>334.19999999999993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795.5</v>
      </c>
      <c r="D53" s="55">
        <f>266.4-10.9</f>
        <v>255.49999999999997</v>
      </c>
      <c r="E53" s="43">
        <v>216.9</v>
      </c>
      <c r="F53" s="41">
        <f aca="true" t="shared" si="66" ref="F53:F63">E53/D53*100</f>
        <v>84.89236790606654</v>
      </c>
      <c r="G53" s="55">
        <v>256.7</v>
      </c>
      <c r="H53" s="43">
        <v>272.7</v>
      </c>
      <c r="I53" s="41">
        <f aca="true" t="shared" si="67" ref="I53:I63">H53/G53*100</f>
        <v>106.23295675886249</v>
      </c>
      <c r="J53" s="43">
        <v>226.7</v>
      </c>
      <c r="K53" s="43">
        <v>227.3</v>
      </c>
      <c r="L53" s="40">
        <f t="shared" si="61"/>
        <v>100.26466696074108</v>
      </c>
      <c r="M53" s="44">
        <f t="shared" si="53"/>
        <v>738.8999999999999</v>
      </c>
      <c r="N53" s="44">
        <f t="shared" si="54"/>
        <v>716.9000000000001</v>
      </c>
      <c r="O53" s="40">
        <f t="shared" si="10"/>
        <v>97.0226011638923</v>
      </c>
      <c r="P53" s="43">
        <v>283.1</v>
      </c>
      <c r="Q53" s="43">
        <v>211.4</v>
      </c>
      <c r="R53" s="40">
        <f t="shared" si="62"/>
        <v>74.67326033203815</v>
      </c>
      <c r="S53" s="43">
        <v>254.1</v>
      </c>
      <c r="T53" s="43">
        <v>232.1</v>
      </c>
      <c r="U53" s="40">
        <f aca="true" t="shared" si="68" ref="U53:U60">T53/S53*100</f>
        <v>91.34199134199135</v>
      </c>
      <c r="V53" s="43">
        <v>268</v>
      </c>
      <c r="W53" s="43">
        <v>238.2</v>
      </c>
      <c r="X53" s="40">
        <f t="shared" si="63"/>
        <v>88.88059701492537</v>
      </c>
      <c r="Y53" s="44">
        <f t="shared" si="55"/>
        <v>805.2</v>
      </c>
      <c r="Z53" s="44">
        <f t="shared" si="56"/>
        <v>681.7</v>
      </c>
      <c r="AA53" s="40">
        <f t="shared" si="15"/>
        <v>84.6621957277695</v>
      </c>
      <c r="AB53" s="43">
        <v>310.2</v>
      </c>
      <c r="AC53" s="43">
        <v>224.1</v>
      </c>
      <c r="AD53" s="40">
        <f t="shared" si="2"/>
        <v>72.24371373307544</v>
      </c>
      <c r="AE53" s="43">
        <v>211.9</v>
      </c>
      <c r="AF53" s="43">
        <v>229.1</v>
      </c>
      <c r="AG53" s="40">
        <f t="shared" si="3"/>
        <v>108.11703633789523</v>
      </c>
      <c r="AH53" s="43"/>
      <c r="AI53" s="43"/>
      <c r="AJ53" s="40"/>
      <c r="AK53" s="44">
        <f t="shared" si="22"/>
        <v>522.1</v>
      </c>
      <c r="AL53" s="44">
        <f t="shared" si="23"/>
        <v>453.2</v>
      </c>
      <c r="AM53" s="40">
        <f t="shared" si="64"/>
        <v>86.80329438804826</v>
      </c>
      <c r="AN53" s="43"/>
      <c r="AO53" s="43"/>
      <c r="AP53" s="43"/>
      <c r="AQ53" s="43"/>
      <c r="AR53" s="43"/>
      <c r="AS53" s="43"/>
      <c r="AT53" s="76">
        <f t="shared" si="24"/>
        <v>2066.2</v>
      </c>
      <c r="AU53" s="76">
        <f t="shared" si="25"/>
        <v>1851.8000000000002</v>
      </c>
      <c r="AV53" s="40">
        <f t="shared" si="5"/>
        <v>89.62346336269482</v>
      </c>
      <c r="AW53" s="44">
        <f t="shared" si="65"/>
        <v>214.39999999999964</v>
      </c>
      <c r="AX53" s="45">
        <f t="shared" si="57"/>
        <v>1009.8999999999996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6"/>
        <v>100.74333187581985</v>
      </c>
      <c r="G54" s="55">
        <v>227.2</v>
      </c>
      <c r="H54" s="43">
        <v>235.6</v>
      </c>
      <c r="I54" s="41">
        <f t="shared" si="67"/>
        <v>103.69718309859155</v>
      </c>
      <c r="J54" s="43">
        <v>227.5</v>
      </c>
      <c r="K54" s="43">
        <v>221.4</v>
      </c>
      <c r="L54" s="40">
        <f t="shared" si="61"/>
        <v>97.31868131868133</v>
      </c>
      <c r="M54" s="44">
        <f t="shared" si="53"/>
        <v>683.4</v>
      </c>
      <c r="N54" s="44">
        <f t="shared" si="54"/>
        <v>687.4</v>
      </c>
      <c r="O54" s="40">
        <f t="shared" si="10"/>
        <v>100.58530875036583</v>
      </c>
      <c r="P54" s="43">
        <v>229.4</v>
      </c>
      <c r="Q54" s="43">
        <f>217.9+12.3+1.1</f>
        <v>231.3</v>
      </c>
      <c r="R54" s="40">
        <f t="shared" si="62"/>
        <v>100.82824760244115</v>
      </c>
      <c r="S54" s="43">
        <v>247.8</v>
      </c>
      <c r="T54" s="43">
        <f>212.6+7.9</f>
        <v>220.5</v>
      </c>
      <c r="U54" s="40">
        <f t="shared" si="68"/>
        <v>88.98305084745762</v>
      </c>
      <c r="V54" s="43">
        <v>258.5</v>
      </c>
      <c r="W54" s="43">
        <f>227.2+8.9</f>
        <v>236.1</v>
      </c>
      <c r="X54" s="40">
        <f t="shared" si="63"/>
        <v>91.33462282398452</v>
      </c>
      <c r="Y54" s="44">
        <f t="shared" si="55"/>
        <v>735.7</v>
      </c>
      <c r="Z54" s="44">
        <f t="shared" si="56"/>
        <v>687.9</v>
      </c>
      <c r="AA54" s="40">
        <f t="shared" si="15"/>
        <v>93.50278646187303</v>
      </c>
      <c r="AB54" s="43">
        <v>261.1</v>
      </c>
      <c r="AC54" s="43">
        <v>273.6</v>
      </c>
      <c r="AD54" s="40">
        <f t="shared" si="2"/>
        <v>104.78743776330907</v>
      </c>
      <c r="AE54" s="43">
        <v>298.7</v>
      </c>
      <c r="AF54" s="43">
        <v>256.5</v>
      </c>
      <c r="AG54" s="40">
        <f t="shared" si="3"/>
        <v>85.87211248744559</v>
      </c>
      <c r="AH54" s="43"/>
      <c r="AI54" s="43"/>
      <c r="AJ54" s="40"/>
      <c r="AK54" s="44">
        <f t="shared" si="22"/>
        <v>559.8</v>
      </c>
      <c r="AL54" s="44">
        <f t="shared" si="23"/>
        <v>530.1</v>
      </c>
      <c r="AM54" s="40">
        <f>AL54/AK54*100</f>
        <v>94.69453376205789</v>
      </c>
      <c r="AN54" s="43"/>
      <c r="AO54" s="43"/>
      <c r="AP54" s="43"/>
      <c r="AQ54" s="43"/>
      <c r="AR54" s="43"/>
      <c r="AS54" s="43"/>
      <c r="AT54" s="76">
        <f t="shared" si="24"/>
        <v>1978.8999999999999</v>
      </c>
      <c r="AU54" s="76">
        <f t="shared" si="25"/>
        <v>1905.4</v>
      </c>
      <c r="AV54" s="40">
        <f t="shared" si="5"/>
        <v>96.28581535196322</v>
      </c>
      <c r="AW54" s="44">
        <f t="shared" si="65"/>
        <v>73.49999999999977</v>
      </c>
      <c r="AX54" s="45">
        <f t="shared" si="57"/>
        <v>417.89999999999964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6"/>
        <v>96.46840148698884</v>
      </c>
      <c r="G55" s="60">
        <v>163.1</v>
      </c>
      <c r="H55" s="60">
        <v>159.6</v>
      </c>
      <c r="I55" s="41">
        <f t="shared" si="67"/>
        <v>97.85407725321889</v>
      </c>
      <c r="J55" s="43">
        <v>306.7</v>
      </c>
      <c r="K55" s="43">
        <v>301.7</v>
      </c>
      <c r="L55" s="40">
        <f t="shared" si="61"/>
        <v>98.36974241930226</v>
      </c>
      <c r="M55" s="44">
        <f t="shared" si="53"/>
        <v>631.2</v>
      </c>
      <c r="N55" s="44">
        <f t="shared" si="54"/>
        <v>617</v>
      </c>
      <c r="O55" s="40">
        <f t="shared" si="10"/>
        <v>97.75031685678073</v>
      </c>
      <c r="P55" s="43">
        <v>171.6</v>
      </c>
      <c r="Q55" s="43">
        <v>156</v>
      </c>
      <c r="R55" s="40">
        <f t="shared" si="62"/>
        <v>90.90909090909092</v>
      </c>
      <c r="S55" s="43">
        <v>180.7</v>
      </c>
      <c r="T55" s="43">
        <v>167.8</v>
      </c>
      <c r="U55" s="40">
        <f t="shared" si="68"/>
        <v>92.8610957387936</v>
      </c>
      <c r="V55" s="43">
        <v>216.1</v>
      </c>
      <c r="W55" s="43">
        <v>210.8</v>
      </c>
      <c r="X55" s="40">
        <f t="shared" si="63"/>
        <v>97.5474317445627</v>
      </c>
      <c r="Y55" s="44">
        <f t="shared" si="55"/>
        <v>568.4</v>
      </c>
      <c r="Z55" s="44">
        <f t="shared" si="56"/>
        <v>534.6</v>
      </c>
      <c r="AA55" s="40">
        <f aca="true" t="shared" si="69" ref="AA55:AA74">Z55/Y55*100</f>
        <v>94.05348346235046</v>
      </c>
      <c r="AB55" s="43">
        <v>342.5</v>
      </c>
      <c r="AC55" s="43">
        <v>242.1</v>
      </c>
      <c r="AD55" s="40">
        <f t="shared" si="2"/>
        <v>70.68613138686132</v>
      </c>
      <c r="AE55" s="43">
        <v>232.7</v>
      </c>
      <c r="AF55" s="43">
        <v>233.8</v>
      </c>
      <c r="AG55" s="40">
        <f t="shared" si="3"/>
        <v>100.47271164589601</v>
      </c>
      <c r="AH55" s="43"/>
      <c r="AI55" s="43"/>
      <c r="AJ55" s="40"/>
      <c r="AK55" s="44">
        <f t="shared" si="22"/>
        <v>575.2</v>
      </c>
      <c r="AL55" s="44">
        <f t="shared" si="23"/>
        <v>475.9</v>
      </c>
      <c r="AM55" s="40">
        <f t="shared" si="64"/>
        <v>82.73643949930458</v>
      </c>
      <c r="AN55" s="43"/>
      <c r="AO55" s="43"/>
      <c r="AP55" s="43"/>
      <c r="AQ55" s="43"/>
      <c r="AR55" s="43"/>
      <c r="AS55" s="43"/>
      <c r="AT55" s="76">
        <f t="shared" si="24"/>
        <v>1774.8</v>
      </c>
      <c r="AU55" s="76">
        <f t="shared" si="25"/>
        <v>1627.5</v>
      </c>
      <c r="AV55" s="40">
        <f t="shared" si="5"/>
        <v>91.70047329276538</v>
      </c>
      <c r="AW55" s="44">
        <f t="shared" si="65"/>
        <v>147.29999999999995</v>
      </c>
      <c r="AX55" s="45">
        <f t="shared" si="57"/>
        <v>710.0999999999999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6"/>
        <v>91.35514018691589</v>
      </c>
      <c r="G56" s="52">
        <v>36.4</v>
      </c>
      <c r="H56" s="52">
        <v>36</v>
      </c>
      <c r="I56" s="41">
        <f t="shared" si="67"/>
        <v>98.9010989010989</v>
      </c>
      <c r="J56" s="43">
        <v>43</v>
      </c>
      <c r="K56" s="43">
        <v>41.3</v>
      </c>
      <c r="L56" s="40">
        <f t="shared" si="61"/>
        <v>96.04651162790697</v>
      </c>
      <c r="M56" s="44">
        <f t="shared" si="53"/>
        <v>122.19999999999999</v>
      </c>
      <c r="N56" s="44">
        <f t="shared" si="54"/>
        <v>116.39999999999999</v>
      </c>
      <c r="O56" s="40">
        <f t="shared" si="10"/>
        <v>95.25368248772504</v>
      </c>
      <c r="P56" s="43">
        <v>55.1</v>
      </c>
      <c r="Q56" s="43">
        <v>36.4</v>
      </c>
      <c r="R56" s="40">
        <f t="shared" si="62"/>
        <v>66.0617059891107</v>
      </c>
      <c r="S56" s="43">
        <v>49.1</v>
      </c>
      <c r="T56" s="43">
        <v>40.4</v>
      </c>
      <c r="U56" s="40">
        <f t="shared" si="68"/>
        <v>82.28105906313645</v>
      </c>
      <c r="V56" s="43">
        <v>45.8</v>
      </c>
      <c r="W56" s="43">
        <v>44.3</v>
      </c>
      <c r="X56" s="40">
        <f t="shared" si="63"/>
        <v>96.72489082969432</v>
      </c>
      <c r="Y56" s="44">
        <f t="shared" si="55"/>
        <v>150</v>
      </c>
      <c r="Z56" s="44">
        <f t="shared" si="56"/>
        <v>121.1</v>
      </c>
      <c r="AA56" s="40">
        <f t="shared" si="69"/>
        <v>80.73333333333333</v>
      </c>
      <c r="AB56" s="43">
        <v>54.3</v>
      </c>
      <c r="AC56" s="43">
        <v>45.3</v>
      </c>
      <c r="AD56" s="40">
        <f t="shared" si="2"/>
        <v>83.42541436464089</v>
      </c>
      <c r="AE56" s="43">
        <v>48.6</v>
      </c>
      <c r="AF56" s="43">
        <v>55.1</v>
      </c>
      <c r="AG56" s="40">
        <f t="shared" si="3"/>
        <v>113.37448559670781</v>
      </c>
      <c r="AH56" s="43"/>
      <c r="AI56" s="43"/>
      <c r="AJ56" s="40"/>
      <c r="AK56" s="44">
        <f t="shared" si="22"/>
        <v>102.9</v>
      </c>
      <c r="AL56" s="44">
        <f t="shared" si="23"/>
        <v>100.4</v>
      </c>
      <c r="AM56" s="40">
        <f t="shared" si="64"/>
        <v>97.57045675413022</v>
      </c>
      <c r="AN56" s="43"/>
      <c r="AO56" s="43"/>
      <c r="AP56" s="43"/>
      <c r="AQ56" s="43"/>
      <c r="AR56" s="43"/>
      <c r="AS56" s="43"/>
      <c r="AT56" s="76">
        <f t="shared" si="24"/>
        <v>375.1</v>
      </c>
      <c r="AU56" s="76">
        <f t="shared" si="25"/>
        <v>337.9</v>
      </c>
      <c r="AV56" s="40">
        <f t="shared" si="5"/>
        <v>90.08264462809916</v>
      </c>
      <c r="AW56" s="44">
        <f t="shared" si="65"/>
        <v>37.200000000000045</v>
      </c>
      <c r="AX56" s="45">
        <f t="shared" si="57"/>
        <v>114.80000000000007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6"/>
        <v>92.7634194831014</v>
      </c>
      <c r="G57" s="43">
        <v>535.7</v>
      </c>
      <c r="H57" s="43">
        <v>448.3</v>
      </c>
      <c r="I57" s="41">
        <f t="shared" si="67"/>
        <v>83.6848982639537</v>
      </c>
      <c r="J57" s="43">
        <v>504</v>
      </c>
      <c r="K57" s="43">
        <v>534.8</v>
      </c>
      <c r="L57" s="40">
        <f t="shared" si="61"/>
        <v>106.11111111111111</v>
      </c>
      <c r="M57" s="44">
        <f t="shared" si="53"/>
        <v>1542.7</v>
      </c>
      <c r="N57" s="44">
        <f t="shared" si="54"/>
        <v>1449.7</v>
      </c>
      <c r="O57" s="40">
        <f t="shared" si="10"/>
        <v>93.97160821935567</v>
      </c>
      <c r="P57" s="43">
        <v>504.9</v>
      </c>
      <c r="Q57" s="43">
        <v>450.4</v>
      </c>
      <c r="R57" s="40">
        <f t="shared" si="62"/>
        <v>89.20578332343038</v>
      </c>
      <c r="S57" s="43">
        <v>520.7</v>
      </c>
      <c r="T57" s="43">
        <v>462.7</v>
      </c>
      <c r="U57" s="40">
        <f t="shared" si="68"/>
        <v>88.86114845400421</v>
      </c>
      <c r="V57" s="43">
        <v>550</v>
      </c>
      <c r="W57" s="43">
        <v>566.1</v>
      </c>
      <c r="X57" s="40">
        <f t="shared" si="63"/>
        <v>102.92727272727274</v>
      </c>
      <c r="Y57" s="44">
        <f t="shared" si="55"/>
        <v>1575.6</v>
      </c>
      <c r="Z57" s="44">
        <f t="shared" si="56"/>
        <v>1479.1999999999998</v>
      </c>
      <c r="AA57" s="40">
        <f t="shared" si="69"/>
        <v>93.88169586189387</v>
      </c>
      <c r="AB57" s="43">
        <v>529.2</v>
      </c>
      <c r="AC57" s="43">
        <v>501.6</v>
      </c>
      <c r="AD57" s="40">
        <f t="shared" si="2"/>
        <v>94.7845804988662</v>
      </c>
      <c r="AE57" s="43">
        <v>557</v>
      </c>
      <c r="AF57" s="43">
        <v>487.9</v>
      </c>
      <c r="AG57" s="40">
        <f t="shared" si="3"/>
        <v>87.59425493716337</v>
      </c>
      <c r="AH57" s="43"/>
      <c r="AI57" s="43"/>
      <c r="AJ57" s="40"/>
      <c r="AK57" s="44">
        <f t="shared" si="22"/>
        <v>1086.2</v>
      </c>
      <c r="AL57" s="44">
        <f t="shared" si="23"/>
        <v>989.5</v>
      </c>
      <c r="AM57" s="40">
        <f t="shared" si="64"/>
        <v>91.09740379303996</v>
      </c>
      <c r="AN57" s="43"/>
      <c r="AO57" s="43"/>
      <c r="AP57" s="43"/>
      <c r="AQ57" s="43"/>
      <c r="AR57" s="43"/>
      <c r="AS57" s="43"/>
      <c r="AT57" s="76">
        <f t="shared" si="24"/>
        <v>4204.5</v>
      </c>
      <c r="AU57" s="76">
        <f t="shared" si="25"/>
        <v>3918.3999999999996</v>
      </c>
      <c r="AV57" s="40">
        <f t="shared" si="5"/>
        <v>93.19538589606373</v>
      </c>
      <c r="AW57" s="44">
        <f t="shared" si="65"/>
        <v>286.10000000000036</v>
      </c>
      <c r="AX57" s="45">
        <f t="shared" si="57"/>
        <v>3548.7000000000007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6"/>
        <v>85.24368231046931</v>
      </c>
      <c r="G58" s="43">
        <v>412.5</v>
      </c>
      <c r="H58" s="43">
        <v>352.7</v>
      </c>
      <c r="I58" s="41">
        <f t="shared" si="67"/>
        <v>85.5030303030303</v>
      </c>
      <c r="J58" s="43">
        <v>394.5</v>
      </c>
      <c r="K58" s="43">
        <v>428.9</v>
      </c>
      <c r="L58" s="40">
        <f t="shared" si="61"/>
        <v>108.71989860583015</v>
      </c>
      <c r="M58" s="44">
        <f t="shared" si="53"/>
        <v>1250.2</v>
      </c>
      <c r="N58" s="44">
        <f t="shared" si="54"/>
        <v>1159.4</v>
      </c>
      <c r="O58" s="40">
        <f t="shared" si="10"/>
        <v>92.73716205407135</v>
      </c>
      <c r="P58" s="43">
        <v>409.8</v>
      </c>
      <c r="Q58" s="43">
        <v>356.8</v>
      </c>
      <c r="R58" s="40">
        <f t="shared" si="62"/>
        <v>87.06686188384577</v>
      </c>
      <c r="S58" s="43">
        <v>399.2</v>
      </c>
      <c r="T58" s="43">
        <v>349.8</v>
      </c>
      <c r="U58" s="40">
        <f t="shared" si="68"/>
        <v>87.625250501002</v>
      </c>
      <c r="V58" s="43">
        <v>446.8</v>
      </c>
      <c r="W58" s="43">
        <v>385.4</v>
      </c>
      <c r="X58" s="40">
        <f t="shared" si="63"/>
        <v>86.25783348254251</v>
      </c>
      <c r="Y58" s="44">
        <f t="shared" si="55"/>
        <v>1255.8</v>
      </c>
      <c r="Z58" s="44">
        <f t="shared" si="56"/>
        <v>1092</v>
      </c>
      <c r="AA58" s="40">
        <f t="shared" si="69"/>
        <v>86.95652173913044</v>
      </c>
      <c r="AB58" s="43">
        <v>469.3</v>
      </c>
      <c r="AC58" s="43">
        <v>400.4</v>
      </c>
      <c r="AD58" s="40">
        <f t="shared" si="2"/>
        <v>85.3185595567867</v>
      </c>
      <c r="AE58" s="43">
        <v>413.3</v>
      </c>
      <c r="AF58" s="43">
        <v>444.5</v>
      </c>
      <c r="AG58" s="40">
        <f t="shared" si="3"/>
        <v>107.54899588676506</v>
      </c>
      <c r="AH58" s="43"/>
      <c r="AI58" s="43"/>
      <c r="AJ58" s="40"/>
      <c r="AK58" s="44">
        <f t="shared" si="22"/>
        <v>882.6</v>
      </c>
      <c r="AL58" s="44">
        <f t="shared" si="23"/>
        <v>844.9</v>
      </c>
      <c r="AM58" s="40">
        <f t="shared" si="64"/>
        <v>95.7285293451167</v>
      </c>
      <c r="AN58" s="43"/>
      <c r="AO58" s="43"/>
      <c r="AP58" s="43"/>
      <c r="AQ58" s="43"/>
      <c r="AR58" s="43"/>
      <c r="AS58" s="43"/>
      <c r="AT58" s="76">
        <f t="shared" si="24"/>
        <v>3388.6</v>
      </c>
      <c r="AU58" s="76">
        <f t="shared" si="25"/>
        <v>3096.3</v>
      </c>
      <c r="AV58" s="40">
        <f t="shared" si="5"/>
        <v>91.37401876881309</v>
      </c>
      <c r="AW58" s="44">
        <f t="shared" si="65"/>
        <v>292.2999999999997</v>
      </c>
      <c r="AX58" s="45">
        <f t="shared" si="57"/>
        <v>1845.6999999999998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2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2"/>
        <v>#DIV/0!</v>
      </c>
      <c r="AE59" s="43"/>
      <c r="AF59" s="43"/>
      <c r="AG59" s="40" t="e">
        <f t="shared" si="3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5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6"/>
        <v>101.73410404624276</v>
      </c>
      <c r="G60" s="43">
        <v>1052.4</v>
      </c>
      <c r="H60" s="43">
        <v>976.6</v>
      </c>
      <c r="I60" s="41">
        <f t="shared" si="67"/>
        <v>92.79741543139491</v>
      </c>
      <c r="J60" s="43">
        <v>1077.5</v>
      </c>
      <c r="K60" s="43">
        <v>1120.4</v>
      </c>
      <c r="L60" s="40">
        <f t="shared" si="61"/>
        <v>103.98143851508121</v>
      </c>
      <c r="M60" s="44">
        <f t="shared" si="53"/>
        <v>3133.3</v>
      </c>
      <c r="N60" s="44">
        <f t="shared" si="54"/>
        <v>3117.8</v>
      </c>
      <c r="O60" s="40">
        <f t="shared" si="10"/>
        <v>99.50531388631794</v>
      </c>
      <c r="P60" s="43">
        <v>1193</v>
      </c>
      <c r="Q60" s="43">
        <v>952</v>
      </c>
      <c r="R60" s="40">
        <f t="shared" si="62"/>
        <v>79.79882648784576</v>
      </c>
      <c r="S60" s="43"/>
      <c r="T60" s="43"/>
      <c r="U60" s="40" t="e">
        <f t="shared" si="68"/>
        <v>#DIV/0!</v>
      </c>
      <c r="V60" s="43"/>
      <c r="W60" s="43"/>
      <c r="X60" s="40" t="e">
        <f t="shared" si="63"/>
        <v>#DIV/0!</v>
      </c>
      <c r="Y60" s="44">
        <f t="shared" si="55"/>
        <v>1193</v>
      </c>
      <c r="Z60" s="44">
        <f t="shared" si="56"/>
        <v>952</v>
      </c>
      <c r="AA60" s="40">
        <f t="shared" si="69"/>
        <v>79.79882648784576</v>
      </c>
      <c r="AB60" s="43"/>
      <c r="AC60" s="43"/>
      <c r="AD60" s="40" t="e">
        <f t="shared" si="2"/>
        <v>#DIV/0!</v>
      </c>
      <c r="AE60" s="43"/>
      <c r="AF60" s="43"/>
      <c r="AG60" s="40" t="e">
        <f t="shared" si="3"/>
        <v>#DIV/0!</v>
      </c>
      <c r="AH60" s="43"/>
      <c r="AI60" s="43"/>
      <c r="AJ60" s="40"/>
      <c r="AK60" s="44">
        <f t="shared" si="22"/>
        <v>0</v>
      </c>
      <c r="AL60" s="44">
        <f t="shared" si="23"/>
        <v>0</v>
      </c>
      <c r="AM60" s="40" t="e">
        <f t="shared" si="64"/>
        <v>#DIV/0!</v>
      </c>
      <c r="AN60" s="43"/>
      <c r="AO60" s="43"/>
      <c r="AP60" s="43"/>
      <c r="AQ60" s="43"/>
      <c r="AR60" s="43"/>
      <c r="AS60" s="43"/>
      <c r="AT60" s="76">
        <f t="shared" si="24"/>
        <v>4326.3</v>
      </c>
      <c r="AU60" s="76">
        <f t="shared" si="25"/>
        <v>4069.8</v>
      </c>
      <c r="AV60" s="40">
        <f t="shared" si="5"/>
        <v>94.0711462450593</v>
      </c>
      <c r="AW60" s="44">
        <f t="shared" si="65"/>
        <v>256.5</v>
      </c>
      <c r="AX60" s="45">
        <f t="shared" si="57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6"/>
        <v>97.19742681892983</v>
      </c>
      <c r="G61" s="91">
        <f>SUM(G62:G71)</f>
        <v>5899.3</v>
      </c>
      <c r="H61" s="91">
        <f>SUM(H62:H71)</f>
        <v>5932.8</v>
      </c>
      <c r="I61" s="41">
        <f t="shared" si="67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61"/>
        <v>104.5556768197903</v>
      </c>
      <c r="M61" s="40">
        <f t="shared" si="53"/>
        <v>17962.600000000002</v>
      </c>
      <c r="N61" s="40">
        <f t="shared" si="54"/>
        <v>18103</v>
      </c>
      <c r="O61" s="40">
        <f t="shared" si="10"/>
        <v>100.78162404106308</v>
      </c>
      <c r="P61" s="91">
        <f aca="true" t="shared" si="70" ref="P61:W61">SUM(P62:P71)</f>
        <v>6326.200000000001</v>
      </c>
      <c r="Q61" s="91">
        <f t="shared" si="70"/>
        <v>6068.9</v>
      </c>
      <c r="R61" s="91">
        <f t="shared" si="70"/>
        <v>985.5494943737875</v>
      </c>
      <c r="S61" s="91">
        <f t="shared" si="70"/>
        <v>6651.5</v>
      </c>
      <c r="T61" s="91">
        <f t="shared" si="70"/>
        <v>5794.7</v>
      </c>
      <c r="U61" s="91">
        <f t="shared" si="70"/>
        <v>848.3258243030144</v>
      </c>
      <c r="V61" s="91">
        <f t="shared" si="70"/>
        <v>7484.4</v>
      </c>
      <c r="W61" s="91">
        <f t="shared" si="70"/>
        <v>6260.4000000000015</v>
      </c>
      <c r="X61" s="40">
        <f t="shared" si="63"/>
        <v>83.64598364598366</v>
      </c>
      <c r="Y61" s="40">
        <f t="shared" si="55"/>
        <v>20462.1</v>
      </c>
      <c r="Z61" s="40">
        <f t="shared" si="56"/>
        <v>18124</v>
      </c>
      <c r="AA61" s="40">
        <f t="shared" si="69"/>
        <v>88.57350907287132</v>
      </c>
      <c r="AB61" s="91">
        <f aca="true" t="shared" si="71" ref="AB61:AI61">SUM(AB62:AB71)</f>
        <v>8238.2</v>
      </c>
      <c r="AC61" s="91">
        <f t="shared" si="71"/>
        <v>7411.199999999999</v>
      </c>
      <c r="AD61" s="40">
        <f t="shared" si="2"/>
        <v>89.96139933480613</v>
      </c>
      <c r="AE61" s="91">
        <f t="shared" si="71"/>
        <v>7685.499999999999</v>
      </c>
      <c r="AF61" s="91">
        <f t="shared" si="71"/>
        <v>7255.4</v>
      </c>
      <c r="AG61" s="40">
        <f t="shared" si="3"/>
        <v>94.403747316375</v>
      </c>
      <c r="AH61" s="91">
        <f t="shared" si="71"/>
        <v>0</v>
      </c>
      <c r="AI61" s="91">
        <f t="shared" si="71"/>
        <v>0</v>
      </c>
      <c r="AJ61" s="40"/>
      <c r="AK61" s="40">
        <f t="shared" si="22"/>
        <v>15923.7</v>
      </c>
      <c r="AL61" s="40">
        <f t="shared" si="23"/>
        <v>14666.599999999999</v>
      </c>
      <c r="AM61" s="40">
        <f t="shared" si="64"/>
        <v>92.10547799820392</v>
      </c>
      <c r="AN61" s="91">
        <f aca="true" t="shared" si="72" ref="AN61:AS61">SUM(AN62:AN71)</f>
        <v>0</v>
      </c>
      <c r="AO61" s="91">
        <f t="shared" si="72"/>
        <v>0</v>
      </c>
      <c r="AP61" s="91">
        <f t="shared" si="72"/>
        <v>0</v>
      </c>
      <c r="AQ61" s="91">
        <f t="shared" si="72"/>
        <v>0</v>
      </c>
      <c r="AR61" s="91">
        <f t="shared" si="72"/>
        <v>0</v>
      </c>
      <c r="AS61" s="91">
        <f t="shared" si="72"/>
        <v>0</v>
      </c>
      <c r="AT61" s="39">
        <f t="shared" si="24"/>
        <v>54348.399999999994</v>
      </c>
      <c r="AU61" s="39">
        <f t="shared" si="25"/>
        <v>50893.6</v>
      </c>
      <c r="AV61" s="40">
        <f t="shared" si="5"/>
        <v>93.64323512743707</v>
      </c>
      <c r="AW61" s="40">
        <f t="shared" si="65"/>
        <v>3454.7999999999956</v>
      </c>
      <c r="AX61" s="61">
        <f t="shared" si="57"/>
        <v>22383.19999999999</v>
      </c>
      <c r="AY61" s="12"/>
      <c r="AZ61" s="12">
        <f>AU61+'держ.бюджет'!AU61+'місц.-районн.бюджет'!AU61+обласний!AU61+інші!AU61</f>
        <v>62355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6"/>
        <v>88.19995465880753</v>
      </c>
      <c r="G62" s="43">
        <v>810.8</v>
      </c>
      <c r="H62" s="43">
        <v>799.6</v>
      </c>
      <c r="I62" s="41">
        <f t="shared" si="67"/>
        <v>98.61864824864332</v>
      </c>
      <c r="J62" s="43">
        <v>800.6</v>
      </c>
      <c r="K62" s="43">
        <v>841.4</v>
      </c>
      <c r="L62" s="40">
        <f t="shared" si="61"/>
        <v>105.09617786660004</v>
      </c>
      <c r="M62" s="44">
        <f t="shared" si="53"/>
        <v>2493.6</v>
      </c>
      <c r="N62" s="44">
        <f t="shared" si="54"/>
        <v>2419.1</v>
      </c>
      <c r="O62" s="40">
        <f t="shared" si="10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>
        <v>900.9</v>
      </c>
      <c r="T62" s="43">
        <v>822.9</v>
      </c>
      <c r="U62" s="40">
        <f>T62/S62*100</f>
        <v>91.34199134199135</v>
      </c>
      <c r="V62" s="43">
        <f>5312.2-4277.9</f>
        <v>1034.3000000000002</v>
      </c>
      <c r="W62" s="43">
        <f>4971.1-4014.4</f>
        <v>956.7000000000003</v>
      </c>
      <c r="X62" s="40">
        <f t="shared" si="63"/>
        <v>92.4973411969448</v>
      </c>
      <c r="Y62" s="44">
        <f t="shared" si="55"/>
        <v>2818.6000000000004</v>
      </c>
      <c r="Z62" s="44">
        <f t="shared" si="56"/>
        <v>2552</v>
      </c>
      <c r="AA62" s="40">
        <f t="shared" si="69"/>
        <v>90.54140353366918</v>
      </c>
      <c r="AB62" s="43">
        <v>1084.5</v>
      </c>
      <c r="AC62" s="43">
        <v>961.7</v>
      </c>
      <c r="AD62" s="40">
        <f t="shared" si="2"/>
        <v>88.67680958967267</v>
      </c>
      <c r="AE62" s="43">
        <v>1152.1</v>
      </c>
      <c r="AF62" s="43">
        <v>1056.7</v>
      </c>
      <c r="AG62" s="40">
        <f t="shared" si="3"/>
        <v>91.71946879611146</v>
      </c>
      <c r="AH62" s="43"/>
      <c r="AI62" s="43"/>
      <c r="AJ62" s="40"/>
      <c r="AK62" s="44">
        <f t="shared" si="22"/>
        <v>2236.6</v>
      </c>
      <c r="AL62" s="44">
        <f t="shared" si="23"/>
        <v>2018.4</v>
      </c>
      <c r="AM62" s="40">
        <f t="shared" si="64"/>
        <v>90.24412054010553</v>
      </c>
      <c r="AN62" s="43"/>
      <c r="AO62" s="43"/>
      <c r="AP62" s="43"/>
      <c r="AQ62" s="43"/>
      <c r="AR62" s="43"/>
      <c r="AS62" s="43"/>
      <c r="AT62" s="76">
        <f t="shared" si="24"/>
        <v>7548.800000000001</v>
      </c>
      <c r="AU62" s="76">
        <f t="shared" si="25"/>
        <v>6989.5</v>
      </c>
      <c r="AV62" s="40">
        <f t="shared" si="5"/>
        <v>92.59087537091986</v>
      </c>
      <c r="AW62" s="44">
        <f t="shared" si="65"/>
        <v>559.3000000000011</v>
      </c>
      <c r="AX62" s="45">
        <f t="shared" si="57"/>
        <v>1916.1000000000004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6"/>
        <v>86.39932991309811</v>
      </c>
      <c r="G63" s="52">
        <v>875</v>
      </c>
      <c r="H63" s="52">
        <v>965.5</v>
      </c>
      <c r="I63" s="41">
        <f t="shared" si="67"/>
        <v>110.34285714285714</v>
      </c>
      <c r="J63" s="43">
        <v>853.7</v>
      </c>
      <c r="K63" s="43">
        <v>922.8</v>
      </c>
      <c r="L63" s="40">
        <f aca="true" t="shared" si="73" ref="L63:L71">K63/J63*100</f>
        <v>108.09417828276911</v>
      </c>
      <c r="M63" s="44">
        <f t="shared" si="53"/>
        <v>2683.8</v>
      </c>
      <c r="N63" s="44">
        <f t="shared" si="54"/>
        <v>2713.5</v>
      </c>
      <c r="O63" s="40">
        <f aca="true" t="shared" si="74" ref="O63:O71">N63/M63*100</f>
        <v>101.1066398390342</v>
      </c>
      <c r="P63" s="43">
        <v>928.9</v>
      </c>
      <c r="Q63" s="43">
        <v>894.6</v>
      </c>
      <c r="R63" s="40">
        <f aca="true" t="shared" si="75" ref="R63:R71">Q63/P63*100</f>
        <v>96.30746043707612</v>
      </c>
      <c r="S63" s="43">
        <v>1059.8</v>
      </c>
      <c r="T63" s="43">
        <v>947.6</v>
      </c>
      <c r="U63" s="40">
        <f aca="true" t="shared" si="76" ref="U63:U71">T63/S63*100</f>
        <v>89.41309681071901</v>
      </c>
      <c r="V63" s="43">
        <v>1388</v>
      </c>
      <c r="W63" s="43">
        <v>974.7</v>
      </c>
      <c r="X63" s="40">
        <f aca="true" t="shared" si="77" ref="X63:X71">W63/V63*100</f>
        <v>70.22334293948127</v>
      </c>
      <c r="Y63" s="44">
        <f t="shared" si="55"/>
        <v>3376.7</v>
      </c>
      <c r="Z63" s="44">
        <f t="shared" si="56"/>
        <v>2816.9</v>
      </c>
      <c r="AA63" s="40">
        <f aca="true" t="shared" si="78" ref="AA63:AA71">Z63/Y63*100</f>
        <v>83.42168389255782</v>
      </c>
      <c r="AB63" s="43">
        <v>1496</v>
      </c>
      <c r="AC63" s="43">
        <v>1357.8</v>
      </c>
      <c r="AD63" s="40">
        <f t="shared" si="2"/>
        <v>90.7620320855615</v>
      </c>
      <c r="AE63" s="43">
        <v>1528.8</v>
      </c>
      <c r="AF63" s="43">
        <v>1396.7</v>
      </c>
      <c r="AG63" s="40">
        <f t="shared" si="3"/>
        <v>91.35923600209314</v>
      </c>
      <c r="AH63" s="43"/>
      <c r="AI63" s="43"/>
      <c r="AJ63" s="40"/>
      <c r="AK63" s="44">
        <f aca="true" t="shared" si="79" ref="AK63:AK71">AB63+AE63+AH63</f>
        <v>3024.8</v>
      </c>
      <c r="AL63" s="44">
        <f aca="true" t="shared" si="80" ref="AL63:AL71">AC63+AF63+AI63</f>
        <v>2754.5</v>
      </c>
      <c r="AM63" s="40">
        <f aca="true" t="shared" si="81" ref="AM63:AM71">AL63/AK63*100</f>
        <v>91.06387199153663</v>
      </c>
      <c r="AN63" s="43"/>
      <c r="AO63" s="43"/>
      <c r="AP63" s="43"/>
      <c r="AQ63" s="43"/>
      <c r="AR63" s="43"/>
      <c r="AS63" s="43"/>
      <c r="AT63" s="76">
        <f t="shared" si="24"/>
        <v>9085.3</v>
      </c>
      <c r="AU63" s="76">
        <f t="shared" si="25"/>
        <v>8284.9</v>
      </c>
      <c r="AV63" s="40">
        <f aca="true" t="shared" si="82" ref="AV63:AV71">AU63/AT63*100</f>
        <v>91.19016433139248</v>
      </c>
      <c r="AW63" s="44">
        <f aca="true" t="shared" si="83" ref="AW63:AW71">AT63-AU63</f>
        <v>800.3999999999996</v>
      </c>
      <c r="AX63" s="45">
        <f t="shared" si="57"/>
        <v>3522.2999999999993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4" ref="F64:F71">E64/D64*100</f>
        <v>78.93422148209825</v>
      </c>
      <c r="G64" s="43">
        <v>110.8</v>
      </c>
      <c r="H64" s="43">
        <v>108.8</v>
      </c>
      <c r="I64" s="41">
        <f aca="true" t="shared" si="85" ref="I64:I72">H64/G64*100</f>
        <v>98.19494584837545</v>
      </c>
      <c r="J64" s="43">
        <v>118.9</v>
      </c>
      <c r="K64" s="43">
        <v>125.9</v>
      </c>
      <c r="L64" s="40">
        <f t="shared" si="73"/>
        <v>105.88730025231288</v>
      </c>
      <c r="M64" s="44">
        <f t="shared" si="53"/>
        <v>349.79999999999995</v>
      </c>
      <c r="N64" s="44">
        <f t="shared" si="54"/>
        <v>329.5</v>
      </c>
      <c r="O64" s="40">
        <f t="shared" si="74"/>
        <v>94.19668381932534</v>
      </c>
      <c r="P64" s="43">
        <v>113.4</v>
      </c>
      <c r="Q64" s="43">
        <v>105</v>
      </c>
      <c r="R64" s="40">
        <f t="shared" si="75"/>
        <v>92.5925925925926</v>
      </c>
      <c r="S64" s="43">
        <v>117.1</v>
      </c>
      <c r="T64" s="43">
        <v>112.7</v>
      </c>
      <c r="U64" s="40">
        <f t="shared" si="76"/>
        <v>96.24252775405637</v>
      </c>
      <c r="V64" s="43">
        <v>117.2</v>
      </c>
      <c r="W64" s="43">
        <v>105.2</v>
      </c>
      <c r="X64" s="40">
        <f t="shared" si="77"/>
        <v>89.76109215017065</v>
      </c>
      <c r="Y64" s="44">
        <f t="shared" si="55"/>
        <v>347.7</v>
      </c>
      <c r="Z64" s="44">
        <f t="shared" si="56"/>
        <v>322.9</v>
      </c>
      <c r="AA64" s="40">
        <f t="shared" si="78"/>
        <v>92.86741443773367</v>
      </c>
      <c r="AB64" s="43">
        <v>116.8</v>
      </c>
      <c r="AC64" s="43">
        <v>132.9</v>
      </c>
      <c r="AD64" s="40">
        <f t="shared" si="2"/>
        <v>113.78424657534248</v>
      </c>
      <c r="AE64" s="43"/>
      <c r="AF64" s="43"/>
      <c r="AG64" s="40" t="e">
        <f t="shared" si="3"/>
        <v>#DIV/0!</v>
      </c>
      <c r="AH64" s="43"/>
      <c r="AI64" s="43"/>
      <c r="AJ64" s="40"/>
      <c r="AK64" s="44">
        <f t="shared" si="79"/>
        <v>116.8</v>
      </c>
      <c r="AL64" s="44">
        <f t="shared" si="80"/>
        <v>132.9</v>
      </c>
      <c r="AM64" s="40">
        <f t="shared" si="81"/>
        <v>113.78424657534248</v>
      </c>
      <c r="AN64" s="43"/>
      <c r="AO64" s="43"/>
      <c r="AP64" s="43"/>
      <c r="AQ64" s="43"/>
      <c r="AR64" s="43"/>
      <c r="AS64" s="43"/>
      <c r="AT64" s="76">
        <f t="shared" si="24"/>
        <v>814.3</v>
      </c>
      <c r="AU64" s="76">
        <f t="shared" si="25"/>
        <v>785.3</v>
      </c>
      <c r="AV64" s="40">
        <f t="shared" si="82"/>
        <v>96.43865897089525</v>
      </c>
      <c r="AW64" s="44">
        <f t="shared" si="83"/>
        <v>29</v>
      </c>
      <c r="AX64" s="45">
        <f t="shared" si="57"/>
        <v>453.79999999999995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4"/>
        <v>88.02101576182137</v>
      </c>
      <c r="G65" s="43">
        <v>277.4</v>
      </c>
      <c r="H65" s="43">
        <v>280.6</v>
      </c>
      <c r="I65" s="41">
        <f t="shared" si="85"/>
        <v>101.15356885364098</v>
      </c>
      <c r="J65" s="43">
        <v>257.8</v>
      </c>
      <c r="K65" s="43">
        <v>297.1</v>
      </c>
      <c r="L65" s="40">
        <f t="shared" si="73"/>
        <v>115.24437548487201</v>
      </c>
      <c r="M65" s="44">
        <f t="shared" si="53"/>
        <v>820.7</v>
      </c>
      <c r="N65" s="44">
        <f t="shared" si="54"/>
        <v>829.0000000000001</v>
      </c>
      <c r="O65" s="40">
        <f t="shared" si="74"/>
        <v>101.01133178993543</v>
      </c>
      <c r="P65" s="43">
        <v>278.1</v>
      </c>
      <c r="Q65" s="43">
        <v>260.9</v>
      </c>
      <c r="R65" s="40">
        <f t="shared" si="75"/>
        <v>93.81517439769866</v>
      </c>
      <c r="S65" s="43">
        <v>299.9</v>
      </c>
      <c r="T65" s="43">
        <v>266.5</v>
      </c>
      <c r="U65" s="40">
        <f t="shared" si="76"/>
        <v>88.86295431810605</v>
      </c>
      <c r="V65" s="43">
        <v>361.2</v>
      </c>
      <c r="W65" s="43">
        <v>288.8</v>
      </c>
      <c r="X65" s="40">
        <f t="shared" si="77"/>
        <v>79.95570321151718</v>
      </c>
      <c r="Y65" s="44">
        <f t="shared" si="55"/>
        <v>939.2</v>
      </c>
      <c r="Z65" s="44">
        <f t="shared" si="56"/>
        <v>816.2</v>
      </c>
      <c r="AA65" s="40">
        <f t="shared" si="78"/>
        <v>86.90374787052811</v>
      </c>
      <c r="AB65" s="43">
        <v>488.3</v>
      </c>
      <c r="AC65" s="43">
        <v>331.2</v>
      </c>
      <c r="AD65" s="40">
        <f t="shared" si="2"/>
        <v>67.8271554372312</v>
      </c>
      <c r="AE65" s="43"/>
      <c r="AF65" s="43"/>
      <c r="AG65" s="40" t="e">
        <f t="shared" si="3"/>
        <v>#DIV/0!</v>
      </c>
      <c r="AH65" s="43"/>
      <c r="AI65" s="43"/>
      <c r="AJ65" s="40"/>
      <c r="AK65" s="44">
        <f t="shared" si="79"/>
        <v>488.3</v>
      </c>
      <c r="AL65" s="44">
        <f t="shared" si="80"/>
        <v>331.2</v>
      </c>
      <c r="AM65" s="40">
        <f t="shared" si="81"/>
        <v>67.8271554372312</v>
      </c>
      <c r="AN65" s="43"/>
      <c r="AO65" s="43"/>
      <c r="AP65" s="43"/>
      <c r="AQ65" s="43"/>
      <c r="AR65" s="43"/>
      <c r="AS65" s="43"/>
      <c r="AT65" s="76">
        <f t="shared" si="24"/>
        <v>2248.2000000000003</v>
      </c>
      <c r="AU65" s="76">
        <f t="shared" si="25"/>
        <v>1976.4000000000003</v>
      </c>
      <c r="AV65" s="40">
        <f t="shared" si="82"/>
        <v>87.9103282626101</v>
      </c>
      <c r="AW65" s="44">
        <f t="shared" si="83"/>
        <v>271.79999999999995</v>
      </c>
      <c r="AX65" s="45">
        <f t="shared" si="57"/>
        <v>1170.3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4"/>
        <v>96.78111587982833</v>
      </c>
      <c r="G66" s="43">
        <v>113.5</v>
      </c>
      <c r="H66" s="43">
        <v>113.8</v>
      </c>
      <c r="I66" s="41">
        <f t="shared" si="85"/>
        <v>100.26431718061674</v>
      </c>
      <c r="J66" s="43">
        <v>98.7</v>
      </c>
      <c r="K66" s="43">
        <v>102.9</v>
      </c>
      <c r="L66" s="40">
        <f t="shared" si="73"/>
        <v>104.25531914893618</v>
      </c>
      <c r="M66" s="44">
        <f t="shared" si="53"/>
        <v>305.4</v>
      </c>
      <c r="N66" s="44">
        <f t="shared" si="54"/>
        <v>306.9</v>
      </c>
      <c r="O66" s="40">
        <f t="shared" si="74"/>
        <v>100.49115913555993</v>
      </c>
      <c r="P66" s="43">
        <v>118.6</v>
      </c>
      <c r="Q66" s="43">
        <v>117.1</v>
      </c>
      <c r="R66" s="40">
        <f t="shared" si="75"/>
        <v>98.73524451939292</v>
      </c>
      <c r="S66" s="43">
        <v>138.6</v>
      </c>
      <c r="T66" s="43">
        <v>122.9</v>
      </c>
      <c r="U66" s="40">
        <f t="shared" si="76"/>
        <v>88.67243867243869</v>
      </c>
      <c r="V66" s="43">
        <v>122.3</v>
      </c>
      <c r="W66" s="43">
        <v>128.2</v>
      </c>
      <c r="X66" s="40">
        <f t="shared" si="77"/>
        <v>104.82420278004905</v>
      </c>
      <c r="Y66" s="44">
        <f t="shared" si="55"/>
        <v>379.5</v>
      </c>
      <c r="Z66" s="44">
        <f t="shared" si="56"/>
        <v>368.2</v>
      </c>
      <c r="AA66" s="40">
        <f t="shared" si="78"/>
        <v>97.02239789196311</v>
      </c>
      <c r="AB66" s="43">
        <v>133.2</v>
      </c>
      <c r="AC66" s="43">
        <v>140.7</v>
      </c>
      <c r="AD66" s="40">
        <f t="shared" si="2"/>
        <v>105.63063063063063</v>
      </c>
      <c r="AE66" s="43">
        <v>141.7</v>
      </c>
      <c r="AF66" s="43">
        <v>146.9</v>
      </c>
      <c r="AG66" s="40">
        <f t="shared" si="3"/>
        <v>103.66972477064222</v>
      </c>
      <c r="AH66" s="43"/>
      <c r="AI66" s="43"/>
      <c r="AJ66" s="40"/>
      <c r="AK66" s="44">
        <f t="shared" si="79"/>
        <v>274.9</v>
      </c>
      <c r="AL66" s="44">
        <f t="shared" si="80"/>
        <v>287.6</v>
      </c>
      <c r="AM66" s="40">
        <f t="shared" si="81"/>
        <v>104.61986176791562</v>
      </c>
      <c r="AN66" s="43"/>
      <c r="AO66" s="43"/>
      <c r="AP66" s="43"/>
      <c r="AQ66" s="43"/>
      <c r="AR66" s="43"/>
      <c r="AS66" s="43"/>
      <c r="AT66" s="76">
        <f t="shared" si="24"/>
        <v>959.8</v>
      </c>
      <c r="AU66" s="76">
        <f t="shared" si="25"/>
        <v>962.6999999999999</v>
      </c>
      <c r="AV66" s="40">
        <f t="shared" si="82"/>
        <v>100.30214628047509</v>
      </c>
      <c r="AW66" s="44">
        <f t="shared" si="83"/>
        <v>-2.8999999999999773</v>
      </c>
      <c r="AX66" s="45">
        <f t="shared" si="57"/>
        <v>43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4"/>
        <v>172.8218465539662</v>
      </c>
      <c r="G67" s="43">
        <v>522</v>
      </c>
      <c r="H67" s="43">
        <v>730.6</v>
      </c>
      <c r="I67" s="41">
        <f t="shared" si="85"/>
        <v>139.96168582375478</v>
      </c>
      <c r="J67" s="43">
        <v>684.7</v>
      </c>
      <c r="K67" s="43">
        <v>765.6</v>
      </c>
      <c r="L67" s="40">
        <f t="shared" si="73"/>
        <v>111.81539360303783</v>
      </c>
      <c r="M67" s="44">
        <f t="shared" si="53"/>
        <v>1668.1</v>
      </c>
      <c r="N67" s="44">
        <f t="shared" si="54"/>
        <v>2293.6</v>
      </c>
      <c r="O67" s="40">
        <f t="shared" si="74"/>
        <v>137.49775193333733</v>
      </c>
      <c r="P67" s="43">
        <v>656.1</v>
      </c>
      <c r="Q67" s="43">
        <v>666.6</v>
      </c>
      <c r="R67" s="40">
        <f t="shared" si="75"/>
        <v>101.60036579789666</v>
      </c>
      <c r="S67" s="43">
        <v>714.7</v>
      </c>
      <c r="T67" s="43">
        <v>545.1</v>
      </c>
      <c r="U67" s="40">
        <f t="shared" si="76"/>
        <v>76.26976353714845</v>
      </c>
      <c r="V67" s="43">
        <v>1069.8</v>
      </c>
      <c r="W67" s="43">
        <v>607.9</v>
      </c>
      <c r="X67" s="40">
        <f t="shared" si="77"/>
        <v>56.82370536548888</v>
      </c>
      <c r="Y67" s="44">
        <f t="shared" si="55"/>
        <v>2440.6000000000004</v>
      </c>
      <c r="Z67" s="44">
        <f t="shared" si="56"/>
        <v>1819.6</v>
      </c>
      <c r="AA67" s="40">
        <f t="shared" si="78"/>
        <v>74.55543718757681</v>
      </c>
      <c r="AB67" s="43">
        <v>1111.8</v>
      </c>
      <c r="AC67" s="43">
        <v>915.3</v>
      </c>
      <c r="AD67" s="40">
        <f t="shared" si="2"/>
        <v>82.32595790609822</v>
      </c>
      <c r="AE67" s="43">
        <v>1159.9</v>
      </c>
      <c r="AF67" s="43">
        <v>980.5</v>
      </c>
      <c r="AG67" s="40">
        <f t="shared" si="3"/>
        <v>84.53314940943184</v>
      </c>
      <c r="AH67" s="43"/>
      <c r="AI67" s="43"/>
      <c r="AJ67" s="40"/>
      <c r="AK67" s="44">
        <f t="shared" si="79"/>
        <v>2271.7</v>
      </c>
      <c r="AL67" s="44">
        <f t="shared" si="80"/>
        <v>1895.8</v>
      </c>
      <c r="AM67" s="40">
        <f t="shared" si="81"/>
        <v>83.45292072016552</v>
      </c>
      <c r="AN67" s="43"/>
      <c r="AO67" s="43"/>
      <c r="AP67" s="43"/>
      <c r="AQ67" s="43"/>
      <c r="AR67" s="43"/>
      <c r="AS67" s="43"/>
      <c r="AT67" s="76">
        <f t="shared" si="24"/>
        <v>6380.400000000001</v>
      </c>
      <c r="AU67" s="76">
        <f t="shared" si="25"/>
        <v>6009</v>
      </c>
      <c r="AV67" s="40">
        <f t="shared" si="82"/>
        <v>94.17904833552755</v>
      </c>
      <c r="AW67" s="44">
        <f t="shared" si="83"/>
        <v>371.40000000000055</v>
      </c>
      <c r="AX67" s="45">
        <f t="shared" si="57"/>
        <v>3056.7000000000007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4"/>
        <v>85.43516873889875</v>
      </c>
      <c r="G68" s="43">
        <v>153.8</v>
      </c>
      <c r="H68" s="43">
        <v>156.8</v>
      </c>
      <c r="I68" s="41">
        <f t="shared" si="85"/>
        <v>101.95058517555266</v>
      </c>
      <c r="J68" s="43">
        <v>153.2</v>
      </c>
      <c r="K68" s="43">
        <v>182.9</v>
      </c>
      <c r="L68" s="40">
        <f t="shared" si="73"/>
        <v>119.38642297650132</v>
      </c>
      <c r="M68" s="44">
        <f t="shared" si="53"/>
        <v>475.90000000000003</v>
      </c>
      <c r="N68" s="44">
        <f t="shared" si="54"/>
        <v>484</v>
      </c>
      <c r="O68" s="40">
        <f t="shared" si="74"/>
        <v>101.70203824332842</v>
      </c>
      <c r="P68" s="43">
        <v>178.7</v>
      </c>
      <c r="Q68" s="43">
        <v>168.8</v>
      </c>
      <c r="R68" s="40">
        <f t="shared" si="75"/>
        <v>94.45998880805821</v>
      </c>
      <c r="S68" s="43">
        <v>212.6</v>
      </c>
      <c r="T68" s="43">
        <v>170.7</v>
      </c>
      <c r="U68" s="40">
        <f t="shared" si="76"/>
        <v>80.29162746942615</v>
      </c>
      <c r="V68" s="43">
        <v>189.5</v>
      </c>
      <c r="W68" s="43">
        <v>187.9</v>
      </c>
      <c r="X68" s="40">
        <f t="shared" si="77"/>
        <v>99.15567282321899</v>
      </c>
      <c r="Y68" s="44">
        <f t="shared" si="55"/>
        <v>580.8</v>
      </c>
      <c r="Z68" s="44">
        <f t="shared" si="56"/>
        <v>527.4</v>
      </c>
      <c r="AA68" s="40">
        <f t="shared" si="78"/>
        <v>90.80578512396694</v>
      </c>
      <c r="AB68" s="43">
        <v>210.2</v>
      </c>
      <c r="AC68" s="43">
        <v>190</v>
      </c>
      <c r="AD68" s="40">
        <f t="shared" si="2"/>
        <v>90.39010466222646</v>
      </c>
      <c r="AE68" s="43">
        <v>228.8</v>
      </c>
      <c r="AF68" s="43">
        <v>209.3</v>
      </c>
      <c r="AG68" s="40">
        <f t="shared" si="3"/>
        <v>91.47727272727273</v>
      </c>
      <c r="AH68" s="43"/>
      <c r="AI68" s="43"/>
      <c r="AJ68" s="40"/>
      <c r="AK68" s="44">
        <f t="shared" si="79"/>
        <v>439</v>
      </c>
      <c r="AL68" s="44">
        <f t="shared" si="80"/>
        <v>399.3</v>
      </c>
      <c r="AM68" s="40">
        <f t="shared" si="81"/>
        <v>90.95671981776766</v>
      </c>
      <c r="AN68" s="43"/>
      <c r="AO68" s="43"/>
      <c r="AP68" s="43"/>
      <c r="AQ68" s="43"/>
      <c r="AR68" s="43"/>
      <c r="AS68" s="43"/>
      <c r="AT68" s="76">
        <f t="shared" si="24"/>
        <v>1495.7</v>
      </c>
      <c r="AU68" s="76">
        <f t="shared" si="25"/>
        <v>1410.7</v>
      </c>
      <c r="AV68" s="40">
        <f t="shared" si="82"/>
        <v>94.31704218760447</v>
      </c>
      <c r="AW68" s="44">
        <f t="shared" si="83"/>
        <v>85</v>
      </c>
      <c r="AX68" s="45">
        <f t="shared" si="57"/>
        <v>432.10000000000014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5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3"/>
        <v>962.9</v>
      </c>
      <c r="N69" s="44">
        <f t="shared" si="54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>
        <v>353.3</v>
      </c>
      <c r="T69" s="43">
        <v>142.3</v>
      </c>
      <c r="U69" s="40">
        <f>T69/S69*100</f>
        <v>40.27738465893009</v>
      </c>
      <c r="V69" s="43">
        <v>354.1</v>
      </c>
      <c r="W69" s="43">
        <v>235.4</v>
      </c>
      <c r="X69" s="40">
        <f>W69/V69*100</f>
        <v>66.47839593335215</v>
      </c>
      <c r="Y69" s="44">
        <f t="shared" si="55"/>
        <v>1063.3000000000002</v>
      </c>
      <c r="Z69" s="44">
        <f t="shared" si="56"/>
        <v>833.1999999999999</v>
      </c>
      <c r="AA69" s="40">
        <f>Z69/Y69*100</f>
        <v>78.35982319194957</v>
      </c>
      <c r="AB69" s="43">
        <v>393.4</v>
      </c>
      <c r="AC69" s="43">
        <v>463.2</v>
      </c>
      <c r="AD69" s="40">
        <f t="shared" si="2"/>
        <v>117.7427554651754</v>
      </c>
      <c r="AE69" s="43">
        <v>418.3</v>
      </c>
      <c r="AF69" s="43">
        <v>403.9</v>
      </c>
      <c r="AG69" s="40">
        <f t="shared" si="3"/>
        <v>96.55749462108534</v>
      </c>
      <c r="AH69" s="43"/>
      <c r="AI69" s="43"/>
      <c r="AJ69" s="40"/>
      <c r="AK69" s="44">
        <f>AB69+AE69+AH69</f>
        <v>811.7</v>
      </c>
      <c r="AL69" s="44">
        <f>AC69+AF69+AI69</f>
        <v>867.0999999999999</v>
      </c>
      <c r="AM69" s="40">
        <f>AL69/AK69*100</f>
        <v>106.82518171738324</v>
      </c>
      <c r="AN69" s="43"/>
      <c r="AO69" s="43"/>
      <c r="AP69" s="43"/>
      <c r="AQ69" s="43"/>
      <c r="AR69" s="43"/>
      <c r="AS69" s="43"/>
      <c r="AT69" s="76">
        <f t="shared" si="24"/>
        <v>2837.9000000000005</v>
      </c>
      <c r="AU69" s="76">
        <f t="shared" si="25"/>
        <v>2375.7999999999997</v>
      </c>
      <c r="AV69" s="40">
        <f>AU69/AT69*100</f>
        <v>83.71683286937521</v>
      </c>
      <c r="AW69" s="44">
        <f>AT69-AU69</f>
        <v>462.1000000000008</v>
      </c>
      <c r="AX69" s="45">
        <f t="shared" si="57"/>
        <v>2188.3000000000006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>
        <v>57.2</v>
      </c>
      <c r="T70" s="43">
        <v>59.4</v>
      </c>
      <c r="U70" s="40">
        <f>T70/S70*100</f>
        <v>103.84615384615384</v>
      </c>
      <c r="V70" s="43">
        <v>100.9</v>
      </c>
      <c r="W70" s="43">
        <v>53.3</v>
      </c>
      <c r="X70" s="40">
        <f>W70/V70*100</f>
        <v>52.82457879088206</v>
      </c>
      <c r="Y70" s="44">
        <f>P70+S70+V70</f>
        <v>217.4</v>
      </c>
      <c r="Z70" s="44">
        <f>Q70+T70+W70</f>
        <v>171.6</v>
      </c>
      <c r="AA70" s="40">
        <f>Z70/Y70*100</f>
        <v>78.93284268629255</v>
      </c>
      <c r="AB70" s="43">
        <v>87.3</v>
      </c>
      <c r="AC70" s="43">
        <v>67.4</v>
      </c>
      <c r="AD70" s="40">
        <f t="shared" si="2"/>
        <v>77.20504009163804</v>
      </c>
      <c r="AE70" s="43">
        <v>62.2</v>
      </c>
      <c r="AF70" s="43">
        <v>61.4</v>
      </c>
      <c r="AG70" s="40">
        <f t="shared" si="3"/>
        <v>98.71382636655947</v>
      </c>
      <c r="AH70" s="43"/>
      <c r="AI70" s="43"/>
      <c r="AJ70" s="40"/>
      <c r="AK70" s="44">
        <f>AB70+AE70+AH70</f>
        <v>149.5</v>
      </c>
      <c r="AL70" s="44">
        <f>AC70+AF70+AI70</f>
        <v>128.8</v>
      </c>
      <c r="AM70" s="40">
        <f>AL70/AK70*100</f>
        <v>86.15384615384616</v>
      </c>
      <c r="AN70" s="43"/>
      <c r="AO70" s="43"/>
      <c r="AP70" s="43"/>
      <c r="AQ70" s="43"/>
      <c r="AR70" s="43"/>
      <c r="AS70" s="43"/>
      <c r="AT70" s="76">
        <f>M70+Y70+AK70+AN70+AP70+AR70</f>
        <v>547.8</v>
      </c>
      <c r="AU70" s="76">
        <f>N70+Z70+AL70+AO70+AQ70+AS70</f>
        <v>489.2</v>
      </c>
      <c r="AV70" s="40">
        <f>AU70/AT70*100</f>
        <v>89.30266520627967</v>
      </c>
      <c r="AW70" s="44">
        <f>AT70-AU70</f>
        <v>58.599999999999966</v>
      </c>
      <c r="AX70" s="45">
        <f>C70+AT70-AU70</f>
        <v>161.09999999999997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4"/>
        <v>96.26185332991615</v>
      </c>
      <c r="G71" s="43">
        <v>2619.1</v>
      </c>
      <c r="H71" s="43">
        <v>2534.7</v>
      </c>
      <c r="I71" s="41">
        <f t="shared" si="85"/>
        <v>96.77751899507464</v>
      </c>
      <c r="J71" s="43">
        <v>2671.1</v>
      </c>
      <c r="K71" s="43">
        <v>2699.2</v>
      </c>
      <c r="L71" s="40">
        <f t="shared" si="73"/>
        <v>101.05200104825727</v>
      </c>
      <c r="M71" s="44">
        <f t="shared" si="53"/>
        <v>8021.5</v>
      </c>
      <c r="N71" s="44">
        <f t="shared" si="54"/>
        <v>7863.099999999999</v>
      </c>
      <c r="O71" s="40">
        <f t="shared" si="74"/>
        <v>98.02530698747117</v>
      </c>
      <c r="P71" s="43">
        <v>2753.8</v>
      </c>
      <c r="Q71" s="43">
        <v>2569.1</v>
      </c>
      <c r="R71" s="40">
        <f t="shared" si="75"/>
        <v>93.29290435035223</v>
      </c>
      <c r="S71" s="43">
        <v>2797.4</v>
      </c>
      <c r="T71" s="43">
        <v>2604.6</v>
      </c>
      <c r="U71" s="40">
        <f t="shared" si="76"/>
        <v>93.10788589404446</v>
      </c>
      <c r="V71" s="43">
        <v>2747.1</v>
      </c>
      <c r="W71" s="43">
        <v>2722.3</v>
      </c>
      <c r="X71" s="40">
        <f t="shared" si="77"/>
        <v>99.09722980597722</v>
      </c>
      <c r="Y71" s="44">
        <f t="shared" si="55"/>
        <v>8298.300000000001</v>
      </c>
      <c r="Z71" s="44">
        <f t="shared" si="56"/>
        <v>7896</v>
      </c>
      <c r="AA71" s="40">
        <f t="shared" si="78"/>
        <v>95.15201908824697</v>
      </c>
      <c r="AB71" s="43">
        <v>3116.7</v>
      </c>
      <c r="AC71" s="43">
        <v>2851</v>
      </c>
      <c r="AD71" s="40">
        <f>AC71/AB71*100</f>
        <v>91.4749574870857</v>
      </c>
      <c r="AE71" s="43">
        <v>2993.7</v>
      </c>
      <c r="AF71" s="43">
        <v>3000</v>
      </c>
      <c r="AG71" s="40">
        <f>AF71/AE71*100</f>
        <v>100.21044192804891</v>
      </c>
      <c r="AH71" s="43"/>
      <c r="AI71" s="43"/>
      <c r="AJ71" s="40"/>
      <c r="AK71" s="44">
        <f t="shared" si="79"/>
        <v>6110.4</v>
      </c>
      <c r="AL71" s="44">
        <f t="shared" si="80"/>
        <v>5851</v>
      </c>
      <c r="AM71" s="40">
        <f t="shared" si="81"/>
        <v>95.7547787378895</v>
      </c>
      <c r="AN71" s="43"/>
      <c r="AO71" s="43"/>
      <c r="AP71" s="43"/>
      <c r="AQ71" s="43"/>
      <c r="AR71" s="43"/>
      <c r="AS71" s="43"/>
      <c r="AT71" s="76">
        <f t="shared" si="24"/>
        <v>22430.2</v>
      </c>
      <c r="AU71" s="76">
        <f t="shared" si="25"/>
        <v>21610.1</v>
      </c>
      <c r="AV71" s="40">
        <f t="shared" si="82"/>
        <v>96.34376866902657</v>
      </c>
      <c r="AW71" s="44">
        <f t="shared" si="83"/>
        <v>820.1000000000022</v>
      </c>
      <c r="AX71" s="45">
        <f t="shared" si="57"/>
        <v>9439.5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5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61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10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116172.29999999999</v>
      </c>
      <c r="T72" s="61">
        <f>SUM(T73:T73)</f>
        <v>103013.8</v>
      </c>
      <c r="U72" s="40">
        <f>T72/S72*100</f>
        <v>88.67328958796547</v>
      </c>
      <c r="V72" s="61">
        <f>SUM(V73:V73)</f>
        <v>117185.1</v>
      </c>
      <c r="W72" s="61">
        <f>SUM(W73:W73)</f>
        <v>110341</v>
      </c>
      <c r="X72" s="40">
        <f t="shared" si="63"/>
        <v>94.159581721567</v>
      </c>
      <c r="Y72" s="61">
        <f>SUM(Y73:Y73)</f>
        <v>352941.69999999995</v>
      </c>
      <c r="Z72" s="61">
        <f>SUM(Z73:Z73)</f>
        <v>321698.4</v>
      </c>
      <c r="AA72" s="40">
        <f t="shared" si="69"/>
        <v>91.1477447975119</v>
      </c>
      <c r="AB72" s="61">
        <f>SUM(AB73:AB73)</f>
        <v>120606.6</v>
      </c>
      <c r="AC72" s="61">
        <f>SUM(AC73:AC73)</f>
        <v>120557.1</v>
      </c>
      <c r="AD72" s="40">
        <f>AC72/AB72*100</f>
        <v>99.9589574699892</v>
      </c>
      <c r="AE72" s="61">
        <f>SUM(AE73:AE73)</f>
        <v>123503.2</v>
      </c>
      <c r="AF72" s="61">
        <f>SUM(AF73:AF73)</f>
        <v>114087.59999999999</v>
      </c>
      <c r="AG72" s="40">
        <f>AF72/AE72*100</f>
        <v>92.3762299276456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244109.8</v>
      </c>
      <c r="AL72" s="61">
        <f>SUM(AL73:AL73)</f>
        <v>234644.7</v>
      </c>
      <c r="AM72" s="40">
        <f t="shared" si="64"/>
        <v>96.12260548327023</v>
      </c>
      <c r="AN72" s="61">
        <f aca="true" t="shared" si="86" ref="AN72:AS72">SUM(AN73:AN73)</f>
        <v>0</v>
      </c>
      <c r="AO72" s="61">
        <f t="shared" si="86"/>
        <v>0</v>
      </c>
      <c r="AP72" s="61">
        <f t="shared" si="86"/>
        <v>0</v>
      </c>
      <c r="AQ72" s="61">
        <f t="shared" si="86"/>
        <v>0</v>
      </c>
      <c r="AR72" s="61">
        <f t="shared" si="86"/>
        <v>0</v>
      </c>
      <c r="AS72" s="61">
        <f t="shared" si="86"/>
        <v>0</v>
      </c>
      <c r="AT72" s="39">
        <f t="shared" si="24"/>
        <v>960656.1000000001</v>
      </c>
      <c r="AU72" s="39">
        <f t="shared" si="25"/>
        <v>880212.3999999999</v>
      </c>
      <c r="AV72" s="40">
        <f t="shared" si="5"/>
        <v>91.62617090548842</v>
      </c>
      <c r="AW72" s="61">
        <f>AW73</f>
        <v>80443.70000000019</v>
      </c>
      <c r="AX72" s="61">
        <f>AX73</f>
        <v>650779.8000000003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61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10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>
        <f>115587.4+584.9</f>
        <v>116172.29999999999</v>
      </c>
      <c r="T73" s="43">
        <f>103007+6.8</f>
        <v>103013.8</v>
      </c>
      <c r="U73" s="40">
        <f>T73/S73*100</f>
        <v>88.67328958796547</v>
      </c>
      <c r="V73" s="43">
        <f>116572.5+612.6</f>
        <v>117185.1</v>
      </c>
      <c r="W73" s="43">
        <f>110334.1+6.9</f>
        <v>110341</v>
      </c>
      <c r="X73" s="40">
        <f>W73/V73*100</f>
        <v>94.159581721567</v>
      </c>
      <c r="Y73" s="44">
        <f>P73+S73+V73</f>
        <v>352941.69999999995</v>
      </c>
      <c r="Z73" s="44">
        <f>Q73+T73+W73</f>
        <v>321698.4</v>
      </c>
      <c r="AA73" s="40">
        <f t="shared" si="69"/>
        <v>91.1477447975119</v>
      </c>
      <c r="AB73" s="43">
        <f>120033.6+573</f>
        <v>120606.6</v>
      </c>
      <c r="AC73" s="43">
        <f>118159.8+2397.3</f>
        <v>120557.1</v>
      </c>
      <c r="AD73" s="40">
        <f>AC73/AB73*100</f>
        <v>99.9589574699892</v>
      </c>
      <c r="AE73" s="43">
        <f>122901.3+601.9</f>
        <v>123503.2</v>
      </c>
      <c r="AF73" s="43">
        <f>114078.7+8.9</f>
        <v>114087.59999999999</v>
      </c>
      <c r="AG73" s="40">
        <f>AF73/AE73*100</f>
        <v>92.3762299276456</v>
      </c>
      <c r="AH73" s="43"/>
      <c r="AI73" s="43"/>
      <c r="AJ73" s="40"/>
      <c r="AK73" s="44">
        <f>AB73+AE73+AH73</f>
        <v>244109.8</v>
      </c>
      <c r="AL73" s="44">
        <f>AC73+AF73+AI73</f>
        <v>234644.7</v>
      </c>
      <c r="AM73" s="40">
        <f t="shared" si="64"/>
        <v>96.12260548327023</v>
      </c>
      <c r="AN73" s="43"/>
      <c r="AO73" s="43"/>
      <c r="AP73" s="43"/>
      <c r="AQ73" s="43"/>
      <c r="AR73" s="43"/>
      <c r="AS73" s="43"/>
      <c r="AT73" s="76">
        <f t="shared" si="24"/>
        <v>960656.1000000001</v>
      </c>
      <c r="AU73" s="76">
        <f t="shared" si="25"/>
        <v>880212.3999999999</v>
      </c>
      <c r="AV73" s="40">
        <f t="shared" si="5"/>
        <v>91.62617090548842</v>
      </c>
      <c r="AW73" s="44">
        <f>AT73-AU73</f>
        <v>80443.70000000019</v>
      </c>
      <c r="AX73" s="45">
        <f>C73+AT73-AU73</f>
        <v>650779.8000000003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684530.3999999999</v>
      </c>
      <c r="D74" s="61">
        <f>D72+D7</f>
        <v>152323.8</v>
      </c>
      <c r="E74" s="61">
        <f>E72+E7</f>
        <v>132302.09999999998</v>
      </c>
      <c r="F74" s="41">
        <f>E74/D74*100</f>
        <v>86.85582948954792</v>
      </c>
      <c r="G74" s="61">
        <f>G72+G7</f>
        <v>154807.6</v>
      </c>
      <c r="H74" s="61">
        <f>H72+H7</f>
        <v>131384.80000000002</v>
      </c>
      <c r="I74" s="41">
        <f>H74/G74*100</f>
        <v>84.86973507760601</v>
      </c>
      <c r="J74" s="61">
        <f>J72+J7</f>
        <v>152103.4</v>
      </c>
      <c r="K74" s="61">
        <f>K72+K7</f>
        <v>149558.60000000003</v>
      </c>
      <c r="L74" s="40">
        <f t="shared" si="61"/>
        <v>98.32692760319627</v>
      </c>
      <c r="M74" s="61">
        <f>M72+M7</f>
        <v>459234.80000000005</v>
      </c>
      <c r="N74" s="61">
        <f>N72+N7</f>
        <v>413245.49999999994</v>
      </c>
      <c r="O74" s="40">
        <f t="shared" si="10"/>
        <v>89.98566746248322</v>
      </c>
      <c r="P74" s="61">
        <f>P72+P7</f>
        <v>152871</v>
      </c>
      <c r="Q74" s="61">
        <f>Q72+Q7</f>
        <v>138537</v>
      </c>
      <c r="R74" s="40">
        <f>Q74/P74*100</f>
        <v>90.62346684459446</v>
      </c>
      <c r="S74" s="61">
        <f>S72+S7</f>
        <v>149619.49999999997</v>
      </c>
      <c r="T74" s="61">
        <f>T72+T7</f>
        <v>132563.9</v>
      </c>
      <c r="U74" s="40">
        <f>T74/S74*100</f>
        <v>88.60068373440629</v>
      </c>
      <c r="V74" s="61">
        <f>V72+V7</f>
        <v>150706</v>
      </c>
      <c r="W74" s="61">
        <f>W72+W7</f>
        <v>140242.30000000002</v>
      </c>
      <c r="X74" s="40">
        <f>W74/V74*100</f>
        <v>93.05687895637865</v>
      </c>
      <c r="Y74" s="61">
        <f>Y72+Y7</f>
        <v>453196.5</v>
      </c>
      <c r="Z74" s="61">
        <f>Z72+Z7</f>
        <v>411343.20000000007</v>
      </c>
      <c r="AA74" s="40">
        <f t="shared" si="69"/>
        <v>90.76486689548575</v>
      </c>
      <c r="AB74" s="61">
        <f>AB72+AB7</f>
        <v>155315.6</v>
      </c>
      <c r="AC74" s="61">
        <f>AC72+AC7</f>
        <v>153553.40000000002</v>
      </c>
      <c r="AD74" s="40">
        <f>AC74/AB74*100</f>
        <v>98.86540695203831</v>
      </c>
      <c r="AE74" s="61">
        <f>AE72+AE7</f>
        <v>158581</v>
      </c>
      <c r="AF74" s="61">
        <f>AF72+AF7</f>
        <v>146931.5</v>
      </c>
      <c r="AG74" s="40">
        <f>AF74/AE74*100</f>
        <v>92.65391188099457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313896.6</v>
      </c>
      <c r="AL74" s="61">
        <f>AL72+AL7</f>
        <v>300484.9</v>
      </c>
      <c r="AM74" s="40">
        <f t="shared" si="64"/>
        <v>95.727350981183</v>
      </c>
      <c r="AN74" s="61">
        <f aca="true" t="shared" si="87" ref="AN74:AS74">AN72+AN7</f>
        <v>0</v>
      </c>
      <c r="AO74" s="61">
        <f t="shared" si="87"/>
        <v>0</v>
      </c>
      <c r="AP74" s="61">
        <f t="shared" si="87"/>
        <v>0</v>
      </c>
      <c r="AQ74" s="61">
        <f t="shared" si="87"/>
        <v>0</v>
      </c>
      <c r="AR74" s="61">
        <f t="shared" si="87"/>
        <v>0</v>
      </c>
      <c r="AS74" s="61">
        <f t="shared" si="87"/>
        <v>0</v>
      </c>
      <c r="AT74" s="39">
        <f t="shared" si="24"/>
        <v>1226327.9</v>
      </c>
      <c r="AU74" s="39">
        <f t="shared" si="25"/>
        <v>1125073.6</v>
      </c>
      <c r="AV74" s="40">
        <f>AU74/AT74*100</f>
        <v>91.74329312739277</v>
      </c>
      <c r="AW74" s="61">
        <f>AW72+AW7</f>
        <v>101254.30000000019</v>
      </c>
      <c r="AX74" s="61">
        <f>AX72+AX7</f>
        <v>785784.7000000002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Y5:AA5"/>
    <mergeCell ref="J5:L5"/>
    <mergeCell ref="AW5:AW6"/>
    <mergeCell ref="AE5:AG5"/>
    <mergeCell ref="AH5:AJ5"/>
    <mergeCell ref="AK5:AM5"/>
    <mergeCell ref="I1:AX1"/>
    <mergeCell ref="AT5:AV5"/>
    <mergeCell ref="M5:O5"/>
    <mergeCell ref="S5:U5"/>
    <mergeCell ref="P5:R5"/>
    <mergeCell ref="G5:I5"/>
    <mergeCell ref="AX5:AX6"/>
    <mergeCell ref="V5:X5"/>
    <mergeCell ref="B2:AX3"/>
    <mergeCell ref="AN5:AO5"/>
    <mergeCell ref="D5:F5"/>
    <mergeCell ref="AP5:AQ5"/>
    <mergeCell ref="AR5:AS5"/>
    <mergeCell ref="AB5:AD5"/>
    <mergeCell ref="B4:F4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Y4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6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customWidth="1"/>
    <col min="12" max="12" width="11.00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customWidth="1"/>
    <col min="19" max="19" width="14.75390625" style="2" customWidth="1"/>
    <col min="20" max="20" width="14.1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181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31.2</v>
      </c>
      <c r="T7" s="40">
        <f t="shared" si="0"/>
        <v>27.9</v>
      </c>
      <c r="U7" s="40" t="e">
        <f t="shared" si="0"/>
        <v>#DIV/0!</v>
      </c>
      <c r="V7" s="40">
        <f t="shared" si="0"/>
        <v>37.1</v>
      </c>
      <c r="W7" s="40">
        <f t="shared" si="0"/>
        <v>35.2</v>
      </c>
      <c r="X7" s="40" t="e">
        <f t="shared" si="0"/>
        <v>#DIV/0!</v>
      </c>
      <c r="Y7" s="40">
        <f t="shared" si="0"/>
        <v>93.19999999999999</v>
      </c>
      <c r="Z7" s="40">
        <f t="shared" si="0"/>
        <v>87.2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251.3</v>
      </c>
      <c r="AU7" s="39">
        <f t="shared" si="1"/>
        <v>241</v>
      </c>
      <c r="AV7" s="40">
        <f>AU7/AT7*100</f>
        <v>95.90131317150815</v>
      </c>
      <c r="AW7" s="40">
        <f t="shared" si="0"/>
        <v>10.299999999999955</v>
      </c>
      <c r="AX7" s="40">
        <f t="shared" si="0"/>
        <v>54.39999999999998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31.2</v>
      </c>
      <c r="T8" s="57">
        <f t="shared" si="8"/>
        <v>27.9</v>
      </c>
      <c r="U8" s="57" t="e">
        <f t="shared" si="8"/>
        <v>#DIV/0!</v>
      </c>
      <c r="V8" s="57">
        <f t="shared" si="8"/>
        <v>37.1</v>
      </c>
      <c r="W8" s="57">
        <f t="shared" si="8"/>
        <v>35.2</v>
      </c>
      <c r="X8" s="40">
        <f aca="true" t="shared" si="9" ref="X8:X24">W8/V8*100</f>
        <v>94.87870619946092</v>
      </c>
      <c r="Y8" s="40">
        <f aca="true" t="shared" si="10" ref="Y8:Y39">P8+S8+V8</f>
        <v>93.19999999999999</v>
      </c>
      <c r="Z8" s="40">
        <f aca="true" t="shared" si="11" ref="Z8:Z39">Q8+T8+W8</f>
        <v>87.2</v>
      </c>
      <c r="AA8" s="40">
        <f aca="true" t="shared" si="12" ref="AA8:AA73">Z8/Y8*100</f>
        <v>93.56223175965667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251.3</v>
      </c>
      <c r="AU8" s="39">
        <f t="shared" si="1"/>
        <v>241</v>
      </c>
      <c r="AV8" s="40">
        <f aca="true" t="shared" si="17" ref="AV8:AV73">AU8/AT8*100</f>
        <v>95.90131317150815</v>
      </c>
      <c r="AW8" s="40">
        <f>AT8-AU8</f>
        <v>10.300000000000011</v>
      </c>
      <c r="AX8" s="61">
        <f aca="true" t="shared" si="18" ref="AX8:AX39">C8+AT8-AU8</f>
        <v>51.19999999999999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>
        <v>31.2</v>
      </c>
      <c r="T11" s="43">
        <v>27.9</v>
      </c>
      <c r="U11" s="40">
        <f t="shared" si="20"/>
        <v>89.42307692307692</v>
      </c>
      <c r="V11" s="43">
        <v>37.1</v>
      </c>
      <c r="W11" s="43">
        <v>35.2</v>
      </c>
      <c r="X11" s="40">
        <f t="shared" si="9"/>
        <v>94.87870619946092</v>
      </c>
      <c r="Y11" s="44">
        <f t="shared" si="10"/>
        <v>93.19999999999999</v>
      </c>
      <c r="Z11" s="44">
        <f t="shared" si="11"/>
        <v>87.2</v>
      </c>
      <c r="AA11" s="40">
        <f t="shared" si="12"/>
        <v>93.56223175965667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251.2</v>
      </c>
      <c r="AU11" s="76">
        <f t="shared" si="23"/>
        <v>240.90000000000003</v>
      </c>
      <c r="AV11" s="40">
        <f t="shared" si="17"/>
        <v>95.89968152866244</v>
      </c>
      <c r="AW11" s="44">
        <f t="shared" si="22"/>
        <v>10.299999999999955</v>
      </c>
      <c r="AX11" s="45">
        <f t="shared" si="18"/>
        <v>47.39999999999998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31.2</v>
      </c>
      <c r="T74" s="61">
        <f>T72+T7</f>
        <v>27.9</v>
      </c>
      <c r="U74" s="40">
        <f t="shared" si="20"/>
        <v>89.42307692307692</v>
      </c>
      <c r="V74" s="61">
        <f>V72+V7</f>
        <v>37.1</v>
      </c>
      <c r="W74" s="61">
        <f>W72+W7</f>
        <v>35.2</v>
      </c>
      <c r="X74" s="40">
        <f>W74/V74*100</f>
        <v>94.87870619946092</v>
      </c>
      <c r="Y74" s="61">
        <f>Y72+Y7</f>
        <v>93.19999999999999</v>
      </c>
      <c r="Z74" s="61">
        <f>Z72+Z7</f>
        <v>87.2</v>
      </c>
      <c r="AA74" s="40">
        <f>Z74/Y74*100</f>
        <v>93.56223175965667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251.3</v>
      </c>
      <c r="AU74" s="39">
        <f t="shared" si="23"/>
        <v>241</v>
      </c>
      <c r="AV74" s="40">
        <f>AU74/AT74*100</f>
        <v>95.90131317150815</v>
      </c>
      <c r="AW74" s="61">
        <f>AW72+AW7</f>
        <v>10.299999999999955</v>
      </c>
      <c r="AX74" s="61">
        <f>AX72+AX7</f>
        <v>54.39999999999998</v>
      </c>
      <c r="AY74" s="21">
        <f>C74+AT74-AU74</f>
        <v>54.400000000000034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AX5:AX6"/>
    <mergeCell ref="Y5:AA5"/>
    <mergeCell ref="AW5:AW6"/>
    <mergeCell ref="M5:O5"/>
    <mergeCell ref="AR5:AS5"/>
    <mergeCell ref="AH5:AJ5"/>
    <mergeCell ref="B2:AX3"/>
    <mergeCell ref="B4:F4"/>
    <mergeCell ref="G5:I5"/>
    <mergeCell ref="AE5:AG5"/>
    <mergeCell ref="AK5:AM5"/>
    <mergeCell ref="AP5:AQ5"/>
    <mergeCell ref="J5:L5"/>
    <mergeCell ref="V5:X5"/>
    <mergeCell ref="S5:U5"/>
    <mergeCell ref="AB5:AD5"/>
    <mergeCell ref="D5:F5"/>
    <mergeCell ref="AN5:AO5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5" ySplit="4" topLeftCell="P3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51" t="s">
        <v>180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s="26" customFormat="1" ht="60" customHeight="1">
      <c r="A3" s="25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11.4</v>
      </c>
      <c r="T7" s="40">
        <f t="shared" si="0"/>
        <v>11.4</v>
      </c>
      <c r="U7" s="40" t="e">
        <f t="shared" si="0"/>
        <v>#DIV/0!</v>
      </c>
      <c r="V7" s="40">
        <f t="shared" si="0"/>
        <v>14.5</v>
      </c>
      <c r="W7" s="40">
        <f t="shared" si="0"/>
        <v>14.6</v>
      </c>
      <c r="X7" s="40" t="e">
        <f t="shared" si="0"/>
        <v>#DIV/0!</v>
      </c>
      <c r="Y7" s="40">
        <f t="shared" si="0"/>
        <v>39.7</v>
      </c>
      <c r="Z7" s="40">
        <f t="shared" si="0"/>
        <v>39.800000000000004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91.50000000000001</v>
      </c>
      <c r="AU7" s="39">
        <f t="shared" si="1"/>
        <v>87.80000000000001</v>
      </c>
      <c r="AV7" s="40">
        <f>AU7/AT7*100</f>
        <v>95.95628415300547</v>
      </c>
      <c r="AW7" s="40">
        <f t="shared" si="0"/>
        <v>3.700000000000003</v>
      </c>
      <c r="AX7" s="40">
        <f t="shared" si="0"/>
        <v>-331.79999999999995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11.4</v>
      </c>
      <c r="T8" s="57">
        <f t="shared" si="8"/>
        <v>11.4</v>
      </c>
      <c r="U8" s="57" t="e">
        <f t="shared" si="8"/>
        <v>#DIV/0!</v>
      </c>
      <c r="V8" s="57">
        <f t="shared" si="8"/>
        <v>14.5</v>
      </c>
      <c r="W8" s="57">
        <f t="shared" si="8"/>
        <v>14.6</v>
      </c>
      <c r="X8" s="40">
        <f aca="true" t="shared" si="9" ref="X8:X24">W8/V8*100</f>
        <v>100.6896551724138</v>
      </c>
      <c r="Y8" s="40">
        <f aca="true" t="shared" si="10" ref="Y8:Y39">P8+S8+V8</f>
        <v>39.7</v>
      </c>
      <c r="Z8" s="40">
        <f aca="true" t="shared" si="11" ref="Z8:Z39">Q8+T8+W8</f>
        <v>39.800000000000004</v>
      </c>
      <c r="AA8" s="40">
        <f aca="true" t="shared" si="12" ref="AA8:AA73">Z8/Y8*100</f>
        <v>100.25188916876576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91.5</v>
      </c>
      <c r="AU8" s="39">
        <f t="shared" si="1"/>
        <v>87.80000000000001</v>
      </c>
      <c r="AV8" s="40">
        <f aca="true" t="shared" si="17" ref="AV8:AV73">AU8/AT8*100</f>
        <v>95.95628415300548</v>
      </c>
      <c r="AW8" s="40">
        <f>AT8-AU8</f>
        <v>3.6999999999999886</v>
      </c>
      <c r="AX8" s="61">
        <f aca="true" t="shared" si="18" ref="AX8:AX39">C8+AT8-AU8</f>
        <v>-27.200000000000017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>
        <v>11.4</v>
      </c>
      <c r="T11" s="43">
        <v>11.4</v>
      </c>
      <c r="U11" s="40">
        <f t="shared" si="20"/>
        <v>100</v>
      </c>
      <c r="V11" s="43">
        <v>14.5</v>
      </c>
      <c r="W11" s="43">
        <v>14.6</v>
      </c>
      <c r="X11" s="40">
        <f t="shared" si="9"/>
        <v>100.6896551724138</v>
      </c>
      <c r="Y11" s="44">
        <f t="shared" si="10"/>
        <v>39.7</v>
      </c>
      <c r="Z11" s="44">
        <f t="shared" si="11"/>
        <v>39.800000000000004</v>
      </c>
      <c r="AA11" s="40">
        <f t="shared" si="12"/>
        <v>100.25188916876576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90.60000000000001</v>
      </c>
      <c r="AU11" s="76">
        <f t="shared" si="23"/>
        <v>86.9</v>
      </c>
      <c r="AV11" s="40">
        <f t="shared" si="17"/>
        <v>95.91611479028698</v>
      </c>
      <c r="AW11" s="44">
        <f t="shared" si="22"/>
        <v>3.700000000000003</v>
      </c>
      <c r="AX11" s="45">
        <f t="shared" si="18"/>
        <v>44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11.4</v>
      </c>
      <c r="T74" s="61">
        <f>T72+T7</f>
        <v>11.4</v>
      </c>
      <c r="U74" s="40">
        <f t="shared" si="20"/>
        <v>100</v>
      </c>
      <c r="V74" s="61">
        <f>V72+V7</f>
        <v>14.5</v>
      </c>
      <c r="W74" s="61">
        <f>W72+W7</f>
        <v>14.6</v>
      </c>
      <c r="X74" s="40">
        <f>W74/V74*100</f>
        <v>100.6896551724138</v>
      </c>
      <c r="Y74" s="61">
        <f>Y72+Y7</f>
        <v>39.7</v>
      </c>
      <c r="Z74" s="61">
        <f>Z72+Z7</f>
        <v>39.800000000000004</v>
      </c>
      <c r="AA74" s="40">
        <f>Z74/Y74*100</f>
        <v>100.25188916876576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91.50000000000001</v>
      </c>
      <c r="AU74" s="39">
        <f t="shared" si="23"/>
        <v>87.80000000000001</v>
      </c>
      <c r="AV74" s="40">
        <f>AU74/AT74*100</f>
        <v>95.95628415300547</v>
      </c>
      <c r="AW74" s="61">
        <f>AW72+AW7</f>
        <v>3.700000000000003</v>
      </c>
      <c r="AX74" s="61">
        <f>AX72+AX7</f>
        <v>-331.79999999999995</v>
      </c>
      <c r="AY74" s="21">
        <f>C74+AT74-AU74</f>
        <v>-331.8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50" t="s">
        <v>45</v>
      </c>
      <c r="B75" s="15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  <mergeCell ref="J5:L5"/>
    <mergeCell ref="A75:B75"/>
    <mergeCell ref="Y5:AA5"/>
    <mergeCell ref="AN5:AO5"/>
    <mergeCell ref="AK5:AM5"/>
    <mergeCell ref="AH5:AJ5"/>
    <mergeCell ref="AT5:AV5"/>
    <mergeCell ref="V5:X5"/>
    <mergeCell ref="S5:U5"/>
    <mergeCell ref="AR5:AS5"/>
    <mergeCell ref="AE5:AG5"/>
    <mergeCell ref="M5:O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2" ySplit="4" topLeftCell="R6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D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179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676.7199999999999</v>
      </c>
      <c r="E7" s="40">
        <f t="shared" si="0"/>
        <v>27.500000000000004</v>
      </c>
      <c r="F7" s="41">
        <f aca="true" t="shared" si="1" ref="F7:F51">E7/D7*100</f>
        <v>4.063719115734721</v>
      </c>
      <c r="G7" s="40">
        <f t="shared" si="0"/>
        <v>665.2260000000001</v>
      </c>
      <c r="H7" s="40">
        <f t="shared" si="0"/>
        <v>176.71999999999997</v>
      </c>
      <c r="I7" s="41">
        <f>H7/G7*100</f>
        <v>26.565407846355964</v>
      </c>
      <c r="J7" s="40">
        <f t="shared" si="0"/>
        <v>672.8259999999998</v>
      </c>
      <c r="K7" s="40">
        <f t="shared" si="0"/>
        <v>1047.4260000000002</v>
      </c>
      <c r="L7" s="40">
        <f>K7/J7*100</f>
        <v>155.67561301138787</v>
      </c>
      <c r="M7" s="40">
        <f t="shared" si="0"/>
        <v>2014.772</v>
      </c>
      <c r="N7" s="40">
        <f t="shared" si="0"/>
        <v>1251.6460000000002</v>
      </c>
      <c r="O7" s="40" t="e">
        <f t="shared" si="0"/>
        <v>#DIV/0!</v>
      </c>
      <c r="P7" s="40">
        <f t="shared" si="0"/>
        <v>742.6259999999995</v>
      </c>
      <c r="Q7" s="40">
        <f t="shared" si="0"/>
        <v>501.6259999999998</v>
      </c>
      <c r="R7" s="40" t="e">
        <f t="shared" si="0"/>
        <v>#DIV/0!</v>
      </c>
      <c r="S7" s="40">
        <f t="shared" si="0"/>
        <v>725.1260000000002</v>
      </c>
      <c r="T7" s="40">
        <f t="shared" si="0"/>
        <v>387.7260000000001</v>
      </c>
      <c r="U7" s="40" t="e">
        <f t="shared" si="0"/>
        <v>#DIV/0!</v>
      </c>
      <c r="V7" s="40">
        <f t="shared" si="0"/>
        <v>786.9200000000001</v>
      </c>
      <c r="W7" s="40">
        <f t="shared" si="0"/>
        <v>787.2259999999997</v>
      </c>
      <c r="X7" s="40" t="e">
        <f t="shared" si="0"/>
        <v>#DIV/0!</v>
      </c>
      <c r="Y7" s="40">
        <f t="shared" si="0"/>
        <v>2254.672</v>
      </c>
      <c r="Z7" s="40">
        <f t="shared" si="0"/>
        <v>1676.5780000000013</v>
      </c>
      <c r="AA7" s="40">
        <f>Z7/Y7*100</f>
        <v>74.36017300964404</v>
      </c>
      <c r="AB7" s="40">
        <f t="shared" si="0"/>
        <v>682.1400000000001</v>
      </c>
      <c r="AC7" s="40">
        <f t="shared" si="0"/>
        <v>493.7199999999999</v>
      </c>
      <c r="AD7" s="40">
        <f>AC7/AB7*100</f>
        <v>72.37810420148354</v>
      </c>
      <c r="AE7" s="40">
        <f t="shared" si="0"/>
        <v>693.6330000000003</v>
      </c>
      <c r="AF7" s="40">
        <f t="shared" si="0"/>
        <v>503.3399999999999</v>
      </c>
      <c r="AG7" s="40">
        <f>AF7/AE7*100</f>
        <v>72.56575162946396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1375.7730000000004</v>
      </c>
      <c r="AL7" s="40">
        <f t="shared" si="0"/>
        <v>997.0599999999996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5645.217</v>
      </c>
      <c r="AU7" s="39">
        <f t="shared" si="2"/>
        <v>3925.284000000001</v>
      </c>
      <c r="AV7" s="40">
        <f>AU7/AT7*100</f>
        <v>69.53291609516519</v>
      </c>
      <c r="AW7" s="40">
        <f t="shared" si="0"/>
        <v>1719.933</v>
      </c>
      <c r="AX7" s="40">
        <f t="shared" si="0"/>
        <v>1670.0330000000001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26.999999999999996</v>
      </c>
      <c r="T8" s="57">
        <f t="shared" si="8"/>
        <v>39.5</v>
      </c>
      <c r="U8" s="57" t="e">
        <f t="shared" si="8"/>
        <v>#DIV/0!</v>
      </c>
      <c r="V8" s="57">
        <f t="shared" si="8"/>
        <v>29.5</v>
      </c>
      <c r="W8" s="57">
        <f t="shared" si="8"/>
        <v>30.200000000000003</v>
      </c>
      <c r="X8" s="40">
        <f aca="true" t="shared" si="9" ref="X8:X24">W8/V8*100</f>
        <v>102.37288135593221</v>
      </c>
      <c r="Y8" s="40">
        <f aca="true" t="shared" si="10" ref="Y8:Y39">P8+S8+V8</f>
        <v>82.5</v>
      </c>
      <c r="Z8" s="40">
        <f aca="true" t="shared" si="11" ref="Z8:Z39">Q8+T8+W8</f>
        <v>88.1</v>
      </c>
      <c r="AA8" s="40">
        <f aca="true" t="shared" si="12" ref="AA8:AA73">Z8/Y8*100</f>
        <v>106.78787878787878</v>
      </c>
      <c r="AB8" s="57">
        <f aca="true" t="shared" si="13" ref="AB8:AI8">SUM(AB9:AB13)</f>
        <v>24.6</v>
      </c>
      <c r="AC8" s="57">
        <f t="shared" si="13"/>
        <v>40</v>
      </c>
      <c r="AD8" s="40">
        <f aca="true" t="shared" si="14" ref="AD8:AD71">AC8/AB8*100</f>
        <v>162.60162601626016</v>
      </c>
      <c r="AE8" s="57">
        <f t="shared" si="13"/>
        <v>34.9</v>
      </c>
      <c r="AF8" s="57">
        <f t="shared" si="13"/>
        <v>26.600000000000005</v>
      </c>
      <c r="AG8" s="40">
        <f aca="true" t="shared" si="15" ref="AG8:AG71">AF8/AE8*100</f>
        <v>76.21776504297996</v>
      </c>
      <c r="AH8" s="57">
        <f t="shared" si="13"/>
        <v>0</v>
      </c>
      <c r="AI8" s="57">
        <f t="shared" si="13"/>
        <v>0</v>
      </c>
      <c r="AJ8" s="40" t="e">
        <f aca="true" t="shared" si="16" ref="AJ8:AJ74">AI8/AH8*100</f>
        <v>#DIV/0!</v>
      </c>
      <c r="AK8" s="40">
        <f>AB8+AE8+AH8</f>
        <v>59.5</v>
      </c>
      <c r="AL8" s="40">
        <f>AC8+AF8+AI8</f>
        <v>66.60000000000001</v>
      </c>
      <c r="AM8" s="40">
        <f aca="true" t="shared" si="17" ref="AM8:AM73">AL8/AK8*100</f>
        <v>111.93277310924373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223.8</v>
      </c>
      <c r="AU8" s="39">
        <f t="shared" si="2"/>
        <v>191.39999999999998</v>
      </c>
      <c r="AV8" s="40">
        <f aca="true" t="shared" si="19" ref="AV8:AV73">AU8/AT8*100</f>
        <v>85.52278820375334</v>
      </c>
      <c r="AW8" s="40">
        <f>AT8-AU8</f>
        <v>32.400000000000034</v>
      </c>
      <c r="AX8" s="61">
        <f aca="true" t="shared" si="20" ref="AX8:AX39">C8+AT8-AU8</f>
        <v>0.5000000000000284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21" ref="R9:R74">Q9/P9*100</f>
        <v>81.60919540229885</v>
      </c>
      <c r="S9" s="73">
        <v>8.3</v>
      </c>
      <c r="T9" s="73">
        <v>9.7</v>
      </c>
      <c r="U9" s="38">
        <f aca="true" t="shared" si="22" ref="U9:U74">T9/S9*100</f>
        <v>116.86746987951805</v>
      </c>
      <c r="V9" s="73">
        <v>11.8</v>
      </c>
      <c r="W9" s="73">
        <v>17.1</v>
      </c>
      <c r="X9" s="38">
        <f t="shared" si="9"/>
        <v>144.91525423728814</v>
      </c>
      <c r="Y9" s="75">
        <f t="shared" si="10"/>
        <v>28.8</v>
      </c>
      <c r="Z9" s="75">
        <f t="shared" si="11"/>
        <v>33.9</v>
      </c>
      <c r="AA9" s="38">
        <f t="shared" si="12"/>
        <v>117.70833333333333</v>
      </c>
      <c r="AB9" s="73">
        <v>6.3</v>
      </c>
      <c r="AC9" s="73">
        <v>12.1</v>
      </c>
      <c r="AD9" s="40">
        <f t="shared" si="14"/>
        <v>192.06349206349208</v>
      </c>
      <c r="AE9" s="73">
        <v>10.6</v>
      </c>
      <c r="AF9" s="73">
        <v>9.9</v>
      </c>
      <c r="AG9" s="40">
        <f t="shared" si="15"/>
        <v>93.39622641509435</v>
      </c>
      <c r="AH9" s="73"/>
      <c r="AI9" s="73"/>
      <c r="AJ9" s="38" t="e">
        <f t="shared" si="16"/>
        <v>#DIV/0!</v>
      </c>
      <c r="AK9" s="75">
        <f aca="true" t="shared" si="23" ref="AK9:AL62">AB9+AE9+AH9</f>
        <v>16.9</v>
      </c>
      <c r="AL9" s="75">
        <f t="shared" si="23"/>
        <v>22</v>
      </c>
      <c r="AM9" s="38">
        <f t="shared" si="17"/>
        <v>130.17751479289942</v>
      </c>
      <c r="AN9" s="73"/>
      <c r="AO9" s="73"/>
      <c r="AP9" s="73"/>
      <c r="AQ9" s="73"/>
      <c r="AR9" s="73"/>
      <c r="AS9" s="73"/>
      <c r="AT9" s="76">
        <f t="shared" si="2"/>
        <v>67.80000000000001</v>
      </c>
      <c r="AU9" s="76">
        <f t="shared" si="2"/>
        <v>69.2</v>
      </c>
      <c r="AV9" s="38">
        <f t="shared" si="19"/>
        <v>102.06489675516224</v>
      </c>
      <c r="AW9" s="75">
        <f aca="true" t="shared" si="24" ref="AW9:AW73">AT9-AU9</f>
        <v>-1.3999999999999915</v>
      </c>
      <c r="AX9" s="77">
        <f t="shared" si="20"/>
        <v>-27.39999999999999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21"/>
        <v>37.96296296296296</v>
      </c>
      <c r="S10" s="43">
        <v>10.1</v>
      </c>
      <c r="T10" s="43">
        <v>21.1</v>
      </c>
      <c r="U10" s="46">
        <f t="shared" si="22"/>
        <v>208.91089108910893</v>
      </c>
      <c r="V10" s="43">
        <v>10.1</v>
      </c>
      <c r="W10" s="43">
        <v>5.7</v>
      </c>
      <c r="X10" s="46">
        <f t="shared" si="9"/>
        <v>56.43564356435644</v>
      </c>
      <c r="Y10" s="44">
        <f t="shared" si="10"/>
        <v>31</v>
      </c>
      <c r="Z10" s="44">
        <f t="shared" si="11"/>
        <v>30.900000000000002</v>
      </c>
      <c r="AA10" s="40">
        <f t="shared" si="12"/>
        <v>99.67741935483872</v>
      </c>
      <c r="AB10" s="43">
        <f>12.1</f>
        <v>12.1</v>
      </c>
      <c r="AC10" s="43">
        <f>22.5</f>
        <v>22.5</v>
      </c>
      <c r="AD10" s="40">
        <f t="shared" si="14"/>
        <v>185.9504132231405</v>
      </c>
      <c r="AE10" s="43">
        <v>13.4</v>
      </c>
      <c r="AF10" s="43">
        <v>10.3</v>
      </c>
      <c r="AG10" s="40">
        <f t="shared" si="15"/>
        <v>76.86567164179104</v>
      </c>
      <c r="AH10" s="43"/>
      <c r="AI10" s="43"/>
      <c r="AJ10" s="40" t="e">
        <f t="shared" si="16"/>
        <v>#DIV/0!</v>
      </c>
      <c r="AK10" s="44">
        <f t="shared" si="23"/>
        <v>25.5</v>
      </c>
      <c r="AL10" s="44">
        <f t="shared" si="23"/>
        <v>32.8</v>
      </c>
      <c r="AM10" s="40">
        <f t="shared" si="17"/>
        <v>128.62745098039215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90.1</v>
      </c>
      <c r="AU10" s="76">
        <f t="shared" si="25"/>
        <v>71</v>
      </c>
      <c r="AV10" s="40">
        <f>AU10/AT10*100</f>
        <v>78.80133185349611</v>
      </c>
      <c r="AW10" s="44">
        <f>AT10-AU10</f>
        <v>19.099999999999994</v>
      </c>
      <c r="AX10" s="45">
        <f t="shared" si="20"/>
        <v>13.099999999999994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1"/>
        <v>#DIV/0!</v>
      </c>
      <c r="S11" s="43"/>
      <c r="T11" s="43"/>
      <c r="U11" s="40" t="e">
        <f t="shared" si="22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 t="e">
        <f t="shared" si="15"/>
        <v>#DIV/0!</v>
      </c>
      <c r="AH11" s="43"/>
      <c r="AI11" s="43"/>
      <c r="AJ11" s="40" t="e">
        <f t="shared" si="16"/>
        <v>#DIV/0!</v>
      </c>
      <c r="AK11" s="44">
        <f t="shared" si="23"/>
        <v>0</v>
      </c>
      <c r="AL11" s="44">
        <f t="shared" si="23"/>
        <v>0</v>
      </c>
      <c r="AM11" s="40" t="e">
        <f t="shared" si="17"/>
        <v>#DIV/0!</v>
      </c>
      <c r="AN11" s="43"/>
      <c r="AO11" s="43"/>
      <c r="AP11" s="43"/>
      <c r="AQ11" s="43"/>
      <c r="AR11" s="43"/>
      <c r="AS11" s="43"/>
      <c r="AT11" s="76">
        <f t="shared" si="25"/>
        <v>0</v>
      </c>
      <c r="AU11" s="76">
        <f t="shared" si="25"/>
        <v>0</v>
      </c>
      <c r="AV11" s="40" t="e">
        <f t="shared" si="19"/>
        <v>#DIV/0!</v>
      </c>
      <c r="AW11" s="44">
        <f t="shared" si="24"/>
        <v>0</v>
      </c>
      <c r="AX11" s="45">
        <f t="shared" si="20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21"/>
        <v>0</v>
      </c>
      <c r="S12" s="43">
        <v>1.4</v>
      </c>
      <c r="T12" s="43">
        <v>1</v>
      </c>
      <c r="U12" s="40">
        <f t="shared" si="22"/>
        <v>71.42857142857143</v>
      </c>
      <c r="V12" s="43">
        <v>1.2</v>
      </c>
      <c r="W12" s="43">
        <v>1.5</v>
      </c>
      <c r="X12" s="48">
        <f t="shared" si="9"/>
        <v>125</v>
      </c>
      <c r="Y12" s="44">
        <f t="shared" si="10"/>
        <v>4</v>
      </c>
      <c r="Z12" s="44">
        <f t="shared" si="11"/>
        <v>2.5</v>
      </c>
      <c r="AA12" s="40">
        <f t="shared" si="12"/>
        <v>62.5</v>
      </c>
      <c r="AB12" s="43">
        <v>1.3</v>
      </c>
      <c r="AC12" s="43">
        <v>0.8</v>
      </c>
      <c r="AD12" s="40">
        <f t="shared" si="14"/>
        <v>61.53846153846154</v>
      </c>
      <c r="AE12" s="43">
        <v>1.3</v>
      </c>
      <c r="AF12" s="43">
        <v>0.1</v>
      </c>
      <c r="AG12" s="40">
        <f t="shared" si="15"/>
        <v>7.6923076923076925</v>
      </c>
      <c r="AH12" s="43"/>
      <c r="AI12" s="43"/>
      <c r="AJ12" s="40" t="e">
        <f t="shared" si="16"/>
        <v>#DIV/0!</v>
      </c>
      <c r="AK12" s="44">
        <f t="shared" si="23"/>
        <v>2.6</v>
      </c>
      <c r="AL12" s="44">
        <f t="shared" si="23"/>
        <v>0.9</v>
      </c>
      <c r="AM12" s="40">
        <f t="shared" si="17"/>
        <v>34.61538461538461</v>
      </c>
      <c r="AN12" s="43"/>
      <c r="AO12" s="43"/>
      <c r="AP12" s="43"/>
      <c r="AQ12" s="43"/>
      <c r="AR12" s="43"/>
      <c r="AS12" s="43"/>
      <c r="AT12" s="76">
        <f t="shared" si="25"/>
        <v>9.6</v>
      </c>
      <c r="AU12" s="76">
        <f t="shared" si="25"/>
        <v>3.6</v>
      </c>
      <c r="AV12" s="40">
        <f t="shared" si="19"/>
        <v>37.5</v>
      </c>
      <c r="AW12" s="44">
        <f t="shared" si="24"/>
        <v>6</v>
      </c>
      <c r="AX12" s="45">
        <f t="shared" si="20"/>
        <v>5.1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21"/>
        <v>141.1764705882353</v>
      </c>
      <c r="S13" s="43">
        <v>7.2</v>
      </c>
      <c r="T13" s="43">
        <v>7.7</v>
      </c>
      <c r="U13" s="40">
        <f t="shared" si="22"/>
        <v>106.94444444444444</v>
      </c>
      <c r="V13" s="43">
        <v>6.4</v>
      </c>
      <c r="W13" s="43">
        <v>5.9</v>
      </c>
      <c r="X13" s="40">
        <f t="shared" si="9"/>
        <v>92.1875</v>
      </c>
      <c r="Y13" s="44">
        <f t="shared" si="10"/>
        <v>18.700000000000003</v>
      </c>
      <c r="Z13" s="44">
        <f t="shared" si="11"/>
        <v>20.8</v>
      </c>
      <c r="AA13" s="40">
        <f t="shared" si="12"/>
        <v>111.22994652406415</v>
      </c>
      <c r="AB13" s="43">
        <v>4.9</v>
      </c>
      <c r="AC13" s="43">
        <v>4.6</v>
      </c>
      <c r="AD13" s="40">
        <f t="shared" si="14"/>
        <v>93.87755102040815</v>
      </c>
      <c r="AE13" s="43">
        <v>9.6</v>
      </c>
      <c r="AF13" s="43">
        <v>6.3</v>
      </c>
      <c r="AG13" s="40">
        <f t="shared" si="15"/>
        <v>65.625</v>
      </c>
      <c r="AH13" s="43"/>
      <c r="AI13" s="43"/>
      <c r="AJ13" s="40" t="e">
        <f t="shared" si="16"/>
        <v>#DIV/0!</v>
      </c>
      <c r="AK13" s="44">
        <f t="shared" si="23"/>
        <v>14.5</v>
      </c>
      <c r="AL13" s="44">
        <f t="shared" si="23"/>
        <v>10.899999999999999</v>
      </c>
      <c r="AM13" s="40">
        <f t="shared" si="17"/>
        <v>75.17241379310344</v>
      </c>
      <c r="AN13" s="43"/>
      <c r="AO13" s="43"/>
      <c r="AP13" s="43"/>
      <c r="AQ13" s="43"/>
      <c r="AR13" s="43"/>
      <c r="AS13" s="43"/>
      <c r="AT13" s="76">
        <f t="shared" si="25"/>
        <v>56.300000000000004</v>
      </c>
      <c r="AU13" s="76">
        <f t="shared" si="25"/>
        <v>47.6</v>
      </c>
      <c r="AV13" s="40">
        <f t="shared" si="19"/>
        <v>84.54706927175843</v>
      </c>
      <c r="AW13" s="44">
        <f t="shared" si="24"/>
        <v>8.700000000000003</v>
      </c>
      <c r="AX13" s="45">
        <f t="shared" si="20"/>
        <v>9.700000000000003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6" ref="P14:W14">SUM(P15:P22)</f>
        <v>154.7</v>
      </c>
      <c r="Q14" s="57">
        <f t="shared" si="26"/>
        <v>162.6</v>
      </c>
      <c r="R14" s="57" t="e">
        <f t="shared" si="26"/>
        <v>#DIV/0!</v>
      </c>
      <c r="S14" s="57">
        <f t="shared" si="26"/>
        <v>160.3</v>
      </c>
      <c r="T14" s="57">
        <f t="shared" si="26"/>
        <v>76.50000000000001</v>
      </c>
      <c r="U14" s="57" t="e">
        <f t="shared" si="26"/>
        <v>#DIV/0!</v>
      </c>
      <c r="V14" s="57">
        <f t="shared" si="26"/>
        <v>163</v>
      </c>
      <c r="W14" s="57">
        <f t="shared" si="26"/>
        <v>245.5</v>
      </c>
      <c r="X14" s="40">
        <f t="shared" si="9"/>
        <v>150.61349693251535</v>
      </c>
      <c r="Y14" s="40">
        <f t="shared" si="10"/>
        <v>478</v>
      </c>
      <c r="Z14" s="40">
        <f t="shared" si="11"/>
        <v>484.6</v>
      </c>
      <c r="AA14" s="40">
        <f t="shared" si="12"/>
        <v>101.3807531380753</v>
      </c>
      <c r="AB14" s="57">
        <f aca="true" t="shared" si="27" ref="AB14:AI14">SUM(AB15:AB22)</f>
        <v>161.70000000000002</v>
      </c>
      <c r="AC14" s="57">
        <f t="shared" si="27"/>
        <v>93.10000000000001</v>
      </c>
      <c r="AD14" s="40">
        <f t="shared" si="14"/>
        <v>57.57575757575758</v>
      </c>
      <c r="AE14" s="57">
        <f t="shared" si="27"/>
        <v>188.8</v>
      </c>
      <c r="AF14" s="57">
        <f t="shared" si="27"/>
        <v>134.3</v>
      </c>
      <c r="AG14" s="40">
        <f t="shared" si="15"/>
        <v>71.13347457627118</v>
      </c>
      <c r="AH14" s="57">
        <f t="shared" si="27"/>
        <v>0</v>
      </c>
      <c r="AI14" s="57">
        <f t="shared" si="27"/>
        <v>0</v>
      </c>
      <c r="AJ14" s="40" t="e">
        <f t="shared" si="16"/>
        <v>#DIV/0!</v>
      </c>
      <c r="AK14" s="40">
        <f t="shared" si="23"/>
        <v>350.5</v>
      </c>
      <c r="AL14" s="40">
        <f t="shared" si="23"/>
        <v>227.40000000000003</v>
      </c>
      <c r="AM14" s="40">
        <f t="shared" si="17"/>
        <v>64.8787446504993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1238.9</v>
      </c>
      <c r="AU14" s="39">
        <f t="shared" si="25"/>
        <v>864.8000000000002</v>
      </c>
      <c r="AV14" s="40">
        <f t="shared" si="19"/>
        <v>69.8038582613609</v>
      </c>
      <c r="AW14" s="40">
        <f t="shared" si="24"/>
        <v>374.0999999999999</v>
      </c>
      <c r="AX14" s="61">
        <f t="shared" si="20"/>
        <v>259.0999999999999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21"/>
        <v>100.18181818181819</v>
      </c>
      <c r="S15" s="43">
        <v>116.5</v>
      </c>
      <c r="T15" s="43">
        <v>31.5</v>
      </c>
      <c r="U15" s="40">
        <f t="shared" si="22"/>
        <v>27.038626609442062</v>
      </c>
      <c r="V15" s="43">
        <v>106.3</v>
      </c>
      <c r="W15" s="43">
        <v>192.2</v>
      </c>
      <c r="X15" s="40">
        <f t="shared" si="9"/>
        <v>180.8090310442145</v>
      </c>
      <c r="Y15" s="44">
        <f t="shared" si="10"/>
        <v>332.8</v>
      </c>
      <c r="Z15" s="44">
        <f t="shared" si="11"/>
        <v>333.9</v>
      </c>
      <c r="AA15" s="40">
        <f t="shared" si="12"/>
        <v>100.33052884615384</v>
      </c>
      <c r="AB15" s="43">
        <v>91.3</v>
      </c>
      <c r="AC15" s="43">
        <v>13.1</v>
      </c>
      <c r="AD15" s="40">
        <f t="shared" si="14"/>
        <v>14.348302300109527</v>
      </c>
      <c r="AE15" s="43">
        <v>131.8</v>
      </c>
      <c r="AF15" s="43">
        <v>99</v>
      </c>
      <c r="AG15" s="40">
        <f t="shared" si="15"/>
        <v>75.11380880121395</v>
      </c>
      <c r="AH15" s="43"/>
      <c r="AI15" s="43"/>
      <c r="AJ15" s="40" t="e">
        <f t="shared" si="16"/>
        <v>#DIV/0!</v>
      </c>
      <c r="AK15" s="44">
        <f t="shared" si="23"/>
        <v>223.10000000000002</v>
      </c>
      <c r="AL15" s="44">
        <f t="shared" si="23"/>
        <v>112.1</v>
      </c>
      <c r="AM15" s="40">
        <f t="shared" si="17"/>
        <v>50.246526221425356</v>
      </c>
      <c r="AN15" s="43"/>
      <c r="AO15" s="43"/>
      <c r="AP15" s="43"/>
      <c r="AQ15" s="43"/>
      <c r="AR15" s="43"/>
      <c r="AS15" s="43"/>
      <c r="AT15" s="76">
        <f t="shared" si="25"/>
        <v>859.0000000000001</v>
      </c>
      <c r="AU15" s="76">
        <f t="shared" si="25"/>
        <v>565</v>
      </c>
      <c r="AV15" s="40">
        <f t="shared" si="19"/>
        <v>65.7741559953434</v>
      </c>
      <c r="AW15" s="44">
        <f t="shared" si="24"/>
        <v>294.0000000000001</v>
      </c>
      <c r="AX15" s="45">
        <f t="shared" si="20"/>
        <v>205.10000000000014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21"/>
        <v>116.66666666666667</v>
      </c>
      <c r="S16" s="43">
        <v>1.2</v>
      </c>
      <c r="T16" s="43">
        <v>1.1</v>
      </c>
      <c r="U16" s="40">
        <f t="shared" si="22"/>
        <v>91.66666666666667</v>
      </c>
      <c r="V16" s="43">
        <v>1.3</v>
      </c>
      <c r="W16" s="43">
        <v>1.4</v>
      </c>
      <c r="X16" s="40">
        <f t="shared" si="9"/>
        <v>107.6923076923077</v>
      </c>
      <c r="Y16" s="44">
        <f t="shared" si="10"/>
        <v>4.3</v>
      </c>
      <c r="Z16" s="44">
        <f t="shared" si="11"/>
        <v>4.6</v>
      </c>
      <c r="AA16" s="40">
        <f t="shared" si="12"/>
        <v>106.9767441860465</v>
      </c>
      <c r="AB16" s="43">
        <v>1.3</v>
      </c>
      <c r="AC16" s="43">
        <v>1.1</v>
      </c>
      <c r="AD16" s="40">
        <f t="shared" si="14"/>
        <v>84.61538461538461</v>
      </c>
      <c r="AE16" s="43">
        <v>1.5</v>
      </c>
      <c r="AF16" s="43">
        <v>1.1</v>
      </c>
      <c r="AG16" s="40">
        <f t="shared" si="15"/>
        <v>73.33333333333334</v>
      </c>
      <c r="AH16" s="43"/>
      <c r="AI16" s="43"/>
      <c r="AJ16" s="40" t="e">
        <f t="shared" si="16"/>
        <v>#DIV/0!</v>
      </c>
      <c r="AK16" s="44">
        <f t="shared" si="23"/>
        <v>2.8</v>
      </c>
      <c r="AL16" s="44">
        <f t="shared" si="23"/>
        <v>2.2</v>
      </c>
      <c r="AM16" s="40">
        <f t="shared" si="17"/>
        <v>78.57142857142858</v>
      </c>
      <c r="AN16" s="43"/>
      <c r="AO16" s="43"/>
      <c r="AP16" s="43"/>
      <c r="AQ16" s="43"/>
      <c r="AR16" s="43"/>
      <c r="AS16" s="43"/>
      <c r="AT16" s="76">
        <f t="shared" si="25"/>
        <v>13.3</v>
      </c>
      <c r="AU16" s="76">
        <f t="shared" si="25"/>
        <v>9.1</v>
      </c>
      <c r="AV16" s="40">
        <f t="shared" si="19"/>
        <v>68.42105263157893</v>
      </c>
      <c r="AW16" s="44">
        <f t="shared" si="24"/>
        <v>4.200000000000001</v>
      </c>
      <c r="AX16" s="45">
        <f t="shared" si="20"/>
        <v>4.000000000000002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21"/>
        <v>45.19230769230769</v>
      </c>
      <c r="S17" s="43">
        <v>9.9</v>
      </c>
      <c r="T17" s="43">
        <v>6.2</v>
      </c>
      <c r="U17" s="40">
        <f t="shared" si="22"/>
        <v>62.62626262626263</v>
      </c>
      <c r="V17" s="43">
        <v>10.4</v>
      </c>
      <c r="W17" s="43">
        <v>9.6</v>
      </c>
      <c r="X17" s="40">
        <f t="shared" si="9"/>
        <v>92.3076923076923</v>
      </c>
      <c r="Y17" s="44">
        <f t="shared" si="10"/>
        <v>30.700000000000003</v>
      </c>
      <c r="Z17" s="44">
        <f t="shared" si="11"/>
        <v>20.5</v>
      </c>
      <c r="AA17" s="40">
        <f t="shared" si="12"/>
        <v>66.77524429967427</v>
      </c>
      <c r="AB17" s="43">
        <v>9.7</v>
      </c>
      <c r="AC17" s="43">
        <v>16.5</v>
      </c>
      <c r="AD17" s="40">
        <f t="shared" si="14"/>
        <v>170.10309278350516</v>
      </c>
      <c r="AE17" s="43">
        <v>12</v>
      </c>
      <c r="AF17" s="43">
        <v>0.7</v>
      </c>
      <c r="AG17" s="40">
        <f t="shared" si="15"/>
        <v>5.833333333333333</v>
      </c>
      <c r="AH17" s="43"/>
      <c r="AI17" s="43"/>
      <c r="AJ17" s="40" t="e">
        <f t="shared" si="16"/>
        <v>#DIV/0!</v>
      </c>
      <c r="AK17" s="44">
        <f t="shared" si="23"/>
        <v>21.7</v>
      </c>
      <c r="AL17" s="44">
        <f t="shared" si="23"/>
        <v>17.2</v>
      </c>
      <c r="AM17" s="40">
        <f t="shared" si="17"/>
        <v>79.26267281105991</v>
      </c>
      <c r="AN17" s="43"/>
      <c r="AO17" s="43"/>
      <c r="AP17" s="43"/>
      <c r="AQ17" s="43"/>
      <c r="AR17" s="43"/>
      <c r="AS17" s="43"/>
      <c r="AT17" s="76">
        <f t="shared" si="25"/>
        <v>78.8</v>
      </c>
      <c r="AU17" s="76">
        <f t="shared" si="25"/>
        <v>44.3</v>
      </c>
      <c r="AV17" s="40">
        <f t="shared" si="19"/>
        <v>56.21827411167513</v>
      </c>
      <c r="AW17" s="44">
        <f t="shared" si="24"/>
        <v>34.5</v>
      </c>
      <c r="AX17" s="45">
        <f t="shared" si="20"/>
        <v>16.799999999999997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f>-12.1-(-3.9)</f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21"/>
        <v>140.55727554179566</v>
      </c>
      <c r="S19" s="43">
        <v>32.5</v>
      </c>
      <c r="T19" s="43">
        <f>56.3-6.4-12.4</f>
        <v>37.5</v>
      </c>
      <c r="U19" s="40">
        <f t="shared" si="22"/>
        <v>115.38461538461537</v>
      </c>
      <c r="V19" s="43">
        <v>44.7</v>
      </c>
      <c r="W19" s="43">
        <v>42</v>
      </c>
      <c r="X19" s="48">
        <f t="shared" si="9"/>
        <v>93.95973154362416</v>
      </c>
      <c r="Y19" s="44">
        <f t="shared" si="10"/>
        <v>109.5</v>
      </c>
      <c r="Z19" s="44">
        <f t="shared" si="11"/>
        <v>124.9</v>
      </c>
      <c r="AA19" s="40">
        <f t="shared" si="12"/>
        <v>114.06392694063928</v>
      </c>
      <c r="AB19" s="43">
        <f>78-19.5</f>
        <v>58.5</v>
      </c>
      <c r="AC19" s="43">
        <f>76.2-14.7</f>
        <v>61.5</v>
      </c>
      <c r="AD19" s="40">
        <f t="shared" si="14"/>
        <v>105.12820512820514</v>
      </c>
      <c r="AE19" s="43">
        <f>50-6.5</f>
        <v>43.5</v>
      </c>
      <c r="AF19" s="43">
        <f>51-17.5</f>
        <v>33.5</v>
      </c>
      <c r="AG19" s="40">
        <f t="shared" si="15"/>
        <v>77.01149425287356</v>
      </c>
      <c r="AH19" s="43"/>
      <c r="AI19" s="43"/>
      <c r="AJ19" s="40" t="e">
        <f t="shared" si="16"/>
        <v>#DIV/0!</v>
      </c>
      <c r="AK19" s="44">
        <f t="shared" si="23"/>
        <v>102</v>
      </c>
      <c r="AL19" s="44">
        <f t="shared" si="23"/>
        <v>95</v>
      </c>
      <c r="AM19" s="40">
        <f t="shared" si="17"/>
        <v>93.13725490196079</v>
      </c>
      <c r="AN19" s="43"/>
      <c r="AO19" s="43"/>
      <c r="AP19" s="43"/>
      <c r="AQ19" s="43"/>
      <c r="AR19" s="43"/>
      <c r="AS19" s="43"/>
      <c r="AT19" s="76">
        <f t="shared" si="25"/>
        <v>285.6</v>
      </c>
      <c r="AU19" s="76">
        <f t="shared" si="25"/>
        <v>244.2</v>
      </c>
      <c r="AV19" s="40">
        <f t="shared" si="19"/>
        <v>85.50420168067225</v>
      </c>
      <c r="AW19" s="44">
        <f t="shared" si="24"/>
        <v>41.400000000000034</v>
      </c>
      <c r="AX19" s="45">
        <f t="shared" si="20"/>
        <v>33.200000000000045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>
        <v>0.2</v>
      </c>
      <c r="Q21" s="43">
        <v>0.2</v>
      </c>
      <c r="R21" s="40">
        <f t="shared" si="21"/>
        <v>100</v>
      </c>
      <c r="S21" s="43">
        <v>0.2</v>
      </c>
      <c r="T21" s="43">
        <v>0.2</v>
      </c>
      <c r="U21" s="40">
        <f t="shared" si="22"/>
        <v>100</v>
      </c>
      <c r="V21" s="43">
        <v>0.3</v>
      </c>
      <c r="W21" s="43">
        <v>0.3</v>
      </c>
      <c r="X21" s="40">
        <f t="shared" si="9"/>
        <v>100</v>
      </c>
      <c r="Y21" s="44">
        <f t="shared" si="10"/>
        <v>0.7</v>
      </c>
      <c r="Z21" s="44">
        <f t="shared" si="11"/>
        <v>0.7</v>
      </c>
      <c r="AA21" s="40">
        <f t="shared" si="12"/>
        <v>100</v>
      </c>
      <c r="AB21" s="43">
        <v>0.9</v>
      </c>
      <c r="AC21" s="43">
        <v>0.9</v>
      </c>
      <c r="AD21" s="40">
        <f t="shared" si="14"/>
        <v>100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0.9</v>
      </c>
      <c r="AL21" s="44">
        <f t="shared" si="23"/>
        <v>0.9</v>
      </c>
      <c r="AM21" s="40">
        <f t="shared" si="17"/>
        <v>100</v>
      </c>
      <c r="AN21" s="43"/>
      <c r="AO21" s="43"/>
      <c r="AP21" s="43"/>
      <c r="AQ21" s="43"/>
      <c r="AR21" s="43"/>
      <c r="AS21" s="43"/>
      <c r="AT21" s="76">
        <f t="shared" si="25"/>
        <v>2.2</v>
      </c>
      <c r="AU21" s="76">
        <f t="shared" si="25"/>
        <v>2.2</v>
      </c>
      <c r="AV21" s="40">
        <f t="shared" si="19"/>
        <v>100</v>
      </c>
      <c r="AW21" s="44">
        <f t="shared" si="24"/>
        <v>0</v>
      </c>
      <c r="AX21" s="45">
        <f t="shared" si="20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0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</v>
      </c>
      <c r="AU22" s="76">
        <f t="shared" si="25"/>
        <v>0</v>
      </c>
      <c r="AV22" s="40" t="e">
        <f t="shared" si="19"/>
        <v>#DIV/0!</v>
      </c>
      <c r="AW22" s="44">
        <f t="shared" si="24"/>
        <v>0</v>
      </c>
      <c r="AX22" s="45">
        <f t="shared" si="20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9" ref="P23:W23">SUM(P24:P29)</f>
        <v>19.2</v>
      </c>
      <c r="Q23" s="57">
        <f t="shared" si="29"/>
        <v>23.2</v>
      </c>
      <c r="R23" s="57" t="e">
        <f t="shared" si="29"/>
        <v>#DIV/0!</v>
      </c>
      <c r="S23" s="57">
        <f t="shared" si="29"/>
        <v>20.1</v>
      </c>
      <c r="T23" s="57">
        <f t="shared" si="29"/>
        <v>19.9</v>
      </c>
      <c r="U23" s="57" t="e">
        <f t="shared" si="29"/>
        <v>#DIV/0!</v>
      </c>
      <c r="V23" s="57">
        <f t="shared" si="29"/>
        <v>19.9</v>
      </c>
      <c r="W23" s="57">
        <f t="shared" si="29"/>
        <v>16.8</v>
      </c>
      <c r="X23" s="54">
        <f t="shared" si="9"/>
        <v>84.42211055276383</v>
      </c>
      <c r="Y23" s="40">
        <f t="shared" si="10"/>
        <v>59.199999999999996</v>
      </c>
      <c r="Z23" s="40">
        <f t="shared" si="11"/>
        <v>59.89999999999999</v>
      </c>
      <c r="AA23" s="40">
        <f t="shared" si="12"/>
        <v>101.18243243243244</v>
      </c>
      <c r="AB23" s="57">
        <f aca="true" t="shared" si="30" ref="AB23:AI23">SUM(AB24:AB29)</f>
        <v>14.700000000000001</v>
      </c>
      <c r="AC23" s="57">
        <f t="shared" si="30"/>
        <v>20.8</v>
      </c>
      <c r="AD23" s="40">
        <f t="shared" si="14"/>
        <v>141.49659863945578</v>
      </c>
      <c r="AE23" s="57">
        <f t="shared" si="30"/>
        <v>17.1</v>
      </c>
      <c r="AF23" s="57">
        <f t="shared" si="30"/>
        <v>11.600000000000001</v>
      </c>
      <c r="AG23" s="40">
        <f t="shared" si="15"/>
        <v>67.83625730994153</v>
      </c>
      <c r="AH23" s="57">
        <f t="shared" si="30"/>
        <v>0</v>
      </c>
      <c r="AI23" s="57">
        <f t="shared" si="30"/>
        <v>0</v>
      </c>
      <c r="AJ23" s="40" t="e">
        <f t="shared" si="16"/>
        <v>#DIV/0!</v>
      </c>
      <c r="AK23" s="40">
        <f t="shared" si="23"/>
        <v>31.800000000000004</v>
      </c>
      <c r="AL23" s="40">
        <f t="shared" si="23"/>
        <v>32.400000000000006</v>
      </c>
      <c r="AM23" s="40">
        <f t="shared" si="17"/>
        <v>101.88679245283019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158.1</v>
      </c>
      <c r="AU23" s="39">
        <f t="shared" si="25"/>
        <v>141.2</v>
      </c>
      <c r="AV23" s="40">
        <f t="shared" si="19"/>
        <v>89.31056293485136</v>
      </c>
      <c r="AW23" s="40">
        <f t="shared" si="24"/>
        <v>16.900000000000006</v>
      </c>
      <c r="AX23" s="61">
        <f t="shared" si="20"/>
        <v>14.200000000000017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21"/>
        <v>121.73913043478262</v>
      </c>
      <c r="S24" s="43">
        <v>2.6</v>
      </c>
      <c r="T24" s="43">
        <v>4.6</v>
      </c>
      <c r="U24" s="40">
        <f t="shared" si="22"/>
        <v>176.9230769230769</v>
      </c>
      <c r="V24" s="43">
        <v>2.3</v>
      </c>
      <c r="W24" s="43">
        <v>1.9</v>
      </c>
      <c r="X24" s="54">
        <f t="shared" si="9"/>
        <v>82.6086956521739</v>
      </c>
      <c r="Y24" s="44">
        <f t="shared" si="10"/>
        <v>7.2</v>
      </c>
      <c r="Z24" s="44">
        <f t="shared" si="11"/>
        <v>9.299999999999999</v>
      </c>
      <c r="AA24" s="40">
        <f t="shared" si="12"/>
        <v>129.16666666666666</v>
      </c>
      <c r="AB24" s="43">
        <v>2.3</v>
      </c>
      <c r="AC24" s="43">
        <v>2.8</v>
      </c>
      <c r="AD24" s="40">
        <f t="shared" si="14"/>
        <v>121.73913043478262</v>
      </c>
      <c r="AE24" s="43">
        <v>2.5</v>
      </c>
      <c r="AF24" s="43">
        <v>1.1</v>
      </c>
      <c r="AG24" s="40">
        <f t="shared" si="15"/>
        <v>44.00000000000001</v>
      </c>
      <c r="AH24" s="43"/>
      <c r="AI24" s="43"/>
      <c r="AJ24" s="40" t="e">
        <f t="shared" si="16"/>
        <v>#DIV/0!</v>
      </c>
      <c r="AK24" s="44">
        <f t="shared" si="23"/>
        <v>4.8</v>
      </c>
      <c r="AL24" s="44">
        <f t="shared" si="23"/>
        <v>3.9</v>
      </c>
      <c r="AM24" s="40">
        <f t="shared" si="17"/>
        <v>81.25</v>
      </c>
      <c r="AN24" s="43"/>
      <c r="AO24" s="43"/>
      <c r="AP24" s="43"/>
      <c r="AQ24" s="43"/>
      <c r="AR24" s="43"/>
      <c r="AS24" s="43"/>
      <c r="AT24" s="76">
        <f t="shared" si="25"/>
        <v>21</v>
      </c>
      <c r="AU24" s="76">
        <f t="shared" si="25"/>
        <v>17.099999999999998</v>
      </c>
      <c r="AV24" s="40">
        <f t="shared" si="19"/>
        <v>81.42857142857142</v>
      </c>
      <c r="AW24" s="44">
        <f t="shared" si="24"/>
        <v>3.900000000000002</v>
      </c>
      <c r="AX24" s="45">
        <f t="shared" si="20"/>
        <v>3.900000000000002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21"/>
        <v>87.14285714285714</v>
      </c>
      <c r="S25" s="43">
        <v>6.6</v>
      </c>
      <c r="T25" s="43">
        <v>6</v>
      </c>
      <c r="U25" s="40">
        <f t="shared" si="22"/>
        <v>90.90909090909092</v>
      </c>
      <c r="V25" s="43">
        <v>5.6</v>
      </c>
      <c r="W25" s="43">
        <v>7.1</v>
      </c>
      <c r="X25" s="40">
        <f>W25/V25*100</f>
        <v>126.78571428571428</v>
      </c>
      <c r="Y25" s="44">
        <f t="shared" si="10"/>
        <v>19.2</v>
      </c>
      <c r="Z25" s="44">
        <f t="shared" si="11"/>
        <v>19.2</v>
      </c>
      <c r="AA25" s="40">
        <f t="shared" si="12"/>
        <v>100</v>
      </c>
      <c r="AB25" s="43">
        <v>5.7</v>
      </c>
      <c r="AC25" s="43">
        <v>7.3</v>
      </c>
      <c r="AD25" s="40">
        <f t="shared" si="14"/>
        <v>128.0701754385965</v>
      </c>
      <c r="AE25" s="43">
        <v>1.1</v>
      </c>
      <c r="AF25" s="43">
        <v>0.8</v>
      </c>
      <c r="AG25" s="40">
        <f t="shared" si="15"/>
        <v>72.72727272727273</v>
      </c>
      <c r="AH25" s="43"/>
      <c r="AI25" s="43"/>
      <c r="AJ25" s="40" t="e">
        <f t="shared" si="16"/>
        <v>#DIV/0!</v>
      </c>
      <c r="AK25" s="44">
        <f t="shared" si="23"/>
        <v>6.800000000000001</v>
      </c>
      <c r="AL25" s="44">
        <f t="shared" si="23"/>
        <v>8.1</v>
      </c>
      <c r="AM25" s="40">
        <f t="shared" si="17"/>
        <v>119.11764705882351</v>
      </c>
      <c r="AN25" s="43"/>
      <c r="AO25" s="43"/>
      <c r="AP25" s="43"/>
      <c r="AQ25" s="43"/>
      <c r="AR25" s="43"/>
      <c r="AS25" s="43"/>
      <c r="AT25" s="76">
        <f t="shared" si="25"/>
        <v>44.599999999999994</v>
      </c>
      <c r="AU25" s="76">
        <f t="shared" si="25"/>
        <v>45.5</v>
      </c>
      <c r="AV25" s="40">
        <f t="shared" si="19"/>
        <v>102.01793721973095</v>
      </c>
      <c r="AW25" s="44">
        <f t="shared" si="24"/>
        <v>-0.9000000000000057</v>
      </c>
      <c r="AX25" s="45">
        <f t="shared" si="20"/>
        <v>0.5999999999999943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2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21"/>
        <v>153.84615384615387</v>
      </c>
      <c r="S26" s="43">
        <v>10.3</v>
      </c>
      <c r="T26" s="43">
        <v>8.6</v>
      </c>
      <c r="U26" s="40">
        <f t="shared" si="22"/>
        <v>83.49514563106796</v>
      </c>
      <c r="V26" s="43">
        <v>11.2</v>
      </c>
      <c r="W26" s="43">
        <v>7.2</v>
      </c>
      <c r="X26" s="40">
        <f>W26/V26*100</f>
        <v>64.28571428571429</v>
      </c>
      <c r="Y26" s="44">
        <f t="shared" si="10"/>
        <v>30.599999999999998</v>
      </c>
      <c r="Z26" s="44">
        <f t="shared" si="11"/>
        <v>29.8</v>
      </c>
      <c r="AA26" s="40">
        <f t="shared" si="12"/>
        <v>97.38562091503269</v>
      </c>
      <c r="AB26" s="43">
        <v>5.9</v>
      </c>
      <c r="AC26" s="43">
        <v>9.4</v>
      </c>
      <c r="AD26" s="40">
        <f t="shared" si="14"/>
        <v>159.32203389830508</v>
      </c>
      <c r="AE26" s="43">
        <v>12.7</v>
      </c>
      <c r="AF26" s="43">
        <v>8.9</v>
      </c>
      <c r="AG26" s="40">
        <f t="shared" si="15"/>
        <v>70.07874015748033</v>
      </c>
      <c r="AH26" s="43"/>
      <c r="AI26" s="43"/>
      <c r="AJ26" s="40" t="e">
        <f t="shared" si="16"/>
        <v>#DIV/0!</v>
      </c>
      <c r="AK26" s="44">
        <f t="shared" si="23"/>
        <v>18.6</v>
      </c>
      <c r="AL26" s="44">
        <f t="shared" si="23"/>
        <v>18.3</v>
      </c>
      <c r="AM26" s="40">
        <f t="shared" si="17"/>
        <v>98.38709677419355</v>
      </c>
      <c r="AN26" s="43"/>
      <c r="AO26" s="43"/>
      <c r="AP26" s="43"/>
      <c r="AQ26" s="43"/>
      <c r="AR26" s="43"/>
      <c r="AS26" s="43"/>
      <c r="AT26" s="76">
        <f t="shared" si="25"/>
        <v>86.4</v>
      </c>
      <c r="AU26" s="76">
        <f t="shared" si="25"/>
        <v>73.4</v>
      </c>
      <c r="AV26" s="40">
        <f t="shared" si="19"/>
        <v>84.95370370370371</v>
      </c>
      <c r="AW26" s="44">
        <f t="shared" si="24"/>
        <v>13</v>
      </c>
      <c r="AX26" s="45">
        <f t="shared" si="20"/>
        <v>12.299999999999997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2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2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21"/>
        <v>37.49999999999999</v>
      </c>
      <c r="S28" s="43">
        <v>0.6</v>
      </c>
      <c r="T28" s="55">
        <v>0.7</v>
      </c>
      <c r="U28" s="40">
        <f t="shared" si="22"/>
        <v>116.66666666666667</v>
      </c>
      <c r="V28" s="43">
        <v>0.8</v>
      </c>
      <c r="W28" s="55">
        <v>0.6</v>
      </c>
      <c r="X28" s="56">
        <f>W28/V28*100</f>
        <v>74.99999999999999</v>
      </c>
      <c r="Y28" s="44">
        <f t="shared" si="10"/>
        <v>2.2</v>
      </c>
      <c r="Z28" s="44">
        <f t="shared" si="11"/>
        <v>1.6</v>
      </c>
      <c r="AA28" s="40">
        <f t="shared" si="12"/>
        <v>72.72727272727273</v>
      </c>
      <c r="AB28" s="43">
        <v>0.8</v>
      </c>
      <c r="AC28" s="55">
        <v>1.3</v>
      </c>
      <c r="AD28" s="40">
        <f t="shared" si="14"/>
        <v>162.5</v>
      </c>
      <c r="AE28" s="43">
        <v>0.8</v>
      </c>
      <c r="AF28" s="55">
        <v>0.8</v>
      </c>
      <c r="AG28" s="40">
        <f t="shared" si="15"/>
        <v>100</v>
      </c>
      <c r="AH28" s="43"/>
      <c r="AI28" s="55"/>
      <c r="AJ28" s="40" t="e">
        <f t="shared" si="16"/>
        <v>#DIV/0!</v>
      </c>
      <c r="AK28" s="44">
        <f t="shared" si="23"/>
        <v>1.6</v>
      </c>
      <c r="AL28" s="44">
        <f t="shared" si="23"/>
        <v>2.1</v>
      </c>
      <c r="AM28" s="40">
        <f t="shared" si="17"/>
        <v>131.25</v>
      </c>
      <c r="AN28" s="43"/>
      <c r="AO28" s="55"/>
      <c r="AP28" s="43"/>
      <c r="AQ28" s="55"/>
      <c r="AR28" s="43"/>
      <c r="AS28" s="55"/>
      <c r="AT28" s="76">
        <f t="shared" si="25"/>
        <v>6.1</v>
      </c>
      <c r="AU28" s="76">
        <f t="shared" si="25"/>
        <v>5.2</v>
      </c>
      <c r="AV28" s="40">
        <f t="shared" si="19"/>
        <v>85.24590163934427</v>
      </c>
      <c r="AW28" s="44">
        <f t="shared" si="24"/>
        <v>0.8999999999999995</v>
      </c>
      <c r="AX28" s="45">
        <f t="shared" si="20"/>
        <v>-2.6000000000000005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2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3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2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4" ref="P30:W30">SUM(P31:P38)</f>
        <v>55.099999999999994</v>
      </c>
      <c r="Q30" s="90">
        <f t="shared" si="34"/>
        <v>48.4</v>
      </c>
      <c r="R30" s="90" t="e">
        <f t="shared" si="34"/>
        <v>#DIV/0!</v>
      </c>
      <c r="S30" s="90">
        <f t="shared" si="34"/>
        <v>52.6</v>
      </c>
      <c r="T30" s="90">
        <f t="shared" si="34"/>
        <v>67.19999999999999</v>
      </c>
      <c r="U30" s="90" t="e">
        <f t="shared" si="34"/>
        <v>#DIV/0!</v>
      </c>
      <c r="V30" s="90">
        <f t="shared" si="34"/>
        <v>47.400000000000006</v>
      </c>
      <c r="W30" s="90">
        <f t="shared" si="34"/>
        <v>42.49999999999999</v>
      </c>
      <c r="X30" s="38">
        <f t="shared" si="33"/>
        <v>89.66244725738393</v>
      </c>
      <c r="Y30" s="38">
        <f t="shared" si="10"/>
        <v>155.1</v>
      </c>
      <c r="Z30" s="38">
        <f t="shared" si="11"/>
        <v>158.1</v>
      </c>
      <c r="AA30" s="38">
        <f t="shared" si="12"/>
        <v>101.93423597678917</v>
      </c>
      <c r="AB30" s="90">
        <f aca="true" t="shared" si="35" ref="AB30:AI30">SUM(AB31:AB38)</f>
        <v>58.400000000000006</v>
      </c>
      <c r="AC30" s="90">
        <f t="shared" si="35"/>
        <v>70.2</v>
      </c>
      <c r="AD30" s="40">
        <f t="shared" si="14"/>
        <v>120.2054794520548</v>
      </c>
      <c r="AE30" s="90">
        <f t="shared" si="35"/>
        <v>44.50000000000001</v>
      </c>
      <c r="AF30" s="90">
        <f t="shared" si="35"/>
        <v>32.5</v>
      </c>
      <c r="AG30" s="40">
        <f t="shared" si="15"/>
        <v>73.03370786516852</v>
      </c>
      <c r="AH30" s="90">
        <f t="shared" si="35"/>
        <v>0</v>
      </c>
      <c r="AI30" s="90">
        <f t="shared" si="35"/>
        <v>0</v>
      </c>
      <c r="AJ30" s="38" t="e">
        <f t="shared" si="16"/>
        <v>#DIV/0!</v>
      </c>
      <c r="AK30" s="38">
        <f aca="true" t="shared" si="36" ref="AK30:AL49">AB30+AE30+AH30</f>
        <v>102.9</v>
      </c>
      <c r="AL30" s="38">
        <f t="shared" si="36"/>
        <v>102.7</v>
      </c>
      <c r="AM30" s="38">
        <f t="shared" si="17"/>
        <v>99.80563654033041</v>
      </c>
      <c r="AN30" s="90">
        <f aca="true" t="shared" si="37" ref="AN30:AS30">SUM(AN31:AN38)</f>
        <v>0</v>
      </c>
      <c r="AO30" s="90">
        <f t="shared" si="37"/>
        <v>0</v>
      </c>
      <c r="AP30" s="90">
        <f t="shared" si="37"/>
        <v>0</v>
      </c>
      <c r="AQ30" s="90">
        <f t="shared" si="37"/>
        <v>0</v>
      </c>
      <c r="AR30" s="90">
        <f t="shared" si="37"/>
        <v>0</v>
      </c>
      <c r="AS30" s="90">
        <f t="shared" si="37"/>
        <v>0</v>
      </c>
      <c r="AT30" s="39">
        <f t="shared" si="25"/>
        <v>418.9</v>
      </c>
      <c r="AU30" s="39">
        <f t="shared" si="25"/>
        <v>364.4</v>
      </c>
      <c r="AV30" s="38">
        <f t="shared" si="19"/>
        <v>86.98973502029123</v>
      </c>
      <c r="AW30" s="38">
        <f>AT30-AU30</f>
        <v>54.5</v>
      </c>
      <c r="AX30" s="37">
        <f t="shared" si="20"/>
        <v>40.30000000000001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2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21"/>
        <v>18.181818181818183</v>
      </c>
      <c r="S31" s="43">
        <v>3.1</v>
      </c>
      <c r="T31" s="43">
        <v>8.2</v>
      </c>
      <c r="U31" s="46">
        <f t="shared" si="22"/>
        <v>264.51612903225805</v>
      </c>
      <c r="V31" s="43">
        <v>2.8</v>
      </c>
      <c r="W31" s="43">
        <v>2.8</v>
      </c>
      <c r="X31" s="38">
        <f t="shared" si="33"/>
        <v>100</v>
      </c>
      <c r="Y31" s="44">
        <f t="shared" si="10"/>
        <v>9.2</v>
      </c>
      <c r="Z31" s="44">
        <f t="shared" si="11"/>
        <v>11.599999999999998</v>
      </c>
      <c r="AA31" s="40">
        <f t="shared" si="12"/>
        <v>126.08695652173911</v>
      </c>
      <c r="AB31" s="43">
        <v>2.8</v>
      </c>
      <c r="AC31" s="43">
        <v>2.8</v>
      </c>
      <c r="AD31" s="40">
        <f t="shared" si="14"/>
        <v>100</v>
      </c>
      <c r="AE31" s="43">
        <v>2.7</v>
      </c>
      <c r="AF31" s="43">
        <v>2.6</v>
      </c>
      <c r="AG31" s="40">
        <f t="shared" si="15"/>
        <v>96.29629629629629</v>
      </c>
      <c r="AH31" s="43"/>
      <c r="AI31" s="43"/>
      <c r="AJ31" s="40" t="e">
        <f t="shared" si="16"/>
        <v>#DIV/0!</v>
      </c>
      <c r="AK31" s="44">
        <f t="shared" si="36"/>
        <v>5.5</v>
      </c>
      <c r="AL31" s="44">
        <f t="shared" si="36"/>
        <v>5.4</v>
      </c>
      <c r="AM31" s="40">
        <f t="shared" si="17"/>
        <v>98.18181818181819</v>
      </c>
      <c r="AN31" s="43"/>
      <c r="AO31" s="43"/>
      <c r="AP31" s="43"/>
      <c r="AQ31" s="43"/>
      <c r="AR31" s="43"/>
      <c r="AS31" s="43"/>
      <c r="AT31" s="76">
        <f t="shared" si="25"/>
        <v>27.4</v>
      </c>
      <c r="AU31" s="76">
        <f t="shared" si="25"/>
        <v>17.5</v>
      </c>
      <c r="AV31" s="40">
        <f>AU31/AT31*100</f>
        <v>63.868613138686136</v>
      </c>
      <c r="AW31" s="44">
        <f>AT31-AU31</f>
        <v>9.899999999999999</v>
      </c>
      <c r="AX31" s="45">
        <f t="shared" si="20"/>
        <v>9.899999999999999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8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21"/>
        <v>#DIV/0!</v>
      </c>
      <c r="S32" s="43"/>
      <c r="T32" s="43"/>
      <c r="U32" s="40" t="e">
        <f t="shared" si="22"/>
        <v>#DIV/0!</v>
      </c>
      <c r="V32" s="43"/>
      <c r="W32" s="43">
        <v>1.4</v>
      </c>
      <c r="X32" s="40" t="e">
        <f t="shared" si="33"/>
        <v>#DIV/0!</v>
      </c>
      <c r="Y32" s="44">
        <f t="shared" si="10"/>
        <v>0</v>
      </c>
      <c r="Z32" s="44">
        <f t="shared" si="11"/>
        <v>1.4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 t="e">
        <f t="shared" si="15"/>
        <v>#DIV/0!</v>
      </c>
      <c r="AH32" s="43"/>
      <c r="AI32" s="43"/>
      <c r="AJ32" s="40" t="e">
        <f t="shared" si="16"/>
        <v>#DIV/0!</v>
      </c>
      <c r="AK32" s="44">
        <f t="shared" si="36"/>
        <v>0</v>
      </c>
      <c r="AL32" s="44">
        <f t="shared" si="36"/>
        <v>0</v>
      </c>
      <c r="AM32" s="40" t="e">
        <f t="shared" si="17"/>
        <v>#DIV/0!</v>
      </c>
      <c r="AN32" s="43"/>
      <c r="AO32" s="43"/>
      <c r="AP32" s="43"/>
      <c r="AQ32" s="43"/>
      <c r="AR32" s="43"/>
      <c r="AS32" s="43"/>
      <c r="AT32" s="76">
        <f t="shared" si="25"/>
        <v>1.4</v>
      </c>
      <c r="AU32" s="76">
        <f t="shared" si="25"/>
        <v>1.4</v>
      </c>
      <c r="AV32" s="40">
        <f aca="true" t="shared" si="39" ref="AV32:AV49">AU32/AT32*100</f>
        <v>100</v>
      </c>
      <c r="AW32" s="44">
        <f aca="true" t="shared" si="40" ref="AW32:AW49">AT32-AU32</f>
        <v>0</v>
      </c>
      <c r="AX32" s="45">
        <f t="shared" si="20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8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21"/>
        <v>45</v>
      </c>
      <c r="S33" s="43">
        <v>2.1</v>
      </c>
      <c r="T33" s="43">
        <v>1</v>
      </c>
      <c r="U33" s="40">
        <f t="shared" si="22"/>
        <v>47.61904761904761</v>
      </c>
      <c r="V33" s="43">
        <v>1.8</v>
      </c>
      <c r="W33" s="43">
        <v>1.2</v>
      </c>
      <c r="X33" s="48">
        <f t="shared" si="33"/>
        <v>66.66666666666666</v>
      </c>
      <c r="Y33" s="44">
        <f t="shared" si="10"/>
        <v>5.8999999999999995</v>
      </c>
      <c r="Z33" s="44">
        <f t="shared" si="11"/>
        <v>3.0999999999999996</v>
      </c>
      <c r="AA33" s="40">
        <f t="shared" si="12"/>
        <v>52.542372881355924</v>
      </c>
      <c r="AB33" s="43">
        <v>1.4</v>
      </c>
      <c r="AC33" s="43">
        <v>3.2</v>
      </c>
      <c r="AD33" s="40">
        <f t="shared" si="14"/>
        <v>228.5714285714286</v>
      </c>
      <c r="AE33" s="43">
        <v>1.5</v>
      </c>
      <c r="AF33" s="43">
        <v>1.3</v>
      </c>
      <c r="AG33" s="40">
        <f t="shared" si="15"/>
        <v>86.66666666666667</v>
      </c>
      <c r="AH33" s="43"/>
      <c r="AI33" s="43"/>
      <c r="AJ33" s="40" t="e">
        <f t="shared" si="16"/>
        <v>#DIV/0!</v>
      </c>
      <c r="AK33" s="44">
        <f t="shared" si="36"/>
        <v>2.9</v>
      </c>
      <c r="AL33" s="44">
        <f t="shared" si="36"/>
        <v>4.5</v>
      </c>
      <c r="AM33" s="40">
        <f t="shared" si="17"/>
        <v>155.17241379310346</v>
      </c>
      <c r="AN33" s="43"/>
      <c r="AO33" s="43"/>
      <c r="AP33" s="43"/>
      <c r="AQ33" s="43"/>
      <c r="AR33" s="43"/>
      <c r="AS33" s="43"/>
      <c r="AT33" s="76">
        <f t="shared" si="25"/>
        <v>15.4</v>
      </c>
      <c r="AU33" s="76">
        <f t="shared" si="25"/>
        <v>10.899999999999999</v>
      </c>
      <c r="AV33" s="40">
        <f t="shared" si="39"/>
        <v>70.77922077922076</v>
      </c>
      <c r="AW33" s="44">
        <f t="shared" si="40"/>
        <v>4.500000000000002</v>
      </c>
      <c r="AX33" s="45">
        <f t="shared" si="20"/>
        <v>1.9000000000000021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8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3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6"/>
        <v>0</v>
      </c>
      <c r="AL34" s="44">
        <f t="shared" si="36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9"/>
        <v>#DIV/0!</v>
      </c>
      <c r="AW34" s="44">
        <f t="shared" si="40"/>
        <v>0</v>
      </c>
      <c r="AX34" s="45">
        <f t="shared" si="20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8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21"/>
        <v>94.48123620309052</v>
      </c>
      <c r="S35" s="43">
        <v>43.5</v>
      </c>
      <c r="T35" s="43">
        <v>56.4</v>
      </c>
      <c r="U35" s="40">
        <f t="shared" si="22"/>
        <v>129.65517241379308</v>
      </c>
      <c r="V35" s="43">
        <v>39.1</v>
      </c>
      <c r="W35" s="43">
        <v>32.3</v>
      </c>
      <c r="X35" s="40">
        <f t="shared" si="33"/>
        <v>82.6086956521739</v>
      </c>
      <c r="Y35" s="44">
        <f t="shared" si="10"/>
        <v>127.9</v>
      </c>
      <c r="Z35" s="44">
        <f t="shared" si="11"/>
        <v>131.5</v>
      </c>
      <c r="AA35" s="40">
        <f t="shared" si="12"/>
        <v>102.81469898358091</v>
      </c>
      <c r="AB35" s="43">
        <v>49.7</v>
      </c>
      <c r="AC35" s="43">
        <v>56.9</v>
      </c>
      <c r="AD35" s="40">
        <f t="shared" si="14"/>
        <v>114.48692152917504</v>
      </c>
      <c r="AE35" s="43">
        <v>37.1</v>
      </c>
      <c r="AF35" s="43">
        <v>25.7</v>
      </c>
      <c r="AG35" s="40">
        <f t="shared" si="15"/>
        <v>69.2722371967655</v>
      </c>
      <c r="AH35" s="43"/>
      <c r="AI35" s="43"/>
      <c r="AJ35" s="40" t="e">
        <f t="shared" si="16"/>
        <v>#DIV/0!</v>
      </c>
      <c r="AK35" s="44">
        <f t="shared" si="36"/>
        <v>86.80000000000001</v>
      </c>
      <c r="AL35" s="44">
        <f t="shared" si="36"/>
        <v>82.6</v>
      </c>
      <c r="AM35" s="40">
        <f t="shared" si="17"/>
        <v>95.16129032258063</v>
      </c>
      <c r="AN35" s="43"/>
      <c r="AO35" s="43"/>
      <c r="AP35" s="43"/>
      <c r="AQ35" s="43"/>
      <c r="AR35" s="43"/>
      <c r="AS35" s="43"/>
      <c r="AT35" s="76">
        <f t="shared" si="25"/>
        <v>342.8</v>
      </c>
      <c r="AU35" s="76">
        <f t="shared" si="25"/>
        <v>309</v>
      </c>
      <c r="AV35" s="40">
        <f t="shared" si="39"/>
        <v>90.14002333722286</v>
      </c>
      <c r="AW35" s="44">
        <f t="shared" si="40"/>
        <v>33.80000000000001</v>
      </c>
      <c r="AX35" s="45">
        <f t="shared" si="20"/>
        <v>22.19999999999999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8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1"/>
        <v>#DIV/0!</v>
      </c>
      <c r="S36" s="43"/>
      <c r="T36" s="43"/>
      <c r="U36" s="40" t="e">
        <f t="shared" si="22"/>
        <v>#DIV/0!</v>
      </c>
      <c r="V36" s="43"/>
      <c r="W36" s="43"/>
      <c r="X36" s="40" t="e">
        <f t="shared" si="33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 t="e">
        <f t="shared" si="15"/>
        <v>#DIV/0!</v>
      </c>
      <c r="AH36" s="43"/>
      <c r="AI36" s="43"/>
      <c r="AJ36" s="40" t="e">
        <f t="shared" si="16"/>
        <v>#DIV/0!</v>
      </c>
      <c r="AK36" s="44">
        <f t="shared" si="36"/>
        <v>0</v>
      </c>
      <c r="AL36" s="44">
        <f t="shared" si="36"/>
        <v>0</v>
      </c>
      <c r="AM36" s="40" t="e">
        <f t="shared" si="17"/>
        <v>#DIV/0!</v>
      </c>
      <c r="AN36" s="43"/>
      <c r="AO36" s="43"/>
      <c r="AP36" s="43"/>
      <c r="AQ36" s="43"/>
      <c r="AR36" s="43"/>
      <c r="AS36" s="43"/>
      <c r="AT36" s="76">
        <f t="shared" si="25"/>
        <v>0</v>
      </c>
      <c r="AU36" s="76">
        <f t="shared" si="25"/>
        <v>0</v>
      </c>
      <c r="AV36" s="40" t="e">
        <f t="shared" si="39"/>
        <v>#DIV/0!</v>
      </c>
      <c r="AW36" s="44">
        <f t="shared" si="40"/>
        <v>0</v>
      </c>
      <c r="AX36" s="45">
        <f t="shared" si="20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8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1"/>
        <v>#DIV/0!</v>
      </c>
      <c r="S37" s="43"/>
      <c r="T37" s="43"/>
      <c r="U37" s="40" t="e">
        <f t="shared" si="22"/>
        <v>#DIV/0!</v>
      </c>
      <c r="V37" s="43"/>
      <c r="W37" s="43"/>
      <c r="X37" s="40" t="e">
        <f t="shared" si="33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6"/>
        <v>0</v>
      </c>
      <c r="AL37" s="44">
        <f t="shared" si="36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0</v>
      </c>
      <c r="AU37" s="76">
        <f t="shared" si="25"/>
        <v>0</v>
      </c>
      <c r="AV37" s="40" t="e">
        <f t="shared" si="39"/>
        <v>#DIV/0!</v>
      </c>
      <c r="AW37" s="44">
        <f t="shared" si="40"/>
        <v>0</v>
      </c>
      <c r="AX37" s="45">
        <f t="shared" si="20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8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21"/>
        <v>91.1111111111111</v>
      </c>
      <c r="S38" s="43">
        <v>3.9</v>
      </c>
      <c r="T38" s="43">
        <v>1.6</v>
      </c>
      <c r="U38" s="40">
        <f t="shared" si="22"/>
        <v>41.02564102564103</v>
      </c>
      <c r="V38" s="43">
        <v>3.7</v>
      </c>
      <c r="W38" s="43">
        <v>4.8</v>
      </c>
      <c r="X38" s="40">
        <f t="shared" si="33"/>
        <v>129.7297297297297</v>
      </c>
      <c r="Y38" s="44">
        <f t="shared" si="10"/>
        <v>12.100000000000001</v>
      </c>
      <c r="Z38" s="44">
        <f t="shared" si="11"/>
        <v>10.5</v>
      </c>
      <c r="AA38" s="40">
        <f t="shared" si="12"/>
        <v>86.77685950413222</v>
      </c>
      <c r="AB38" s="43">
        <v>4.5</v>
      </c>
      <c r="AC38" s="43">
        <v>7.3</v>
      </c>
      <c r="AD38" s="40">
        <f t="shared" si="14"/>
        <v>162.22222222222223</v>
      </c>
      <c r="AE38" s="43">
        <v>3.2</v>
      </c>
      <c r="AF38" s="43">
        <v>2.9</v>
      </c>
      <c r="AG38" s="40">
        <f t="shared" si="15"/>
        <v>90.62499999999999</v>
      </c>
      <c r="AH38" s="43"/>
      <c r="AI38" s="43"/>
      <c r="AJ38" s="40" t="e">
        <f t="shared" si="16"/>
        <v>#DIV/0!</v>
      </c>
      <c r="AK38" s="44">
        <f t="shared" si="36"/>
        <v>7.7</v>
      </c>
      <c r="AL38" s="44">
        <f t="shared" si="36"/>
        <v>10.2</v>
      </c>
      <c r="AM38" s="40">
        <f t="shared" si="17"/>
        <v>132.46753246753244</v>
      </c>
      <c r="AN38" s="43"/>
      <c r="AO38" s="43"/>
      <c r="AP38" s="43"/>
      <c r="AQ38" s="43"/>
      <c r="AR38" s="43"/>
      <c r="AS38" s="43"/>
      <c r="AT38" s="76">
        <f t="shared" si="25"/>
        <v>31.900000000000002</v>
      </c>
      <c r="AU38" s="76">
        <f t="shared" si="25"/>
        <v>25.6</v>
      </c>
      <c r="AV38" s="40">
        <f t="shared" si="39"/>
        <v>80.25078369905955</v>
      </c>
      <c r="AW38" s="44">
        <f t="shared" si="40"/>
        <v>6.300000000000001</v>
      </c>
      <c r="AX38" s="45">
        <f t="shared" si="20"/>
        <v>6.300000000000001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8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41" ref="P39:W39">SUM(P40:P44)</f>
        <v>81.1</v>
      </c>
      <c r="Q39" s="57">
        <f t="shared" si="41"/>
        <v>53.699999999999996</v>
      </c>
      <c r="R39" s="40">
        <f t="shared" si="21"/>
        <v>66.21454993834772</v>
      </c>
      <c r="S39" s="57">
        <f t="shared" si="41"/>
        <v>62.400000000000006</v>
      </c>
      <c r="T39" s="57">
        <f t="shared" si="41"/>
        <v>74.60000000000001</v>
      </c>
      <c r="U39" s="57" t="e">
        <f t="shared" si="41"/>
        <v>#DIV/0!</v>
      </c>
      <c r="V39" s="57">
        <f t="shared" si="41"/>
        <v>67.9</v>
      </c>
      <c r="W39" s="57">
        <f t="shared" si="41"/>
        <v>63.400000000000006</v>
      </c>
      <c r="X39" s="40">
        <f t="shared" si="33"/>
        <v>93.37260677466863</v>
      </c>
      <c r="Y39" s="40">
        <f t="shared" si="10"/>
        <v>211.4</v>
      </c>
      <c r="Z39" s="40">
        <f t="shared" si="11"/>
        <v>191.70000000000002</v>
      </c>
      <c r="AA39" s="40">
        <f t="shared" si="12"/>
        <v>90.68117313150427</v>
      </c>
      <c r="AB39" s="57">
        <f aca="true" t="shared" si="42" ref="AB39:AI39">SUM(AB40:AB44)</f>
        <v>43</v>
      </c>
      <c r="AC39" s="57">
        <f t="shared" si="42"/>
        <v>60.1</v>
      </c>
      <c r="AD39" s="40">
        <f t="shared" si="14"/>
        <v>139.7674418604651</v>
      </c>
      <c r="AE39" s="57">
        <f t="shared" si="42"/>
        <v>26.200000000000003</v>
      </c>
      <c r="AF39" s="57">
        <f t="shared" si="42"/>
        <v>30.3</v>
      </c>
      <c r="AG39" s="40">
        <f t="shared" si="15"/>
        <v>115.64885496183206</v>
      </c>
      <c r="AH39" s="57">
        <f t="shared" si="42"/>
        <v>0</v>
      </c>
      <c r="AI39" s="57">
        <f t="shared" si="42"/>
        <v>0</v>
      </c>
      <c r="AJ39" s="40" t="e">
        <f t="shared" si="16"/>
        <v>#DIV/0!</v>
      </c>
      <c r="AK39" s="40">
        <f t="shared" si="36"/>
        <v>69.2</v>
      </c>
      <c r="AL39" s="40">
        <f t="shared" si="36"/>
        <v>90.4</v>
      </c>
      <c r="AM39" s="40">
        <f t="shared" si="17"/>
        <v>130.63583815028903</v>
      </c>
      <c r="AN39" s="57">
        <f aca="true" t="shared" si="43" ref="AN39:AS39">SUM(AN40:AN44)</f>
        <v>0</v>
      </c>
      <c r="AO39" s="57">
        <f t="shared" si="43"/>
        <v>0</v>
      </c>
      <c r="AP39" s="57">
        <f t="shared" si="43"/>
        <v>0</v>
      </c>
      <c r="AQ39" s="57">
        <f t="shared" si="43"/>
        <v>0</v>
      </c>
      <c r="AR39" s="57">
        <f t="shared" si="43"/>
        <v>0</v>
      </c>
      <c r="AS39" s="57">
        <f t="shared" si="43"/>
        <v>0</v>
      </c>
      <c r="AT39" s="39">
        <f t="shared" si="25"/>
        <v>386.09999999999997</v>
      </c>
      <c r="AU39" s="39">
        <f t="shared" si="25"/>
        <v>339.30000000000007</v>
      </c>
      <c r="AV39" s="40">
        <f t="shared" si="39"/>
        <v>87.8787878787879</v>
      </c>
      <c r="AW39" s="40">
        <f t="shared" si="40"/>
        <v>46.7999999999999</v>
      </c>
      <c r="AX39" s="61">
        <f t="shared" si="20"/>
        <v>43.39999999999992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8"/>
        <v>#DIV/0!</v>
      </c>
      <c r="M40" s="44">
        <f aca="true" t="shared" si="44" ref="M40:M71">D40+G40+J40</f>
        <v>0</v>
      </c>
      <c r="N40" s="44">
        <f aca="true" t="shared" si="45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3"/>
        <v>#DIV/0!</v>
      </c>
      <c r="Y40" s="44">
        <f aca="true" t="shared" si="46" ref="Y40:Y71">P40+S40+V40</f>
        <v>0</v>
      </c>
      <c r="Z40" s="44">
        <f aca="true" t="shared" si="47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6"/>
        <v>0</v>
      </c>
      <c r="AL40" s="44">
        <f t="shared" si="36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9"/>
        <v>#DIV/0!</v>
      </c>
      <c r="AW40" s="44">
        <f t="shared" si="40"/>
        <v>0</v>
      </c>
      <c r="AX40" s="45">
        <f aca="true" t="shared" si="48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8"/>
        <v>#DIV/0!</v>
      </c>
      <c r="M41" s="75">
        <f t="shared" si="44"/>
        <v>0</v>
      </c>
      <c r="N41" s="75">
        <f t="shared" si="45"/>
        <v>0</v>
      </c>
      <c r="O41" s="38" t="e">
        <f t="shared" si="7"/>
        <v>#DIV/0!</v>
      </c>
      <c r="P41" s="73"/>
      <c r="Q41" s="73"/>
      <c r="R41" s="38" t="e">
        <f t="shared" si="21"/>
        <v>#DIV/0!</v>
      </c>
      <c r="S41" s="73"/>
      <c r="T41" s="73"/>
      <c r="U41" s="38" t="e">
        <f t="shared" si="22"/>
        <v>#DIV/0!</v>
      </c>
      <c r="V41" s="73"/>
      <c r="W41" s="73"/>
      <c r="X41" s="38" t="e">
        <f t="shared" si="33"/>
        <v>#DIV/0!</v>
      </c>
      <c r="Y41" s="75">
        <f t="shared" si="46"/>
        <v>0</v>
      </c>
      <c r="Z41" s="75">
        <f t="shared" si="47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40" t="e">
        <f t="shared" si="15"/>
        <v>#DIV/0!</v>
      </c>
      <c r="AH41" s="73"/>
      <c r="AI41" s="73"/>
      <c r="AJ41" s="38" t="e">
        <f t="shared" si="16"/>
        <v>#DIV/0!</v>
      </c>
      <c r="AK41" s="75">
        <f t="shared" si="36"/>
        <v>0</v>
      </c>
      <c r="AL41" s="75">
        <f t="shared" si="36"/>
        <v>0</v>
      </c>
      <c r="AM41" s="38" t="e">
        <f t="shared" si="17"/>
        <v>#DIV/0!</v>
      </c>
      <c r="AN41" s="73"/>
      <c r="AO41" s="73"/>
      <c r="AP41" s="73"/>
      <c r="AQ41" s="73"/>
      <c r="AR41" s="73"/>
      <c r="AS41" s="73"/>
      <c r="AT41" s="76">
        <f t="shared" si="25"/>
        <v>0</v>
      </c>
      <c r="AU41" s="76">
        <f t="shared" si="25"/>
        <v>0</v>
      </c>
      <c r="AV41" s="38" t="e">
        <f t="shared" si="39"/>
        <v>#DIV/0!</v>
      </c>
      <c r="AW41" s="75">
        <f t="shared" si="40"/>
        <v>0</v>
      </c>
      <c r="AX41" s="77">
        <f t="shared" si="48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8"/>
        <v>121.89349112426038</v>
      </c>
      <c r="M42" s="44">
        <f t="shared" si="44"/>
        <v>73.19999999999999</v>
      </c>
      <c r="N42" s="44">
        <f t="shared" si="45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21"/>
        <v>57.122093023255815</v>
      </c>
      <c r="S42" s="43">
        <f>51.2+0.2</f>
        <v>51.400000000000006</v>
      </c>
      <c r="T42" s="43">
        <f>66.9</f>
        <v>66.9</v>
      </c>
      <c r="U42" s="40">
        <f t="shared" si="22"/>
        <v>130.1556420233463</v>
      </c>
      <c r="V42" s="43">
        <f>0.2+57.8</f>
        <v>58</v>
      </c>
      <c r="W42" s="43">
        <v>51.2</v>
      </c>
      <c r="X42" s="40">
        <f t="shared" si="33"/>
        <v>88.27586206896552</v>
      </c>
      <c r="Y42" s="44">
        <f t="shared" si="46"/>
        <v>178.2</v>
      </c>
      <c r="Z42" s="44">
        <f t="shared" si="47"/>
        <v>157.4</v>
      </c>
      <c r="AA42" s="40">
        <f t="shared" si="12"/>
        <v>88.32772166105501</v>
      </c>
      <c r="AB42" s="43">
        <f>34.6</f>
        <v>34.6</v>
      </c>
      <c r="AC42" s="43">
        <v>46.2</v>
      </c>
      <c r="AD42" s="40">
        <f t="shared" si="14"/>
        <v>133.52601156069363</v>
      </c>
      <c r="AE42" s="43">
        <v>15.4</v>
      </c>
      <c r="AF42" s="43">
        <v>23</v>
      </c>
      <c r="AG42" s="40">
        <f t="shared" si="15"/>
        <v>149.35064935064935</v>
      </c>
      <c r="AH42" s="43"/>
      <c r="AI42" s="43"/>
      <c r="AJ42" s="40" t="e">
        <f t="shared" si="16"/>
        <v>#DIV/0!</v>
      </c>
      <c r="AK42" s="44">
        <f t="shared" si="36"/>
        <v>50</v>
      </c>
      <c r="AL42" s="44">
        <f t="shared" si="36"/>
        <v>69.2</v>
      </c>
      <c r="AM42" s="40">
        <f t="shared" si="17"/>
        <v>138.4</v>
      </c>
      <c r="AN42" s="43"/>
      <c r="AO42" s="43"/>
      <c r="AP42" s="43"/>
      <c r="AQ42" s="43"/>
      <c r="AR42" s="43"/>
      <c r="AS42" s="43"/>
      <c r="AT42" s="76">
        <f t="shared" si="25"/>
        <v>301.4</v>
      </c>
      <c r="AU42" s="76">
        <f t="shared" si="25"/>
        <v>271.90000000000003</v>
      </c>
      <c r="AV42" s="40">
        <f t="shared" si="39"/>
        <v>90.21234240212344</v>
      </c>
      <c r="AW42" s="44">
        <f t="shared" si="40"/>
        <v>29.499999999999943</v>
      </c>
      <c r="AX42" s="45">
        <f t="shared" si="48"/>
        <v>26.799999999999955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8"/>
        <v>#DIV/0!</v>
      </c>
      <c r="M43" s="44">
        <f t="shared" si="44"/>
        <v>0</v>
      </c>
      <c r="N43" s="44">
        <f t="shared" si="45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3"/>
        <v>#DIV/0!</v>
      </c>
      <c r="Y43" s="44">
        <f t="shared" si="46"/>
        <v>0</v>
      </c>
      <c r="Z43" s="44">
        <f t="shared" si="47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6"/>
        <v>0</v>
      </c>
      <c r="AL43" s="44">
        <f t="shared" si="36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0" t="e">
        <f t="shared" si="39"/>
        <v>#DIV/0!</v>
      </c>
      <c r="AW43" s="44">
        <f t="shared" si="40"/>
        <v>0</v>
      </c>
      <c r="AX43" s="45">
        <f t="shared" si="48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8"/>
        <v>56.4516129032258</v>
      </c>
      <c r="M44" s="44">
        <f t="shared" si="44"/>
        <v>32.3</v>
      </c>
      <c r="N44" s="44">
        <f t="shared" si="45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21"/>
        <v>117.07317073170731</v>
      </c>
      <c r="S44" s="43">
        <v>11</v>
      </c>
      <c r="T44" s="43">
        <v>7.7</v>
      </c>
      <c r="U44" s="40">
        <f t="shared" si="22"/>
        <v>70</v>
      </c>
      <c r="V44" s="43">
        <v>9.9</v>
      </c>
      <c r="W44" s="43">
        <v>12.2</v>
      </c>
      <c r="X44" s="54">
        <f t="shared" si="33"/>
        <v>123.23232323232322</v>
      </c>
      <c r="Y44" s="44">
        <f t="shared" si="46"/>
        <v>33.2</v>
      </c>
      <c r="Z44" s="44">
        <f t="shared" si="47"/>
        <v>34.3</v>
      </c>
      <c r="AA44" s="40">
        <f t="shared" si="12"/>
        <v>103.31325301204816</v>
      </c>
      <c r="AB44" s="43">
        <v>8.4</v>
      </c>
      <c r="AC44" s="43">
        <v>13.9</v>
      </c>
      <c r="AD44" s="40">
        <f t="shared" si="14"/>
        <v>165.47619047619045</v>
      </c>
      <c r="AE44" s="43">
        <v>10.8</v>
      </c>
      <c r="AF44" s="43">
        <v>7.3</v>
      </c>
      <c r="AG44" s="40">
        <f t="shared" si="15"/>
        <v>67.59259259259258</v>
      </c>
      <c r="AH44" s="43"/>
      <c r="AI44" s="43"/>
      <c r="AJ44" s="40" t="e">
        <f t="shared" si="16"/>
        <v>#DIV/0!</v>
      </c>
      <c r="AK44" s="44">
        <f t="shared" si="36"/>
        <v>19.200000000000003</v>
      </c>
      <c r="AL44" s="44">
        <f t="shared" si="36"/>
        <v>21.2</v>
      </c>
      <c r="AM44" s="40">
        <f t="shared" si="17"/>
        <v>110.41666666666666</v>
      </c>
      <c r="AN44" s="43"/>
      <c r="AO44" s="43"/>
      <c r="AP44" s="43"/>
      <c r="AQ44" s="43"/>
      <c r="AR44" s="43"/>
      <c r="AS44" s="43"/>
      <c r="AT44" s="76">
        <f t="shared" si="25"/>
        <v>84.7</v>
      </c>
      <c r="AU44" s="76">
        <f t="shared" si="25"/>
        <v>67.39999999999999</v>
      </c>
      <c r="AV44" s="40">
        <f t="shared" si="39"/>
        <v>79.57497048406138</v>
      </c>
      <c r="AW44" s="44">
        <f t="shared" si="40"/>
        <v>17.30000000000001</v>
      </c>
      <c r="AX44" s="45">
        <f t="shared" si="48"/>
        <v>16.60000000000001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227.02</v>
      </c>
      <c r="E45" s="57">
        <f>SUM(E46:E60)</f>
        <v>1.7</v>
      </c>
      <c r="F45" s="41">
        <f t="shared" si="1"/>
        <v>0.7488327019645846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8"/>
        <v>58.2089552238806</v>
      </c>
      <c r="M45" s="40">
        <f t="shared" si="44"/>
        <v>241.82</v>
      </c>
      <c r="N45" s="40">
        <f t="shared" si="45"/>
        <v>10.4</v>
      </c>
      <c r="O45" s="40">
        <f t="shared" si="7"/>
        <v>4.30071954346208</v>
      </c>
      <c r="P45" s="57">
        <f aca="true" t="shared" si="49" ref="P45:W45">SUM(P46:P50)</f>
        <v>6.1</v>
      </c>
      <c r="Q45" s="57">
        <f t="shared" si="49"/>
        <v>4.5</v>
      </c>
      <c r="R45" s="40">
        <f t="shared" si="21"/>
        <v>73.77049180327869</v>
      </c>
      <c r="S45" s="57">
        <f t="shared" si="49"/>
        <v>5.2</v>
      </c>
      <c r="T45" s="57">
        <f t="shared" si="49"/>
        <v>7.1</v>
      </c>
      <c r="U45" s="57" t="e">
        <f t="shared" si="49"/>
        <v>#DIV/0!</v>
      </c>
      <c r="V45" s="57">
        <f t="shared" si="49"/>
        <v>6.5</v>
      </c>
      <c r="W45" s="57">
        <f t="shared" si="49"/>
        <v>13.3</v>
      </c>
      <c r="X45" s="54">
        <f t="shared" si="33"/>
        <v>204.61538461538464</v>
      </c>
      <c r="Y45" s="40">
        <f t="shared" si="46"/>
        <v>17.8</v>
      </c>
      <c r="Z45" s="40">
        <f t="shared" si="47"/>
        <v>24.9</v>
      </c>
      <c r="AA45" s="40">
        <f t="shared" si="12"/>
        <v>139.8876404494382</v>
      </c>
      <c r="AB45" s="57">
        <f aca="true" t="shared" si="50" ref="AB45:AI45">SUM(AB46:AB50)</f>
        <v>10.2</v>
      </c>
      <c r="AC45" s="57">
        <f t="shared" si="50"/>
        <v>5.3</v>
      </c>
      <c r="AD45" s="40">
        <f t="shared" si="14"/>
        <v>51.9607843137255</v>
      </c>
      <c r="AE45" s="57">
        <f t="shared" si="50"/>
        <v>7.1</v>
      </c>
      <c r="AF45" s="57">
        <f t="shared" si="50"/>
        <v>9.7</v>
      </c>
      <c r="AG45" s="40">
        <f t="shared" si="15"/>
        <v>136.61971830985914</v>
      </c>
      <c r="AH45" s="57">
        <f t="shared" si="50"/>
        <v>0</v>
      </c>
      <c r="AI45" s="57">
        <f t="shared" si="50"/>
        <v>0</v>
      </c>
      <c r="AJ45" s="40" t="e">
        <f t="shared" si="16"/>
        <v>#DIV/0!</v>
      </c>
      <c r="AK45" s="40">
        <f t="shared" si="36"/>
        <v>17.299999999999997</v>
      </c>
      <c r="AL45" s="40">
        <f t="shared" si="36"/>
        <v>15</v>
      </c>
      <c r="AM45" s="40">
        <f t="shared" si="17"/>
        <v>86.70520231213874</v>
      </c>
      <c r="AN45" s="57">
        <f aca="true" t="shared" si="51" ref="AN45:AS45">SUM(AN46:AN50)</f>
        <v>0</v>
      </c>
      <c r="AO45" s="57">
        <f t="shared" si="51"/>
        <v>0</v>
      </c>
      <c r="AP45" s="57">
        <f t="shared" si="51"/>
        <v>0</v>
      </c>
      <c r="AQ45" s="57">
        <f t="shared" si="51"/>
        <v>0</v>
      </c>
      <c r="AR45" s="57">
        <f t="shared" si="51"/>
        <v>0</v>
      </c>
      <c r="AS45" s="57">
        <f t="shared" si="51"/>
        <v>0</v>
      </c>
      <c r="AT45" s="39">
        <f t="shared" si="25"/>
        <v>276.92</v>
      </c>
      <c r="AU45" s="39">
        <f t="shared" si="25"/>
        <v>50.3</v>
      </c>
      <c r="AV45" s="40">
        <f t="shared" si="39"/>
        <v>18.164090712119023</v>
      </c>
      <c r="AW45" s="40">
        <f t="shared" si="40"/>
        <v>226.62</v>
      </c>
      <c r="AX45" s="61">
        <f t="shared" si="48"/>
        <v>198.12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8"/>
        <v>#DIV/0!</v>
      </c>
      <c r="M46" s="44">
        <f t="shared" si="44"/>
        <v>0</v>
      </c>
      <c r="N46" s="44">
        <f t="shared" si="45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6"/>
        <v>0</v>
      </c>
      <c r="Z46" s="44">
        <f t="shared" si="47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6"/>
        <v>0</v>
      </c>
      <c r="AL46" s="44">
        <f t="shared" si="36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9"/>
        <v>#DIV/0!</v>
      </c>
      <c r="AW46" s="44">
        <f t="shared" si="40"/>
        <v>0</v>
      </c>
      <c r="AX46" s="45">
        <f t="shared" si="48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4"/>
        <v>1.4</v>
      </c>
      <c r="N47" s="44">
        <f t="shared" si="45"/>
        <v>0.1</v>
      </c>
      <c r="O47" s="40">
        <f t="shared" si="7"/>
        <v>7.142857142857144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6"/>
        <v>0</v>
      </c>
      <c r="Z47" s="44">
        <f t="shared" si="47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6"/>
        <v>0</v>
      </c>
      <c r="AL47" s="44">
        <f t="shared" si="36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1.4</v>
      </c>
      <c r="AU47" s="76">
        <f t="shared" si="25"/>
        <v>0.1</v>
      </c>
      <c r="AV47" s="40">
        <f t="shared" si="39"/>
        <v>7.142857142857144</v>
      </c>
      <c r="AW47" s="44">
        <f t="shared" si="40"/>
        <v>1.2999999999999998</v>
      </c>
      <c r="AX47" s="45">
        <f t="shared" si="48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4"/>
        <v>0</v>
      </c>
      <c r="N48" s="44">
        <f t="shared" si="45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6"/>
        <v>0</v>
      </c>
      <c r="Z48" s="44">
        <f t="shared" si="47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6"/>
        <v>0</v>
      </c>
      <c r="AL48" s="44">
        <f t="shared" si="36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9"/>
        <v>#DIV/0!</v>
      </c>
      <c r="AW48" s="44">
        <f t="shared" si="40"/>
        <v>0</v>
      </c>
      <c r="AX48" s="45">
        <f t="shared" si="48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4"/>
        <v>20.9</v>
      </c>
      <c r="N49" s="44">
        <f t="shared" si="45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21"/>
        <v>73.77049180327869</v>
      </c>
      <c r="S49" s="43">
        <v>5.2</v>
      </c>
      <c r="T49" s="55">
        <v>7.1</v>
      </c>
      <c r="U49" s="40">
        <f t="shared" si="22"/>
        <v>136.53846153846152</v>
      </c>
      <c r="V49" s="43">
        <v>6.5</v>
      </c>
      <c r="W49" s="55">
        <v>13.3</v>
      </c>
      <c r="X49" s="56">
        <f>W49/V49*100</f>
        <v>204.61538461538464</v>
      </c>
      <c r="Y49" s="44">
        <f t="shared" si="46"/>
        <v>17.8</v>
      </c>
      <c r="Z49" s="44">
        <f t="shared" si="47"/>
        <v>24.9</v>
      </c>
      <c r="AA49" s="40">
        <f t="shared" si="12"/>
        <v>139.8876404494382</v>
      </c>
      <c r="AB49" s="43">
        <v>10.2</v>
      </c>
      <c r="AC49" s="55">
        <v>5.3</v>
      </c>
      <c r="AD49" s="40">
        <f t="shared" si="14"/>
        <v>51.9607843137255</v>
      </c>
      <c r="AE49" s="43">
        <v>7.1</v>
      </c>
      <c r="AF49" s="55">
        <v>9.7</v>
      </c>
      <c r="AG49" s="40">
        <f t="shared" si="15"/>
        <v>136.61971830985914</v>
      </c>
      <c r="AH49" s="43"/>
      <c r="AI49" s="55"/>
      <c r="AJ49" s="40" t="e">
        <f t="shared" si="16"/>
        <v>#DIV/0!</v>
      </c>
      <c r="AK49" s="44">
        <f t="shared" si="36"/>
        <v>17.299999999999997</v>
      </c>
      <c r="AL49" s="44">
        <f t="shared" si="36"/>
        <v>15</v>
      </c>
      <c r="AM49" s="40">
        <f t="shared" si="17"/>
        <v>86.70520231213874</v>
      </c>
      <c r="AN49" s="43"/>
      <c r="AO49" s="55"/>
      <c r="AP49" s="43"/>
      <c r="AQ49" s="55"/>
      <c r="AR49" s="43"/>
      <c r="AS49" s="55"/>
      <c r="AT49" s="76">
        <f t="shared" si="25"/>
        <v>56</v>
      </c>
      <c r="AU49" s="76">
        <f t="shared" si="25"/>
        <v>49.5</v>
      </c>
      <c r="AV49" s="40">
        <f t="shared" si="39"/>
        <v>88.39285714285714</v>
      </c>
      <c r="AW49" s="44">
        <f t="shared" si="40"/>
        <v>6.5</v>
      </c>
      <c r="AX49" s="45">
        <f t="shared" si="48"/>
        <v>9.200000000000003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2" ref="L50:L74">K50/J50*100</f>
        <v>#DIV/0!</v>
      </c>
      <c r="M50" s="44">
        <f t="shared" si="44"/>
        <v>0</v>
      </c>
      <c r="N50" s="44">
        <f t="shared" si="45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3" ref="X50:X72">W50/V50*100</f>
        <v>#DIV/0!</v>
      </c>
      <c r="Y50" s="44">
        <f t="shared" si="46"/>
        <v>0</v>
      </c>
      <c r="Z50" s="44">
        <f t="shared" si="47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8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2"/>
        <v>59.81308411214954</v>
      </c>
      <c r="M51" s="44">
        <f t="shared" si="44"/>
        <v>29.999999999999996</v>
      </c>
      <c r="N51" s="44">
        <f t="shared" si="45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21"/>
        <v>50.632911392405056</v>
      </c>
      <c r="S51" s="43">
        <v>16.3</v>
      </c>
      <c r="T51" s="43">
        <v>22.9</v>
      </c>
      <c r="U51" s="40">
        <f t="shared" si="22"/>
        <v>140.49079754601226</v>
      </c>
      <c r="V51" s="43">
        <v>15.3</v>
      </c>
      <c r="W51" s="43">
        <v>15.8</v>
      </c>
      <c r="X51" s="48">
        <f t="shared" si="53"/>
        <v>103.26797385620917</v>
      </c>
      <c r="Y51" s="44">
        <f t="shared" si="46"/>
        <v>47.400000000000006</v>
      </c>
      <c r="Z51" s="44">
        <f t="shared" si="47"/>
        <v>46.7</v>
      </c>
      <c r="AA51" s="40">
        <f t="shared" si="12"/>
        <v>98.52320675105484</v>
      </c>
      <c r="AB51" s="43">
        <v>9.3</v>
      </c>
      <c r="AC51" s="43">
        <v>15.4</v>
      </c>
      <c r="AD51" s="40">
        <f t="shared" si="14"/>
        <v>165.59139784946234</v>
      </c>
      <c r="AE51" s="43">
        <v>10.2</v>
      </c>
      <c r="AF51" s="43">
        <v>8.7</v>
      </c>
      <c r="AG51" s="40">
        <f t="shared" si="15"/>
        <v>85.29411764705883</v>
      </c>
      <c r="AH51" s="43"/>
      <c r="AI51" s="43"/>
      <c r="AJ51" s="40" t="e">
        <f t="shared" si="16"/>
        <v>#DIV/0!</v>
      </c>
      <c r="AK51" s="44">
        <f t="shared" si="23"/>
        <v>19.5</v>
      </c>
      <c r="AL51" s="44">
        <f t="shared" si="23"/>
        <v>24.1</v>
      </c>
      <c r="AM51" s="40">
        <f t="shared" si="17"/>
        <v>123.58974358974359</v>
      </c>
      <c r="AN51" s="43"/>
      <c r="AO51" s="43"/>
      <c r="AP51" s="43"/>
      <c r="AQ51" s="43"/>
      <c r="AR51" s="43"/>
      <c r="AS51" s="43"/>
      <c r="AT51" s="76">
        <f t="shared" si="25"/>
        <v>96.9</v>
      </c>
      <c r="AU51" s="76">
        <f t="shared" si="25"/>
        <v>83.1</v>
      </c>
      <c r="AV51" s="40">
        <f t="shared" si="19"/>
        <v>85.75851393188853</v>
      </c>
      <c r="AW51" s="44">
        <f t="shared" si="24"/>
        <v>13.800000000000011</v>
      </c>
      <c r="AX51" s="45">
        <f t="shared" si="48"/>
        <v>16.30000000000001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4"/>
        <v>0</v>
      </c>
      <c r="N52" s="44">
        <f t="shared" si="45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6"/>
        <v>0</v>
      </c>
      <c r="Z52" s="44">
        <f t="shared" si="47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57">
        <f>SUM(AJ53:AJ54)</f>
        <v>0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0" t="e">
        <f t="shared" si="19"/>
        <v>#DIV/0!</v>
      </c>
      <c r="AW52" s="44">
        <f t="shared" si="24"/>
        <v>0</v>
      </c>
      <c r="AX52" s="45">
        <f t="shared" si="48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4" ref="F53:F63">E53/D53*100</f>
        <v>#DIV/0!</v>
      </c>
      <c r="G53" s="55"/>
      <c r="H53" s="43"/>
      <c r="I53" s="41" t="e">
        <f aca="true" t="shared" si="55" ref="I53:I63">H53/G53*100</f>
        <v>#DIV/0!</v>
      </c>
      <c r="J53" s="43"/>
      <c r="K53" s="43"/>
      <c r="L53" s="40" t="e">
        <f t="shared" si="52"/>
        <v>#DIV/0!</v>
      </c>
      <c r="M53" s="44">
        <f t="shared" si="44"/>
        <v>0</v>
      </c>
      <c r="N53" s="44">
        <f t="shared" si="45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3"/>
        <v>#DIV/0!</v>
      </c>
      <c r="Y53" s="44">
        <f t="shared" si="46"/>
        <v>0</v>
      </c>
      <c r="Z53" s="44">
        <f t="shared" si="47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 t="e">
        <f t="shared" si="15"/>
        <v>#DIV/0!</v>
      </c>
      <c r="AH53" s="43"/>
      <c r="AI53" s="43"/>
      <c r="AJ53" s="40"/>
      <c r="AK53" s="44">
        <f t="shared" si="23"/>
        <v>0</v>
      </c>
      <c r="AL53" s="44">
        <f t="shared" si="23"/>
        <v>0</v>
      </c>
      <c r="AM53" s="40" t="e">
        <f t="shared" si="17"/>
        <v>#DIV/0!</v>
      </c>
      <c r="AN53" s="43"/>
      <c r="AO53" s="43"/>
      <c r="AP53" s="43"/>
      <c r="AQ53" s="43"/>
      <c r="AR53" s="43"/>
      <c r="AS53" s="43"/>
      <c r="AT53" s="76">
        <f t="shared" si="25"/>
        <v>0</v>
      </c>
      <c r="AU53" s="76">
        <f t="shared" si="25"/>
        <v>0</v>
      </c>
      <c r="AV53" s="40" t="e">
        <f t="shared" si="19"/>
        <v>#DIV/0!</v>
      </c>
      <c r="AW53" s="44">
        <f t="shared" si="24"/>
        <v>0</v>
      </c>
      <c r="AX53" s="45">
        <f t="shared" si="48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6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4"/>
        <v>6.363636363636363</v>
      </c>
      <c r="G54" s="55">
        <v>13.2</v>
      </c>
      <c r="H54" s="43">
        <v>2.2</v>
      </c>
      <c r="I54" s="41">
        <f t="shared" si="55"/>
        <v>16.666666666666668</v>
      </c>
      <c r="J54" s="43">
        <v>15</v>
      </c>
      <c r="K54" s="43">
        <v>12.1</v>
      </c>
      <c r="L54" s="40">
        <f t="shared" si="52"/>
        <v>80.66666666666666</v>
      </c>
      <c r="M54" s="44">
        <f t="shared" si="44"/>
        <v>39.2</v>
      </c>
      <c r="N54" s="44">
        <f t="shared" si="45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21"/>
        <v>87.6923076923077</v>
      </c>
      <c r="S54" s="43">
        <v>12.5</v>
      </c>
      <c r="T54" s="43">
        <v>11.9</v>
      </c>
      <c r="U54" s="40">
        <f t="shared" si="22"/>
        <v>95.2</v>
      </c>
      <c r="V54" s="43">
        <v>13.8</v>
      </c>
      <c r="W54" s="43">
        <v>7.2</v>
      </c>
      <c r="X54" s="40">
        <f t="shared" si="53"/>
        <v>52.17391304347826</v>
      </c>
      <c r="Y54" s="44">
        <f t="shared" si="46"/>
        <v>39.3</v>
      </c>
      <c r="Z54" s="44">
        <f t="shared" si="47"/>
        <v>30.5</v>
      </c>
      <c r="AA54" s="40">
        <f t="shared" si="12"/>
        <v>77.60814249363868</v>
      </c>
      <c r="AB54" s="43">
        <v>12.5</v>
      </c>
      <c r="AC54" s="43">
        <v>8.5</v>
      </c>
      <c r="AD54" s="40">
        <f t="shared" si="14"/>
        <v>68</v>
      </c>
      <c r="AE54" s="43">
        <v>12.9</v>
      </c>
      <c r="AF54" s="43">
        <v>7</v>
      </c>
      <c r="AG54" s="40">
        <f t="shared" si="15"/>
        <v>54.263565891472865</v>
      </c>
      <c r="AH54" s="43"/>
      <c r="AI54" s="43"/>
      <c r="AJ54" s="40"/>
      <c r="AK54" s="44">
        <f t="shared" si="23"/>
        <v>25.4</v>
      </c>
      <c r="AL54" s="44">
        <f t="shared" si="23"/>
        <v>15.5</v>
      </c>
      <c r="AM54" s="40">
        <f>AL54/AK54*100</f>
        <v>61.023622047244096</v>
      </c>
      <c r="AN54" s="43"/>
      <c r="AO54" s="43"/>
      <c r="AP54" s="43"/>
      <c r="AQ54" s="43"/>
      <c r="AR54" s="43"/>
      <c r="AS54" s="43"/>
      <c r="AT54" s="76">
        <f t="shared" si="25"/>
        <v>103.9</v>
      </c>
      <c r="AU54" s="76">
        <f t="shared" si="25"/>
        <v>61</v>
      </c>
      <c r="AV54" s="40">
        <f t="shared" si="19"/>
        <v>58.710298363811354</v>
      </c>
      <c r="AW54" s="44">
        <f t="shared" si="24"/>
        <v>42.900000000000006</v>
      </c>
      <c r="AX54" s="45">
        <f t="shared" si="48"/>
        <v>45.10000000000001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4"/>
        <v>#DIV/0!</v>
      </c>
      <c r="G55" s="60">
        <v>1.5</v>
      </c>
      <c r="H55" s="60">
        <v>0</v>
      </c>
      <c r="I55" s="41">
        <f t="shared" si="55"/>
        <v>0</v>
      </c>
      <c r="J55" s="43">
        <v>0.4</v>
      </c>
      <c r="K55" s="43">
        <v>0</v>
      </c>
      <c r="L55" s="40">
        <f t="shared" si="52"/>
        <v>0</v>
      </c>
      <c r="M55" s="44">
        <f t="shared" si="44"/>
        <v>1.9</v>
      </c>
      <c r="N55" s="44">
        <f t="shared" si="45"/>
        <v>0</v>
      </c>
      <c r="O55" s="40">
        <f t="shared" si="7"/>
        <v>0</v>
      </c>
      <c r="P55" s="43">
        <v>0.7</v>
      </c>
      <c r="Q55" s="43">
        <v>0</v>
      </c>
      <c r="R55" s="40">
        <f t="shared" si="21"/>
        <v>0</v>
      </c>
      <c r="S55" s="43">
        <v>0.7</v>
      </c>
      <c r="T55" s="43"/>
      <c r="U55" s="40">
        <f t="shared" si="22"/>
        <v>0</v>
      </c>
      <c r="V55" s="43">
        <v>0.7</v>
      </c>
      <c r="W55" s="43">
        <v>3.3</v>
      </c>
      <c r="X55" s="40">
        <f t="shared" si="53"/>
        <v>471.42857142857144</v>
      </c>
      <c r="Y55" s="44">
        <f t="shared" si="46"/>
        <v>2.0999999999999996</v>
      </c>
      <c r="Z55" s="44">
        <f t="shared" si="47"/>
        <v>3.3</v>
      </c>
      <c r="AA55" s="40">
        <f t="shared" si="12"/>
        <v>157.14285714285717</v>
      </c>
      <c r="AB55" s="43">
        <v>0.6</v>
      </c>
      <c r="AC55" s="43">
        <v>0</v>
      </c>
      <c r="AD55" s="40">
        <f t="shared" si="14"/>
        <v>0</v>
      </c>
      <c r="AE55" s="43">
        <v>0.8</v>
      </c>
      <c r="AF55" s="43"/>
      <c r="AG55" s="40">
        <f t="shared" si="15"/>
        <v>0</v>
      </c>
      <c r="AH55" s="43"/>
      <c r="AI55" s="43"/>
      <c r="AJ55" s="40"/>
      <c r="AK55" s="44">
        <f t="shared" si="23"/>
        <v>1.4</v>
      </c>
      <c r="AL55" s="44">
        <f t="shared" si="23"/>
        <v>0</v>
      </c>
      <c r="AM55" s="40">
        <f t="shared" si="17"/>
        <v>0</v>
      </c>
      <c r="AN55" s="43"/>
      <c r="AO55" s="43"/>
      <c r="AP55" s="43"/>
      <c r="AQ55" s="43"/>
      <c r="AR55" s="43"/>
      <c r="AS55" s="43"/>
      <c r="AT55" s="76">
        <f t="shared" si="25"/>
        <v>5.3999999999999995</v>
      </c>
      <c r="AU55" s="76">
        <f t="shared" si="25"/>
        <v>3.3</v>
      </c>
      <c r="AV55" s="40">
        <f t="shared" si="19"/>
        <v>61.111111111111114</v>
      </c>
      <c r="AW55" s="44">
        <f t="shared" si="24"/>
        <v>2.0999999999999996</v>
      </c>
      <c r="AX55" s="45">
        <f t="shared" si="48"/>
        <v>2.0999999999999996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119">
        <v>0.02</v>
      </c>
      <c r="E56" s="52"/>
      <c r="F56" s="41">
        <f t="shared" si="54"/>
        <v>0</v>
      </c>
      <c r="G56" s="119">
        <v>0.026</v>
      </c>
      <c r="H56" s="119">
        <v>0.02</v>
      </c>
      <c r="I56" s="41">
        <f t="shared" si="55"/>
        <v>76.92307692307693</v>
      </c>
      <c r="J56" s="120">
        <v>0.026</v>
      </c>
      <c r="K56" s="120">
        <v>0.026</v>
      </c>
      <c r="L56" s="40">
        <f t="shared" si="52"/>
        <v>100</v>
      </c>
      <c r="M56" s="44">
        <f t="shared" si="44"/>
        <v>0.072</v>
      </c>
      <c r="N56" s="44">
        <f t="shared" si="45"/>
        <v>0.046</v>
      </c>
      <c r="O56" s="40">
        <f t="shared" si="7"/>
        <v>63.88888888888889</v>
      </c>
      <c r="P56" s="120">
        <v>0.026</v>
      </c>
      <c r="Q56" s="120">
        <v>0.026</v>
      </c>
      <c r="R56" s="40">
        <f t="shared" si="21"/>
        <v>100</v>
      </c>
      <c r="S56" s="120">
        <v>0.026</v>
      </c>
      <c r="T56" s="120">
        <v>0.026</v>
      </c>
      <c r="U56" s="40">
        <f t="shared" si="22"/>
        <v>100</v>
      </c>
      <c r="V56" s="120">
        <v>0.02</v>
      </c>
      <c r="W56" s="120">
        <v>0.026</v>
      </c>
      <c r="X56" s="40">
        <f t="shared" si="53"/>
        <v>129.99999999999997</v>
      </c>
      <c r="Y56" s="44">
        <f t="shared" si="46"/>
        <v>0.072</v>
      </c>
      <c r="Z56" s="44">
        <f t="shared" si="47"/>
        <v>0.078</v>
      </c>
      <c r="AA56" s="40">
        <f t="shared" si="12"/>
        <v>108.33333333333334</v>
      </c>
      <c r="AB56" s="120">
        <v>0.04</v>
      </c>
      <c r="AC56" s="120">
        <v>0.02</v>
      </c>
      <c r="AD56" s="40">
        <f t="shared" si="14"/>
        <v>50</v>
      </c>
      <c r="AE56" s="120">
        <v>0.033</v>
      </c>
      <c r="AF56" s="120">
        <v>0.04</v>
      </c>
      <c r="AG56" s="40">
        <f t="shared" si="15"/>
        <v>121.21212121212122</v>
      </c>
      <c r="AH56" s="43"/>
      <c r="AI56" s="43"/>
      <c r="AJ56" s="40"/>
      <c r="AK56" s="44">
        <f t="shared" si="23"/>
        <v>0.07300000000000001</v>
      </c>
      <c r="AL56" s="44">
        <f t="shared" si="23"/>
        <v>0.06</v>
      </c>
      <c r="AM56" s="40">
        <f t="shared" si="17"/>
        <v>82.19178082191779</v>
      </c>
      <c r="AN56" s="43"/>
      <c r="AO56" s="43"/>
      <c r="AP56" s="43"/>
      <c r="AQ56" s="43"/>
      <c r="AR56" s="43"/>
      <c r="AS56" s="43"/>
      <c r="AT56" s="76">
        <f t="shared" si="25"/>
        <v>0.217</v>
      </c>
      <c r="AU56" s="76">
        <f t="shared" si="25"/>
        <v>0.184</v>
      </c>
      <c r="AV56" s="40">
        <f t="shared" si="19"/>
        <v>84.7926267281106</v>
      </c>
      <c r="AW56" s="44">
        <f t="shared" si="24"/>
        <v>0.033</v>
      </c>
      <c r="AX56" s="45">
        <f t="shared" si="48"/>
        <v>0.033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4"/>
        <v>0</v>
      </c>
      <c r="G57" s="43">
        <v>178.4</v>
      </c>
      <c r="H57" s="43">
        <v>25</v>
      </c>
      <c r="I57" s="41">
        <f t="shared" si="55"/>
        <v>14.013452914798204</v>
      </c>
      <c r="J57" s="43">
        <v>152.1</v>
      </c>
      <c r="K57" s="43">
        <v>341.6</v>
      </c>
      <c r="L57" s="40">
        <f t="shared" si="52"/>
        <v>224.5890861275477</v>
      </c>
      <c r="M57" s="44">
        <f t="shared" si="44"/>
        <v>518.9</v>
      </c>
      <c r="N57" s="44">
        <f t="shared" si="45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21"/>
        <v>13.982102908277405</v>
      </c>
      <c r="S57" s="43">
        <v>213.3</v>
      </c>
      <c r="T57" s="43">
        <v>25.1</v>
      </c>
      <c r="U57" s="40">
        <f t="shared" si="22"/>
        <v>11.767463666197843</v>
      </c>
      <c r="V57" s="43">
        <v>211.7</v>
      </c>
      <c r="W57" s="43">
        <v>152.1</v>
      </c>
      <c r="X57" s="40">
        <f t="shared" si="53"/>
        <v>71.84695323571091</v>
      </c>
      <c r="Y57" s="44">
        <f t="shared" si="46"/>
        <v>603.8</v>
      </c>
      <c r="Z57" s="44">
        <f t="shared" si="47"/>
        <v>202.2</v>
      </c>
      <c r="AA57" s="40">
        <f t="shared" si="12"/>
        <v>33.487909903941706</v>
      </c>
      <c r="AB57" s="43">
        <v>174.4</v>
      </c>
      <c r="AC57" s="43">
        <v>25.2</v>
      </c>
      <c r="AD57" s="40">
        <f t="shared" si="14"/>
        <v>14.449541284403669</v>
      </c>
      <c r="AE57" s="43">
        <v>184</v>
      </c>
      <c r="AF57" s="43">
        <v>25.2</v>
      </c>
      <c r="AG57" s="40">
        <f t="shared" si="15"/>
        <v>13.695652173913043</v>
      </c>
      <c r="AH57" s="43"/>
      <c r="AI57" s="43"/>
      <c r="AJ57" s="40"/>
      <c r="AK57" s="44">
        <f t="shared" si="23"/>
        <v>358.4</v>
      </c>
      <c r="AL57" s="44">
        <f t="shared" si="23"/>
        <v>50.4</v>
      </c>
      <c r="AM57" s="40">
        <f t="shared" si="17"/>
        <v>14.0625</v>
      </c>
      <c r="AN57" s="43"/>
      <c r="AO57" s="43"/>
      <c r="AP57" s="43"/>
      <c r="AQ57" s="43"/>
      <c r="AR57" s="43"/>
      <c r="AS57" s="43"/>
      <c r="AT57" s="76">
        <f t="shared" si="25"/>
        <v>1481.1</v>
      </c>
      <c r="AU57" s="76">
        <f t="shared" si="25"/>
        <v>619.1999999999999</v>
      </c>
      <c r="AV57" s="40">
        <f t="shared" si="19"/>
        <v>41.80676524204983</v>
      </c>
      <c r="AW57" s="44">
        <f t="shared" si="24"/>
        <v>861.9</v>
      </c>
      <c r="AX57" s="45">
        <f t="shared" si="48"/>
        <v>861.9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4"/>
        <v>0</v>
      </c>
      <c r="G58" s="43">
        <v>0.3</v>
      </c>
      <c r="H58" s="43">
        <v>2.7</v>
      </c>
      <c r="I58" s="41">
        <f t="shared" si="55"/>
        <v>900.0000000000002</v>
      </c>
      <c r="J58" s="43">
        <v>0.3</v>
      </c>
      <c r="K58" s="43">
        <v>0</v>
      </c>
      <c r="L58" s="40">
        <f t="shared" si="52"/>
        <v>0</v>
      </c>
      <c r="M58" s="44">
        <f t="shared" si="44"/>
        <v>0.8999999999999999</v>
      </c>
      <c r="N58" s="44">
        <f t="shared" si="45"/>
        <v>2.7</v>
      </c>
      <c r="O58" s="40">
        <f t="shared" si="7"/>
        <v>300.00000000000006</v>
      </c>
      <c r="P58" s="43">
        <v>0.3</v>
      </c>
      <c r="Q58" s="43"/>
      <c r="R58" s="40">
        <f t="shared" si="21"/>
        <v>0</v>
      </c>
      <c r="S58" s="43">
        <v>0.3</v>
      </c>
      <c r="T58" s="43">
        <v>0</v>
      </c>
      <c r="U58" s="40">
        <f t="shared" si="22"/>
        <v>0</v>
      </c>
      <c r="V58" s="43">
        <v>0.4</v>
      </c>
      <c r="W58" s="43"/>
      <c r="X58" s="40">
        <f t="shared" si="53"/>
        <v>0</v>
      </c>
      <c r="Y58" s="44">
        <f t="shared" si="46"/>
        <v>1</v>
      </c>
      <c r="Z58" s="44">
        <f t="shared" si="47"/>
        <v>0</v>
      </c>
      <c r="AA58" s="40">
        <f t="shared" si="12"/>
        <v>0</v>
      </c>
      <c r="AB58" s="43">
        <v>0.4</v>
      </c>
      <c r="AC58" s="43">
        <v>0.1</v>
      </c>
      <c r="AD58" s="40">
        <f t="shared" si="14"/>
        <v>25</v>
      </c>
      <c r="AE58" s="43">
        <v>0.4</v>
      </c>
      <c r="AF58" s="43"/>
      <c r="AG58" s="40">
        <f t="shared" si="15"/>
        <v>0</v>
      </c>
      <c r="AH58" s="43"/>
      <c r="AI58" s="43"/>
      <c r="AJ58" s="40"/>
      <c r="AK58" s="44">
        <f t="shared" si="23"/>
        <v>0.8</v>
      </c>
      <c r="AL58" s="44">
        <f t="shared" si="23"/>
        <v>0.1</v>
      </c>
      <c r="AM58" s="40">
        <f t="shared" si="17"/>
        <v>12.5</v>
      </c>
      <c r="AN58" s="43"/>
      <c r="AO58" s="43"/>
      <c r="AP58" s="43"/>
      <c r="AQ58" s="43"/>
      <c r="AR58" s="43"/>
      <c r="AS58" s="43"/>
      <c r="AT58" s="76">
        <f t="shared" si="25"/>
        <v>2.7</v>
      </c>
      <c r="AU58" s="76">
        <f t="shared" si="25"/>
        <v>2.8000000000000003</v>
      </c>
      <c r="AV58" s="40">
        <f t="shared" si="19"/>
        <v>103.7037037037037</v>
      </c>
      <c r="AW58" s="44">
        <f t="shared" si="24"/>
        <v>-0.10000000000000009</v>
      </c>
      <c r="AX58" s="45">
        <f t="shared" si="48"/>
        <v>-0.10000000000000009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4"/>
        <v>0</v>
      </c>
      <c r="G60" s="43">
        <v>13</v>
      </c>
      <c r="H60" s="43">
        <v>10.1</v>
      </c>
      <c r="I60" s="41">
        <f t="shared" si="55"/>
        <v>77.6923076923077</v>
      </c>
      <c r="J60" s="43">
        <v>14.2</v>
      </c>
      <c r="K60" s="43"/>
      <c r="L60" s="40">
        <f t="shared" si="52"/>
        <v>0</v>
      </c>
      <c r="M60" s="44">
        <f t="shared" si="44"/>
        <v>37.3</v>
      </c>
      <c r="N60" s="44">
        <f t="shared" si="45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21"/>
        <v>0.7936507936507938</v>
      </c>
      <c r="S60" s="43"/>
      <c r="T60" s="43"/>
      <c r="U60" s="40" t="e">
        <f t="shared" si="22"/>
        <v>#DIV/0!</v>
      </c>
      <c r="V60" s="43"/>
      <c r="W60" s="43"/>
      <c r="X60" s="40" t="e">
        <f t="shared" si="53"/>
        <v>#DIV/0!</v>
      </c>
      <c r="Y60" s="44">
        <f t="shared" si="46"/>
        <v>12.6</v>
      </c>
      <c r="Z60" s="44">
        <f t="shared" si="47"/>
        <v>0.1</v>
      </c>
      <c r="AA60" s="40">
        <f t="shared" si="12"/>
        <v>0.7936507936507938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/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49.9</v>
      </c>
      <c r="AU60" s="76">
        <f t="shared" si="25"/>
        <v>10.2</v>
      </c>
      <c r="AV60" s="40">
        <f t="shared" si="19"/>
        <v>20.440881763527052</v>
      </c>
      <c r="AW60" s="44">
        <f t="shared" si="24"/>
        <v>39.7</v>
      </c>
      <c r="AX60" s="45">
        <f t="shared" si="48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4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5"/>
        <v>15.519399249061324</v>
      </c>
      <c r="J61" s="91">
        <f>SUM(J62:J71)</f>
        <v>176.8</v>
      </c>
      <c r="K61" s="91">
        <f>SUM(K62:K71)</f>
        <v>409</v>
      </c>
      <c r="L61" s="40">
        <f t="shared" si="52"/>
        <v>231.33484162895925</v>
      </c>
      <c r="M61" s="40">
        <f t="shared" si="44"/>
        <v>538.5</v>
      </c>
      <c r="N61" s="40">
        <f t="shared" si="45"/>
        <v>436</v>
      </c>
      <c r="O61" s="40">
        <f t="shared" si="7"/>
        <v>80.9656453110492</v>
      </c>
      <c r="P61" s="91">
        <f aca="true" t="shared" si="56" ref="P61:W61">SUM(P62:P71)</f>
        <v>179.2</v>
      </c>
      <c r="Q61" s="91">
        <f t="shared" si="56"/>
        <v>146.3</v>
      </c>
      <c r="R61" s="40">
        <f t="shared" si="21"/>
        <v>81.64062500000001</v>
      </c>
      <c r="S61" s="91">
        <f t="shared" si="56"/>
        <v>154.4</v>
      </c>
      <c r="T61" s="91">
        <f t="shared" si="56"/>
        <v>43</v>
      </c>
      <c r="U61" s="91" t="e">
        <f t="shared" si="56"/>
        <v>#DIV/0!</v>
      </c>
      <c r="V61" s="91">
        <f t="shared" si="56"/>
        <v>210.8</v>
      </c>
      <c r="W61" s="91">
        <f t="shared" si="56"/>
        <v>197.10000000000002</v>
      </c>
      <c r="X61" s="40">
        <f t="shared" si="53"/>
        <v>93.50094876660341</v>
      </c>
      <c r="Y61" s="40">
        <f t="shared" si="46"/>
        <v>544.4000000000001</v>
      </c>
      <c r="Z61" s="40">
        <f t="shared" si="47"/>
        <v>386.40000000000003</v>
      </c>
      <c r="AA61" s="40">
        <f t="shared" si="12"/>
        <v>70.97722263041881</v>
      </c>
      <c r="AB61" s="91">
        <f aca="true" t="shared" si="57" ref="AB61:AI61">SUM(AB62:AB71)</f>
        <v>172.3</v>
      </c>
      <c r="AC61" s="91">
        <f t="shared" si="57"/>
        <v>155</v>
      </c>
      <c r="AD61" s="40">
        <f t="shared" si="14"/>
        <v>89.95937318630295</v>
      </c>
      <c r="AE61" s="91">
        <f t="shared" si="57"/>
        <v>166.7</v>
      </c>
      <c r="AF61" s="91">
        <f t="shared" si="57"/>
        <v>217.39999999999998</v>
      </c>
      <c r="AG61" s="40">
        <f t="shared" si="15"/>
        <v>130.41391721655668</v>
      </c>
      <c r="AH61" s="91">
        <f t="shared" si="57"/>
        <v>0</v>
      </c>
      <c r="AI61" s="91">
        <f t="shared" si="57"/>
        <v>0</v>
      </c>
      <c r="AJ61" s="40"/>
      <c r="AK61" s="40">
        <f t="shared" si="23"/>
        <v>339</v>
      </c>
      <c r="AL61" s="40">
        <f t="shared" si="23"/>
        <v>372.4</v>
      </c>
      <c r="AM61" s="40">
        <f t="shared" si="17"/>
        <v>109.85250737463126</v>
      </c>
      <c r="AN61" s="91">
        <f aca="true" t="shared" si="58" ref="AN61:AS61">SUM(AN62:AN71)</f>
        <v>0</v>
      </c>
      <c r="AO61" s="91">
        <f t="shared" si="58"/>
        <v>0</v>
      </c>
      <c r="AP61" s="91">
        <f t="shared" si="58"/>
        <v>0</v>
      </c>
      <c r="AQ61" s="91">
        <f t="shared" si="58"/>
        <v>0</v>
      </c>
      <c r="AR61" s="91">
        <f t="shared" si="58"/>
        <v>0</v>
      </c>
      <c r="AS61" s="91">
        <f t="shared" si="58"/>
        <v>0</v>
      </c>
      <c r="AT61" s="39">
        <f t="shared" si="25"/>
        <v>1421.9</v>
      </c>
      <c r="AU61" s="39">
        <f t="shared" si="25"/>
        <v>1194.8000000000002</v>
      </c>
      <c r="AV61" s="40">
        <f t="shared" si="19"/>
        <v>84.02841268724947</v>
      </c>
      <c r="AW61" s="40">
        <f t="shared" si="24"/>
        <v>227.0999999999999</v>
      </c>
      <c r="AX61" s="61">
        <f t="shared" si="48"/>
        <v>372.89999999999986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4"/>
        <v>100</v>
      </c>
      <c r="G62" s="43">
        <v>4.4</v>
      </c>
      <c r="H62" s="43">
        <v>0.3</v>
      </c>
      <c r="I62" s="41">
        <f t="shared" si="55"/>
        <v>6.8181818181818175</v>
      </c>
      <c r="J62" s="43">
        <v>3</v>
      </c>
      <c r="K62" s="43">
        <v>2.4</v>
      </c>
      <c r="L62" s="40">
        <f t="shared" si="52"/>
        <v>80</v>
      </c>
      <c r="M62" s="44">
        <f t="shared" si="44"/>
        <v>7.5</v>
      </c>
      <c r="N62" s="44">
        <f t="shared" si="45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21"/>
        <v>44.642857142857146</v>
      </c>
      <c r="S62" s="43">
        <v>5.2</v>
      </c>
      <c r="T62" s="43">
        <v>4.7</v>
      </c>
      <c r="U62" s="40">
        <f t="shared" si="22"/>
        <v>90.38461538461539</v>
      </c>
      <c r="V62" s="43">
        <f>24.6-18.3</f>
        <v>6.300000000000001</v>
      </c>
      <c r="W62" s="43">
        <v>3.2</v>
      </c>
      <c r="X62" s="40">
        <f t="shared" si="53"/>
        <v>50.79365079365079</v>
      </c>
      <c r="Y62" s="44">
        <f t="shared" si="46"/>
        <v>17.1</v>
      </c>
      <c r="Z62" s="44">
        <f t="shared" si="47"/>
        <v>10.4</v>
      </c>
      <c r="AA62" s="40">
        <f t="shared" si="12"/>
        <v>60.81871345029239</v>
      </c>
      <c r="AB62" s="43">
        <v>4</v>
      </c>
      <c r="AC62" s="43">
        <v>5.2</v>
      </c>
      <c r="AD62" s="40">
        <f t="shared" si="14"/>
        <v>130</v>
      </c>
      <c r="AE62" s="43">
        <v>7.5</v>
      </c>
      <c r="AF62" s="43">
        <v>3</v>
      </c>
      <c r="AG62" s="40">
        <f t="shared" si="15"/>
        <v>40</v>
      </c>
      <c r="AH62" s="43"/>
      <c r="AI62" s="43"/>
      <c r="AJ62" s="40"/>
      <c r="AK62" s="44">
        <f t="shared" si="23"/>
        <v>11.5</v>
      </c>
      <c r="AL62" s="44">
        <f t="shared" si="23"/>
        <v>8.2</v>
      </c>
      <c r="AM62" s="40">
        <f t="shared" si="17"/>
        <v>71.30434782608695</v>
      </c>
      <c r="AN62" s="43"/>
      <c r="AO62" s="43"/>
      <c r="AP62" s="43"/>
      <c r="AQ62" s="43"/>
      <c r="AR62" s="43"/>
      <c r="AS62" s="43"/>
      <c r="AT62" s="76">
        <f t="shared" si="25"/>
        <v>36.1</v>
      </c>
      <c r="AU62" s="76">
        <f t="shared" si="25"/>
        <v>21.4</v>
      </c>
      <c r="AV62" s="40">
        <f t="shared" si="19"/>
        <v>59.27977839335179</v>
      </c>
      <c r="AW62" s="44">
        <f t="shared" si="24"/>
        <v>14.700000000000003</v>
      </c>
      <c r="AX62" s="45">
        <f t="shared" si="48"/>
        <v>10.100000000000001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4"/>
        <v>23.809523809523807</v>
      </c>
      <c r="G63" s="52">
        <v>4.7</v>
      </c>
      <c r="H63" s="52">
        <v>1.9</v>
      </c>
      <c r="I63" s="41">
        <f t="shared" si="55"/>
        <v>40.42553191489361</v>
      </c>
      <c r="J63" s="43">
        <v>9.3</v>
      </c>
      <c r="K63" s="43">
        <v>5.3</v>
      </c>
      <c r="L63" s="40">
        <f t="shared" si="52"/>
        <v>56.98924731182795</v>
      </c>
      <c r="M63" s="44">
        <f t="shared" si="44"/>
        <v>18.200000000000003</v>
      </c>
      <c r="N63" s="44">
        <f t="shared" si="45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21"/>
        <v>125.35211267605635</v>
      </c>
      <c r="S63" s="43">
        <v>8.5</v>
      </c>
      <c r="T63" s="43">
        <v>5.8</v>
      </c>
      <c r="U63" s="40">
        <f t="shared" si="22"/>
        <v>68.23529411764706</v>
      </c>
      <c r="V63" s="43">
        <v>9.6</v>
      </c>
      <c r="W63" s="43">
        <v>8.1</v>
      </c>
      <c r="X63" s="40">
        <f t="shared" si="53"/>
        <v>84.375</v>
      </c>
      <c r="Y63" s="44">
        <f t="shared" si="46"/>
        <v>25.2</v>
      </c>
      <c r="Z63" s="44">
        <f t="shared" si="47"/>
        <v>22.799999999999997</v>
      </c>
      <c r="AA63" s="40">
        <f t="shared" si="12"/>
        <v>90.47619047619047</v>
      </c>
      <c r="AB63" s="43">
        <v>8.6</v>
      </c>
      <c r="AC63" s="43">
        <v>6.8</v>
      </c>
      <c r="AD63" s="40">
        <f t="shared" si="14"/>
        <v>79.06976744186046</v>
      </c>
      <c r="AE63" s="43">
        <v>9</v>
      </c>
      <c r="AF63" s="43">
        <v>7.3</v>
      </c>
      <c r="AG63" s="40">
        <f t="shared" si="15"/>
        <v>81.11111111111111</v>
      </c>
      <c r="AH63" s="43"/>
      <c r="AI63" s="43"/>
      <c r="AJ63" s="40"/>
      <c r="AK63" s="44">
        <f aca="true" t="shared" si="59" ref="AK63:AL71">AB63+AE63+AH63</f>
        <v>17.6</v>
      </c>
      <c r="AL63" s="44">
        <f t="shared" si="59"/>
        <v>14.1</v>
      </c>
      <c r="AM63" s="40">
        <f t="shared" si="17"/>
        <v>80.11363636363636</v>
      </c>
      <c r="AN63" s="43"/>
      <c r="AO63" s="43"/>
      <c r="AP63" s="43"/>
      <c r="AQ63" s="43"/>
      <c r="AR63" s="43"/>
      <c r="AS63" s="43"/>
      <c r="AT63" s="76">
        <f t="shared" si="25"/>
        <v>61.00000000000001</v>
      </c>
      <c r="AU63" s="76">
        <f t="shared" si="25"/>
        <v>45.099999999999994</v>
      </c>
      <c r="AV63" s="40">
        <f t="shared" si="19"/>
        <v>73.93442622950818</v>
      </c>
      <c r="AW63" s="44">
        <f t="shared" si="24"/>
        <v>15.900000000000013</v>
      </c>
      <c r="AX63" s="45">
        <f t="shared" si="48"/>
        <v>15.900000000000013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60" ref="F64:F71">E64/D64*100</f>
        <v>#DIV/0!</v>
      </c>
      <c r="G64" s="43"/>
      <c r="H64" s="43"/>
      <c r="I64" s="41" t="e">
        <f aca="true" t="shared" si="61" ref="I64:I72">H64/G64*100</f>
        <v>#DIV/0!</v>
      </c>
      <c r="J64" s="43"/>
      <c r="K64" s="43"/>
      <c r="L64" s="40" t="e">
        <f t="shared" si="52"/>
        <v>#DIV/0!</v>
      </c>
      <c r="M64" s="44">
        <f t="shared" si="44"/>
        <v>0</v>
      </c>
      <c r="N64" s="44">
        <f t="shared" si="45"/>
        <v>0</v>
      </c>
      <c r="O64" s="40" t="e">
        <f t="shared" si="7"/>
        <v>#DIV/0!</v>
      </c>
      <c r="P64" s="43"/>
      <c r="Q64" s="43"/>
      <c r="R64" s="40" t="e">
        <f t="shared" si="21"/>
        <v>#DIV/0!</v>
      </c>
      <c r="S64" s="43"/>
      <c r="T64" s="43"/>
      <c r="U64" s="40" t="e">
        <f t="shared" si="22"/>
        <v>#DIV/0!</v>
      </c>
      <c r="V64" s="43"/>
      <c r="W64" s="43"/>
      <c r="X64" s="40" t="e">
        <f t="shared" si="53"/>
        <v>#DIV/0!</v>
      </c>
      <c r="Y64" s="44">
        <f t="shared" si="46"/>
        <v>0</v>
      </c>
      <c r="Z64" s="44">
        <f t="shared" si="47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/>
      <c r="AK64" s="44">
        <f t="shared" si="59"/>
        <v>0</v>
      </c>
      <c r="AL64" s="44">
        <f t="shared" si="59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0</v>
      </c>
      <c r="AU64" s="76">
        <f t="shared" si="25"/>
        <v>0</v>
      </c>
      <c r="AV64" s="40" t="e">
        <f t="shared" si="19"/>
        <v>#DIV/0!</v>
      </c>
      <c r="AW64" s="44">
        <f t="shared" si="24"/>
        <v>0</v>
      </c>
      <c r="AX64" s="45">
        <f t="shared" si="48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60"/>
        <v>#DIV/0!</v>
      </c>
      <c r="G65" s="43"/>
      <c r="H65" s="43"/>
      <c r="I65" s="41" t="e">
        <f t="shared" si="61"/>
        <v>#DIV/0!</v>
      </c>
      <c r="J65" s="43"/>
      <c r="K65" s="43"/>
      <c r="L65" s="40" t="e">
        <f t="shared" si="52"/>
        <v>#DIV/0!</v>
      </c>
      <c r="M65" s="44">
        <f t="shared" si="44"/>
        <v>0</v>
      </c>
      <c r="N65" s="44">
        <f t="shared" si="45"/>
        <v>0</v>
      </c>
      <c r="O65" s="40" t="e">
        <f t="shared" si="7"/>
        <v>#DIV/0!</v>
      </c>
      <c r="P65" s="43"/>
      <c r="Q65" s="43"/>
      <c r="R65" s="40" t="e">
        <f t="shared" si="21"/>
        <v>#DIV/0!</v>
      </c>
      <c r="S65" s="43"/>
      <c r="T65" s="43"/>
      <c r="U65" s="40" t="e">
        <f t="shared" si="22"/>
        <v>#DIV/0!</v>
      </c>
      <c r="V65" s="43"/>
      <c r="W65" s="43"/>
      <c r="X65" s="40" t="e">
        <f t="shared" si="53"/>
        <v>#DIV/0!</v>
      </c>
      <c r="Y65" s="44">
        <f t="shared" si="46"/>
        <v>0</v>
      </c>
      <c r="Z65" s="44">
        <f t="shared" si="47"/>
        <v>0</v>
      </c>
      <c r="AA65" s="40" t="e">
        <f t="shared" si="12"/>
        <v>#DIV/0!</v>
      </c>
      <c r="AB65" s="43"/>
      <c r="AC65" s="43"/>
      <c r="AD65" s="40" t="e">
        <f t="shared" si="14"/>
        <v>#DIV/0!</v>
      </c>
      <c r="AE65" s="43"/>
      <c r="AF65" s="43"/>
      <c r="AG65" s="40" t="e">
        <f t="shared" si="15"/>
        <v>#DIV/0!</v>
      </c>
      <c r="AH65" s="43"/>
      <c r="AI65" s="43"/>
      <c r="AJ65" s="40"/>
      <c r="AK65" s="44">
        <f t="shared" si="59"/>
        <v>0</v>
      </c>
      <c r="AL65" s="44">
        <f t="shared" si="59"/>
        <v>0</v>
      </c>
      <c r="AM65" s="40" t="e">
        <f t="shared" si="17"/>
        <v>#DIV/0!</v>
      </c>
      <c r="AN65" s="43"/>
      <c r="AO65" s="43"/>
      <c r="AP65" s="43"/>
      <c r="AQ65" s="43"/>
      <c r="AR65" s="43"/>
      <c r="AS65" s="43"/>
      <c r="AT65" s="76">
        <f t="shared" si="25"/>
        <v>0</v>
      </c>
      <c r="AU65" s="76">
        <f t="shared" si="25"/>
        <v>0</v>
      </c>
      <c r="AV65" s="40" t="e">
        <f t="shared" si="19"/>
        <v>#DIV/0!</v>
      </c>
      <c r="AW65" s="44">
        <f t="shared" si="24"/>
        <v>0</v>
      </c>
      <c r="AX65" s="45">
        <f t="shared" si="48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60"/>
        <v>12.162162162162161</v>
      </c>
      <c r="G66" s="43">
        <v>2.6</v>
      </c>
      <c r="H66" s="43">
        <v>1.2</v>
      </c>
      <c r="I66" s="41">
        <f t="shared" si="61"/>
        <v>46.15384615384615</v>
      </c>
      <c r="J66" s="43">
        <v>2.2</v>
      </c>
      <c r="K66" s="43">
        <v>7.3</v>
      </c>
      <c r="L66" s="40">
        <f t="shared" si="52"/>
        <v>331.8181818181818</v>
      </c>
      <c r="M66" s="44">
        <f t="shared" si="44"/>
        <v>12.2</v>
      </c>
      <c r="N66" s="44">
        <f t="shared" si="45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21"/>
        <v>172</v>
      </c>
      <c r="S66" s="43">
        <v>2.1</v>
      </c>
      <c r="T66" s="43">
        <v>0.9</v>
      </c>
      <c r="U66" s="40">
        <f t="shared" si="22"/>
        <v>42.857142857142854</v>
      </c>
      <c r="V66" s="43">
        <v>2.4</v>
      </c>
      <c r="W66" s="43">
        <v>2.6</v>
      </c>
      <c r="X66" s="40">
        <f t="shared" si="53"/>
        <v>108.33333333333334</v>
      </c>
      <c r="Y66" s="44">
        <f t="shared" si="46"/>
        <v>7</v>
      </c>
      <c r="Z66" s="44">
        <f t="shared" si="47"/>
        <v>7.800000000000001</v>
      </c>
      <c r="AA66" s="40">
        <f t="shared" si="12"/>
        <v>111.42857142857143</v>
      </c>
      <c r="AB66" s="43">
        <v>3.2</v>
      </c>
      <c r="AC66" s="43">
        <v>2.4</v>
      </c>
      <c r="AD66" s="40">
        <f t="shared" si="14"/>
        <v>74.99999999999999</v>
      </c>
      <c r="AE66" s="43">
        <v>8.9</v>
      </c>
      <c r="AF66" s="43">
        <v>1.7</v>
      </c>
      <c r="AG66" s="40">
        <f t="shared" si="15"/>
        <v>19.101123595505616</v>
      </c>
      <c r="AH66" s="43"/>
      <c r="AI66" s="43"/>
      <c r="AJ66" s="40"/>
      <c r="AK66" s="44">
        <f t="shared" si="59"/>
        <v>12.100000000000001</v>
      </c>
      <c r="AL66" s="44">
        <f t="shared" si="59"/>
        <v>4.1</v>
      </c>
      <c r="AM66" s="40">
        <f t="shared" si="17"/>
        <v>33.88429752066115</v>
      </c>
      <c r="AN66" s="43"/>
      <c r="AO66" s="43"/>
      <c r="AP66" s="43"/>
      <c r="AQ66" s="43"/>
      <c r="AR66" s="43"/>
      <c r="AS66" s="43"/>
      <c r="AT66" s="76">
        <f>M66+Y66+AK66+AN66+AP66+AR66</f>
        <v>31.3</v>
      </c>
      <c r="AU66" s="76">
        <f t="shared" si="25"/>
        <v>21.300000000000004</v>
      </c>
      <c r="AV66" s="40">
        <f t="shared" si="19"/>
        <v>68.05111821086263</v>
      </c>
      <c r="AW66" s="44">
        <f t="shared" si="24"/>
        <v>9.999999999999996</v>
      </c>
      <c r="AX66" s="45">
        <f t="shared" si="48"/>
        <v>9.099999999999998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60"/>
        <v>#DIV/0!</v>
      </c>
      <c r="G67" s="43"/>
      <c r="H67" s="43"/>
      <c r="I67" s="41" t="e">
        <f t="shared" si="61"/>
        <v>#DIV/0!</v>
      </c>
      <c r="J67" s="43"/>
      <c r="K67" s="43"/>
      <c r="L67" s="40" t="e">
        <f t="shared" si="52"/>
        <v>#DIV/0!</v>
      </c>
      <c r="M67" s="44">
        <f t="shared" si="44"/>
        <v>0</v>
      </c>
      <c r="N67" s="44">
        <f t="shared" si="45"/>
        <v>0</v>
      </c>
      <c r="O67" s="40" t="e">
        <f t="shared" si="7"/>
        <v>#DIV/0!</v>
      </c>
      <c r="P67" s="43"/>
      <c r="Q67" s="43"/>
      <c r="R67" s="40" t="e">
        <f t="shared" si="21"/>
        <v>#DIV/0!</v>
      </c>
      <c r="S67" s="43"/>
      <c r="T67" s="43"/>
      <c r="U67" s="40" t="e">
        <f t="shared" si="22"/>
        <v>#DIV/0!</v>
      </c>
      <c r="V67" s="43"/>
      <c r="W67" s="43"/>
      <c r="X67" s="40" t="e">
        <f t="shared" si="53"/>
        <v>#DIV/0!</v>
      </c>
      <c r="Y67" s="44">
        <f t="shared" si="46"/>
        <v>0</v>
      </c>
      <c r="Z67" s="44">
        <f t="shared" si="47"/>
        <v>0</v>
      </c>
      <c r="AA67" s="40" t="e">
        <f t="shared" si="12"/>
        <v>#DIV/0!</v>
      </c>
      <c r="AB67" s="43"/>
      <c r="AC67" s="43"/>
      <c r="AD67" s="40" t="e">
        <f t="shared" si="14"/>
        <v>#DIV/0!</v>
      </c>
      <c r="AE67" s="43"/>
      <c r="AF67" s="43"/>
      <c r="AG67" s="40" t="e">
        <f t="shared" si="15"/>
        <v>#DIV/0!</v>
      </c>
      <c r="AH67" s="43"/>
      <c r="AI67" s="43"/>
      <c r="AJ67" s="40"/>
      <c r="AK67" s="44">
        <f t="shared" si="59"/>
        <v>0</v>
      </c>
      <c r="AL67" s="44">
        <f t="shared" si="59"/>
        <v>0</v>
      </c>
      <c r="AM67" s="40" t="e">
        <f t="shared" si="17"/>
        <v>#DIV/0!</v>
      </c>
      <c r="AN67" s="43"/>
      <c r="AO67" s="43"/>
      <c r="AP67" s="43"/>
      <c r="AQ67" s="43"/>
      <c r="AR67" s="43"/>
      <c r="AS67" s="43"/>
      <c r="AT67" s="76">
        <f t="shared" si="25"/>
        <v>0</v>
      </c>
      <c r="AU67" s="76">
        <f t="shared" si="25"/>
        <v>0</v>
      </c>
      <c r="AV67" s="40" t="e">
        <f t="shared" si="19"/>
        <v>#DIV/0!</v>
      </c>
      <c r="AW67" s="44">
        <f t="shared" si="24"/>
        <v>0</v>
      </c>
      <c r="AX67" s="45">
        <f t="shared" si="48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60"/>
        <v>0</v>
      </c>
      <c r="G68" s="43">
        <v>3.9</v>
      </c>
      <c r="H68" s="43">
        <v>3</v>
      </c>
      <c r="I68" s="41">
        <f t="shared" si="61"/>
        <v>76.92307692307693</v>
      </c>
      <c r="J68" s="43">
        <v>4.1</v>
      </c>
      <c r="K68" s="43">
        <v>3.7</v>
      </c>
      <c r="L68" s="40">
        <f t="shared" si="52"/>
        <v>90.24390243902441</v>
      </c>
      <c r="M68" s="44">
        <f t="shared" si="44"/>
        <v>11.1</v>
      </c>
      <c r="N68" s="44">
        <f t="shared" si="45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21"/>
        <v>320</v>
      </c>
      <c r="S68" s="43">
        <v>2.5</v>
      </c>
      <c r="T68" s="43">
        <v>2.3</v>
      </c>
      <c r="U68" s="40">
        <f t="shared" si="22"/>
        <v>92</v>
      </c>
      <c r="V68" s="43">
        <v>5.5</v>
      </c>
      <c r="W68" s="43">
        <v>2.5</v>
      </c>
      <c r="X68" s="40">
        <f t="shared" si="53"/>
        <v>45.45454545454545</v>
      </c>
      <c r="Y68" s="44">
        <f t="shared" si="46"/>
        <v>10.5</v>
      </c>
      <c r="Z68" s="44">
        <f t="shared" si="47"/>
        <v>12.8</v>
      </c>
      <c r="AA68" s="40">
        <f t="shared" si="12"/>
        <v>121.90476190476191</v>
      </c>
      <c r="AB68" s="43">
        <v>3.8</v>
      </c>
      <c r="AC68" s="43">
        <v>6.1</v>
      </c>
      <c r="AD68" s="40">
        <f t="shared" si="14"/>
        <v>160.52631578947367</v>
      </c>
      <c r="AE68" s="43">
        <v>1.2</v>
      </c>
      <c r="AF68" s="43">
        <v>3.6</v>
      </c>
      <c r="AG68" s="40">
        <f t="shared" si="15"/>
        <v>300</v>
      </c>
      <c r="AH68" s="43"/>
      <c r="AI68" s="43"/>
      <c r="AJ68" s="40"/>
      <c r="AK68" s="44">
        <f t="shared" si="59"/>
        <v>5</v>
      </c>
      <c r="AL68" s="44">
        <f t="shared" si="59"/>
        <v>9.7</v>
      </c>
      <c r="AM68" s="40">
        <f t="shared" si="17"/>
        <v>194</v>
      </c>
      <c r="AN68" s="43"/>
      <c r="AO68" s="43"/>
      <c r="AP68" s="43"/>
      <c r="AQ68" s="43"/>
      <c r="AR68" s="43"/>
      <c r="AS68" s="43"/>
      <c r="AT68" s="76">
        <f t="shared" si="25"/>
        <v>26.6</v>
      </c>
      <c r="AU68" s="76">
        <f t="shared" si="25"/>
        <v>29.2</v>
      </c>
      <c r="AV68" s="40">
        <f t="shared" si="19"/>
        <v>109.77443609022555</v>
      </c>
      <c r="AW68" s="44">
        <f t="shared" si="24"/>
        <v>-2.599999999999998</v>
      </c>
      <c r="AX68" s="45">
        <f t="shared" si="48"/>
        <v>1.9000000000000021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60"/>
        <v>0</v>
      </c>
      <c r="G69" s="43">
        <v>0.1</v>
      </c>
      <c r="H69" s="43"/>
      <c r="I69" s="41">
        <f t="shared" si="61"/>
        <v>0</v>
      </c>
      <c r="J69" s="43">
        <v>0.2</v>
      </c>
      <c r="K69" s="43">
        <v>0</v>
      </c>
      <c r="L69" s="40">
        <f t="shared" si="52"/>
        <v>0</v>
      </c>
      <c r="M69" s="44">
        <f t="shared" si="44"/>
        <v>0.4</v>
      </c>
      <c r="N69" s="44">
        <f t="shared" si="45"/>
        <v>0</v>
      </c>
      <c r="O69" s="40">
        <f t="shared" si="7"/>
        <v>0</v>
      </c>
      <c r="P69" s="43">
        <v>0.2</v>
      </c>
      <c r="Q69" s="43"/>
      <c r="R69" s="40">
        <f t="shared" si="21"/>
        <v>0</v>
      </c>
      <c r="S69" s="43">
        <v>0.2</v>
      </c>
      <c r="T69" s="43"/>
      <c r="U69" s="40">
        <f t="shared" si="22"/>
        <v>0</v>
      </c>
      <c r="V69" s="43">
        <v>0.2</v>
      </c>
      <c r="W69" s="43"/>
      <c r="X69" s="40">
        <f t="shared" si="53"/>
        <v>0</v>
      </c>
      <c r="Y69" s="44">
        <f t="shared" si="46"/>
        <v>0.6000000000000001</v>
      </c>
      <c r="Z69" s="44">
        <f t="shared" si="47"/>
        <v>0</v>
      </c>
      <c r="AA69" s="40">
        <f t="shared" si="12"/>
        <v>0</v>
      </c>
      <c r="AB69" s="43">
        <v>0.2</v>
      </c>
      <c r="AC69" s="43">
        <v>0</v>
      </c>
      <c r="AD69" s="40">
        <f t="shared" si="14"/>
        <v>0</v>
      </c>
      <c r="AE69" s="43">
        <v>0.2</v>
      </c>
      <c r="AF69" s="43"/>
      <c r="AG69" s="40">
        <f t="shared" si="15"/>
        <v>0</v>
      </c>
      <c r="AH69" s="43"/>
      <c r="AI69" s="43"/>
      <c r="AJ69" s="40"/>
      <c r="AK69" s="44">
        <f t="shared" si="59"/>
        <v>0.4</v>
      </c>
      <c r="AL69" s="44">
        <f t="shared" si="59"/>
        <v>0</v>
      </c>
      <c r="AM69" s="40">
        <f t="shared" si="17"/>
        <v>0</v>
      </c>
      <c r="AN69" s="43"/>
      <c r="AO69" s="43"/>
      <c r="AP69" s="43"/>
      <c r="AQ69" s="43"/>
      <c r="AR69" s="43"/>
      <c r="AS69" s="43"/>
      <c r="AT69" s="76">
        <f t="shared" si="25"/>
        <v>1.4</v>
      </c>
      <c r="AU69" s="76">
        <f t="shared" si="25"/>
        <v>0</v>
      </c>
      <c r="AV69" s="40">
        <f t="shared" si="19"/>
        <v>0</v>
      </c>
      <c r="AW69" s="44">
        <f t="shared" si="24"/>
        <v>1.4</v>
      </c>
      <c r="AX69" s="45">
        <f t="shared" si="48"/>
        <v>1.4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>
        <v>3.9</v>
      </c>
      <c r="T70" s="43">
        <v>5.1</v>
      </c>
      <c r="U70" s="40">
        <f>T70/S70*100</f>
        <v>130.76923076923077</v>
      </c>
      <c r="V70" s="43">
        <v>5.9</v>
      </c>
      <c r="W70" s="43">
        <v>3.9</v>
      </c>
      <c r="X70" s="40">
        <f>W70/V70*100</f>
        <v>66.10169491525423</v>
      </c>
      <c r="Y70" s="44">
        <f>P70+S70+V70</f>
        <v>14.9</v>
      </c>
      <c r="Z70" s="44">
        <f>Q70+T70+W70</f>
        <v>15.4</v>
      </c>
      <c r="AA70" s="40">
        <f>Z70/Y70*100</f>
        <v>103.35570469798658</v>
      </c>
      <c r="AB70" s="43">
        <v>5.6</v>
      </c>
      <c r="AC70" s="43">
        <v>5.9</v>
      </c>
      <c r="AD70" s="40">
        <f t="shared" si="14"/>
        <v>105.35714285714286</v>
      </c>
      <c r="AE70" s="43">
        <v>3.7</v>
      </c>
      <c r="AF70" s="43">
        <v>5.6</v>
      </c>
      <c r="AG70" s="40">
        <f t="shared" si="15"/>
        <v>151.35135135135133</v>
      </c>
      <c r="AH70" s="43"/>
      <c r="AI70" s="43"/>
      <c r="AJ70" s="40"/>
      <c r="AK70" s="44">
        <f>AB70+AE70+AH70</f>
        <v>9.3</v>
      </c>
      <c r="AL70" s="44">
        <f>AC70+AF70+AI70</f>
        <v>11.5</v>
      </c>
      <c r="AM70" s="40">
        <f>AL70/AK70*100</f>
        <v>123.65591397849462</v>
      </c>
      <c r="AN70" s="43"/>
      <c r="AO70" s="43"/>
      <c r="AP70" s="43"/>
      <c r="AQ70" s="43"/>
      <c r="AR70" s="43"/>
      <c r="AS70" s="43"/>
      <c r="AT70" s="76">
        <f>M70+Y70+AK70+AN70+AP70+AR70</f>
        <v>37.6</v>
      </c>
      <c r="AU70" s="76">
        <f>N70+Z70+AL70+AO70+AQ70+AS70</f>
        <v>33.9</v>
      </c>
      <c r="AV70" s="40">
        <f>AU70/AT70*100</f>
        <v>90.1595744680851</v>
      </c>
      <c r="AW70" s="44">
        <f>AT70-AU70</f>
        <v>3.700000000000003</v>
      </c>
      <c r="AX70" s="45">
        <f>C70+AT70-AU70</f>
        <v>3.700000000000003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60"/>
        <v>0.10840108401084012</v>
      </c>
      <c r="G71" s="43">
        <v>139.6</v>
      </c>
      <c r="H71" s="43">
        <v>15.9</v>
      </c>
      <c r="I71" s="41">
        <f t="shared" si="61"/>
        <v>11.389684813753583</v>
      </c>
      <c r="J71" s="43">
        <v>151.6</v>
      </c>
      <c r="K71" s="43">
        <v>385.8</v>
      </c>
      <c r="L71" s="40">
        <f t="shared" si="52"/>
        <v>254.48548812664907</v>
      </c>
      <c r="M71" s="44">
        <f t="shared" si="44"/>
        <v>475.70000000000005</v>
      </c>
      <c r="N71" s="44">
        <f t="shared" si="45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21"/>
        <v>74.39180537772087</v>
      </c>
      <c r="S71" s="43">
        <v>132</v>
      </c>
      <c r="T71" s="43">
        <v>24.2</v>
      </c>
      <c r="U71" s="40">
        <f t="shared" si="22"/>
        <v>18.333333333333332</v>
      </c>
      <c r="V71" s="43">
        <v>180.9</v>
      </c>
      <c r="W71" s="43">
        <v>176.8</v>
      </c>
      <c r="X71" s="40">
        <f t="shared" si="53"/>
        <v>97.73355444997236</v>
      </c>
      <c r="Y71" s="44">
        <f t="shared" si="46"/>
        <v>469.1</v>
      </c>
      <c r="Z71" s="44">
        <f t="shared" si="47"/>
        <v>317.20000000000005</v>
      </c>
      <c r="AA71" s="40">
        <f t="shared" si="12"/>
        <v>67.61884459603496</v>
      </c>
      <c r="AB71" s="43">
        <v>146.9</v>
      </c>
      <c r="AC71" s="43">
        <v>128.6</v>
      </c>
      <c r="AD71" s="40">
        <f t="shared" si="14"/>
        <v>87.54254594962558</v>
      </c>
      <c r="AE71" s="43">
        <v>136.2</v>
      </c>
      <c r="AF71" s="43">
        <v>196.2</v>
      </c>
      <c r="AG71" s="40">
        <f t="shared" si="15"/>
        <v>144.05286343612335</v>
      </c>
      <c r="AH71" s="43"/>
      <c r="AI71" s="43"/>
      <c r="AJ71" s="40"/>
      <c r="AK71" s="44">
        <f t="shared" si="59"/>
        <v>283.1</v>
      </c>
      <c r="AL71" s="44">
        <f t="shared" si="59"/>
        <v>324.79999999999995</v>
      </c>
      <c r="AM71" s="40">
        <f t="shared" si="17"/>
        <v>114.7297774637937</v>
      </c>
      <c r="AN71" s="43"/>
      <c r="AO71" s="43"/>
      <c r="AP71" s="43"/>
      <c r="AQ71" s="43"/>
      <c r="AR71" s="43"/>
      <c r="AS71" s="43"/>
      <c r="AT71" s="76">
        <f t="shared" si="25"/>
        <v>1227.9</v>
      </c>
      <c r="AU71" s="76">
        <f t="shared" si="25"/>
        <v>1043.9</v>
      </c>
      <c r="AV71" s="40">
        <f t="shared" si="19"/>
        <v>85.01506637348318</v>
      </c>
      <c r="AW71" s="44">
        <f t="shared" si="24"/>
        <v>184</v>
      </c>
      <c r="AX71" s="45">
        <f t="shared" si="48"/>
        <v>330.79999999999995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1"/>
        <v>78.40206363646833</v>
      </c>
      <c r="J72" s="61">
        <f>SUM(J73:J73)</f>
        <v>9098.4</v>
      </c>
      <c r="K72" s="61">
        <f>SUM(K73:K73)</f>
        <v>9904.2</v>
      </c>
      <c r="L72" s="40">
        <f t="shared" si="52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21"/>
        <v>103.92616466451803</v>
      </c>
      <c r="S72" s="61">
        <f>SUM(S73:S73)</f>
        <v>8151.5</v>
      </c>
      <c r="T72" s="61">
        <f>SUM(T73:T73)</f>
        <v>7901</v>
      </c>
      <c r="U72" s="40">
        <f t="shared" si="22"/>
        <v>96.92694596086609</v>
      </c>
      <c r="V72" s="61">
        <f>SUM(V73:V73)</f>
        <v>8353.9</v>
      </c>
      <c r="W72" s="61">
        <f>SUM(W73:W73)</f>
        <v>6589.6</v>
      </c>
      <c r="X72" s="40">
        <f t="shared" si="53"/>
        <v>78.88052286955794</v>
      </c>
      <c r="Y72" s="61">
        <f>SUM(Y73:Y73)</f>
        <v>25379.199999999997</v>
      </c>
      <c r="Z72" s="61">
        <f>SUM(Z73:Z73)</f>
        <v>23712.800000000003</v>
      </c>
      <c r="AA72" s="40">
        <f t="shared" si="12"/>
        <v>93.43399319127477</v>
      </c>
      <c r="AB72" s="61">
        <f>SUM(AB73:AB73)</f>
        <v>7067.7</v>
      </c>
      <c r="AC72" s="61">
        <f>SUM(AC73:AC73)</f>
        <v>8404.1</v>
      </c>
      <c r="AD72" s="40">
        <f>AC72/AB72*100</f>
        <v>118.90855582438418</v>
      </c>
      <c r="AE72" s="61">
        <f>SUM(AE73:AE73)</f>
        <v>6622</v>
      </c>
      <c r="AF72" s="61">
        <f>SUM(AF73:AF73)</f>
        <v>7647.1</v>
      </c>
      <c r="AG72" s="40">
        <f>AF72/AE72*100</f>
        <v>115.48021745696164</v>
      </c>
      <c r="AH72" s="61">
        <f>SUM(AH73:AH73)</f>
        <v>0</v>
      </c>
      <c r="AI72" s="61">
        <f>SUM(AI73:AI73)</f>
        <v>0</v>
      </c>
      <c r="AJ72" s="40" t="e">
        <f t="shared" si="16"/>
        <v>#DIV/0!</v>
      </c>
      <c r="AK72" s="61">
        <f>SUM(AK73:AK73)</f>
        <v>13689.7</v>
      </c>
      <c r="AL72" s="61">
        <f>SUM(AL73:AL73)</f>
        <v>16051.2</v>
      </c>
      <c r="AM72" s="40">
        <f t="shared" si="17"/>
        <v>117.25019540238281</v>
      </c>
      <c r="AN72" s="61">
        <f aca="true" t="shared" si="62" ref="AN72:AS72">SUM(AN73:AN73)</f>
        <v>0</v>
      </c>
      <c r="AO72" s="61">
        <f t="shared" si="62"/>
        <v>0</v>
      </c>
      <c r="AP72" s="61">
        <f t="shared" si="62"/>
        <v>0</v>
      </c>
      <c r="AQ72" s="61">
        <f t="shared" si="62"/>
        <v>0</v>
      </c>
      <c r="AR72" s="61">
        <f t="shared" si="62"/>
        <v>0</v>
      </c>
      <c r="AS72" s="61">
        <f t="shared" si="62"/>
        <v>0</v>
      </c>
      <c r="AT72" s="39">
        <f t="shared" si="25"/>
        <v>64983.5</v>
      </c>
      <c r="AU72" s="39">
        <f t="shared" si="25"/>
        <v>57372.2</v>
      </c>
      <c r="AV72" s="40">
        <f t="shared" si="19"/>
        <v>88.28733447721345</v>
      </c>
      <c r="AW72" s="61">
        <f>AW73</f>
        <v>7611.300000000003</v>
      </c>
      <c r="AX72" s="61">
        <f>AX73</f>
        <v>10252.400000000009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2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21"/>
        <v>103.92616466451803</v>
      </c>
      <c r="S73" s="43">
        <v>8151.5</v>
      </c>
      <c r="T73" s="43">
        <v>7901</v>
      </c>
      <c r="U73" s="40">
        <f t="shared" si="22"/>
        <v>96.92694596086609</v>
      </c>
      <c r="V73" s="43">
        <v>8353.9</v>
      </c>
      <c r="W73" s="43">
        <v>6589.6</v>
      </c>
      <c r="X73" s="40">
        <f>W73/V73*100</f>
        <v>78.88052286955794</v>
      </c>
      <c r="Y73" s="44">
        <f>P73+S73+V73</f>
        <v>25379.199999999997</v>
      </c>
      <c r="Z73" s="44">
        <f>Q73+T73+W73</f>
        <v>23712.800000000003</v>
      </c>
      <c r="AA73" s="40">
        <f t="shared" si="12"/>
        <v>93.43399319127477</v>
      </c>
      <c r="AB73" s="43">
        <v>7067.7</v>
      </c>
      <c r="AC73" s="43">
        <v>8404.1</v>
      </c>
      <c r="AD73" s="40">
        <f>AC73/AB73*100</f>
        <v>118.90855582438418</v>
      </c>
      <c r="AE73" s="43">
        <v>6622</v>
      </c>
      <c r="AF73" s="43">
        <v>7647.1</v>
      </c>
      <c r="AG73" s="40">
        <f>AF73/AE73*100</f>
        <v>115.48021745696164</v>
      </c>
      <c r="AH73" s="43"/>
      <c r="AI73" s="43"/>
      <c r="AJ73" s="40"/>
      <c r="AK73" s="44">
        <f>AB73+AE73+AH73</f>
        <v>13689.7</v>
      </c>
      <c r="AL73" s="44">
        <f>AC73+AF73+AI73</f>
        <v>16051.2</v>
      </c>
      <c r="AM73" s="40">
        <f t="shared" si="17"/>
        <v>117.25019540238281</v>
      </c>
      <c r="AN73" s="43"/>
      <c r="AO73" s="43"/>
      <c r="AP73" s="43"/>
      <c r="AQ73" s="43"/>
      <c r="AR73" s="43"/>
      <c r="AS73" s="43"/>
      <c r="AT73" s="76">
        <f t="shared" si="25"/>
        <v>64983.5</v>
      </c>
      <c r="AU73" s="76">
        <f t="shared" si="25"/>
        <v>57372.2</v>
      </c>
      <c r="AV73" s="40">
        <f t="shared" si="19"/>
        <v>88.28733447721345</v>
      </c>
      <c r="AW73" s="44">
        <f t="shared" si="24"/>
        <v>7611.300000000003</v>
      </c>
      <c r="AX73" s="45">
        <f>C73+AT73-AU73</f>
        <v>10252.400000000009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8809.22</v>
      </c>
      <c r="E74" s="61">
        <f>E72+E7</f>
        <v>923.3</v>
      </c>
      <c r="F74" s="41">
        <f>E74/D74*100</f>
        <v>10.481064157780144</v>
      </c>
      <c r="G74" s="61">
        <f>G72+G7</f>
        <v>9348.926000000001</v>
      </c>
      <c r="H74" s="61">
        <f>H72+H7</f>
        <v>6984.92</v>
      </c>
      <c r="I74" s="41">
        <f>H74/G74*100</f>
        <v>74.7136088145312</v>
      </c>
      <c r="J74" s="61">
        <f>J72+J7</f>
        <v>9771.225999999999</v>
      </c>
      <c r="K74" s="61">
        <f>K72+K7</f>
        <v>10951.626</v>
      </c>
      <c r="L74" s="40">
        <f t="shared" si="52"/>
        <v>112.0803673970902</v>
      </c>
      <c r="M74" s="61">
        <f>M72+M7</f>
        <v>27929.372</v>
      </c>
      <c r="N74" s="61">
        <f>N72+N7</f>
        <v>18859.846</v>
      </c>
      <c r="O74" s="40">
        <f t="shared" si="7"/>
        <v>67.52692470135025</v>
      </c>
      <c r="P74" s="61">
        <f>P72+P7</f>
        <v>9616.426</v>
      </c>
      <c r="Q74" s="61">
        <f>Q72+Q7</f>
        <v>9723.826000000001</v>
      </c>
      <c r="R74" s="40">
        <f t="shared" si="21"/>
        <v>101.11683904186441</v>
      </c>
      <c r="S74" s="61">
        <f>S72+S7</f>
        <v>8876.626</v>
      </c>
      <c r="T74" s="61">
        <f>T72+T7</f>
        <v>8288.726</v>
      </c>
      <c r="U74" s="40">
        <f t="shared" si="22"/>
        <v>93.37698805830054</v>
      </c>
      <c r="V74" s="61">
        <f>V72+V7</f>
        <v>9140.82</v>
      </c>
      <c r="W74" s="61">
        <f>W72+W7</f>
        <v>7376.826</v>
      </c>
      <c r="X74" s="40">
        <f>W74/V74*100</f>
        <v>80.70201579289386</v>
      </c>
      <c r="Y74" s="61">
        <f>Y72+Y7</f>
        <v>27633.871999999996</v>
      </c>
      <c r="Z74" s="61">
        <f>Z72+Z7</f>
        <v>25389.378000000004</v>
      </c>
      <c r="AA74" s="40">
        <f>Z74/Y74*100</f>
        <v>91.87774337233671</v>
      </c>
      <c r="AB74" s="61">
        <f>AB72+AB7</f>
        <v>7749.84</v>
      </c>
      <c r="AC74" s="61">
        <f>AC72+AC7</f>
        <v>8897.82</v>
      </c>
      <c r="AD74" s="40">
        <f>AC74/AB74*100</f>
        <v>114.81295097705242</v>
      </c>
      <c r="AE74" s="61">
        <f>AE72+AE7</f>
        <v>7315.633</v>
      </c>
      <c r="AF74" s="61">
        <f>AF72+AF7</f>
        <v>8150.4400000000005</v>
      </c>
      <c r="AG74" s="40">
        <f>AF74/AE74*100</f>
        <v>111.41127500518411</v>
      </c>
      <c r="AH74" s="61">
        <f>AH72+AH7</f>
        <v>0</v>
      </c>
      <c r="AI74" s="61">
        <f>AI72+AI7</f>
        <v>0</v>
      </c>
      <c r="AJ74" s="40" t="e">
        <f t="shared" si="16"/>
        <v>#DIV/0!</v>
      </c>
      <c r="AK74" s="61">
        <f>AK72+AK7</f>
        <v>15065.473000000002</v>
      </c>
      <c r="AL74" s="61">
        <f>AL72+AL7</f>
        <v>17048.260000000002</v>
      </c>
      <c r="AM74" s="40">
        <f>AL74/AK74*100</f>
        <v>113.16113340749408</v>
      </c>
      <c r="AN74" s="61">
        <f aca="true" t="shared" si="63" ref="AN74:AS74">AN72+AN7</f>
        <v>0</v>
      </c>
      <c r="AO74" s="61">
        <f t="shared" si="63"/>
        <v>0</v>
      </c>
      <c r="AP74" s="61">
        <f t="shared" si="63"/>
        <v>0</v>
      </c>
      <c r="AQ74" s="61">
        <f t="shared" si="63"/>
        <v>0</v>
      </c>
      <c r="AR74" s="61">
        <f t="shared" si="63"/>
        <v>0</v>
      </c>
      <c r="AS74" s="61">
        <f t="shared" si="63"/>
        <v>0</v>
      </c>
      <c r="AT74" s="39">
        <f t="shared" si="25"/>
        <v>70628.71699999999</v>
      </c>
      <c r="AU74" s="39">
        <f t="shared" si="25"/>
        <v>61297.484000000004</v>
      </c>
      <c r="AV74" s="40">
        <f>AU74/AT74*100</f>
        <v>86.78833002162564</v>
      </c>
      <c r="AW74" s="61">
        <f>AW72+AW7</f>
        <v>9331.233000000004</v>
      </c>
      <c r="AX74" s="61">
        <f>AX72+AX7</f>
        <v>11922.433000000008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50" t="s">
        <v>45</v>
      </c>
      <c r="B75" s="15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B2:AX3"/>
    <mergeCell ref="S5:U5"/>
    <mergeCell ref="Y5:AA5"/>
    <mergeCell ref="AW5:AW6"/>
    <mergeCell ref="AR5:AS5"/>
    <mergeCell ref="AH5:AJ5"/>
    <mergeCell ref="A75:B75"/>
    <mergeCell ref="I1:AX1"/>
    <mergeCell ref="D5:F5"/>
    <mergeCell ref="G5:I5"/>
    <mergeCell ref="P5:R5"/>
    <mergeCell ref="AE5:AG5"/>
    <mergeCell ref="M5:O5"/>
    <mergeCell ref="AX5:AX6"/>
    <mergeCell ref="B4:F4"/>
    <mergeCell ref="J5:L5"/>
    <mergeCell ref="AT5:AV5"/>
    <mergeCell ref="AN5:AO5"/>
    <mergeCell ref="AB5:AD5"/>
    <mergeCell ref="AP5:AQ5"/>
    <mergeCell ref="AK5:AM5"/>
    <mergeCell ref="V5:X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D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178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61" s="9" customFormat="1" ht="34.5" customHeight="1">
      <c r="A7" s="8"/>
      <c r="B7" s="89" t="s">
        <v>127</v>
      </c>
      <c r="C7" s="40">
        <f>SUM(C8:C71)-C8-C14-C23-C30-C39-C45-C61</f>
        <v>3.499999999999961</v>
      </c>
      <c r="D7" s="40">
        <f aca="true" t="shared" si="0" ref="D7:AX7">SUM(D8:D71)-D8-D14-D23-D30-D39-D45-D61</f>
        <v>1978.9999999999993</v>
      </c>
      <c r="E7" s="40">
        <f t="shared" si="0"/>
        <v>187.6999999999999</v>
      </c>
      <c r="F7" s="41">
        <f aca="true" t="shared" si="1" ref="F7:F51">E7/D7*100</f>
        <v>9.484588175846385</v>
      </c>
      <c r="G7" s="40">
        <f t="shared" si="0"/>
        <v>3051.899999999999</v>
      </c>
      <c r="H7" s="40">
        <f t="shared" si="0"/>
        <v>2560.4000000000015</v>
      </c>
      <c r="I7" s="41">
        <f>H7/G7*100</f>
        <v>83.89527835119112</v>
      </c>
      <c r="J7" s="40">
        <f t="shared" si="0"/>
        <v>2777.2999999999993</v>
      </c>
      <c r="K7" s="40">
        <f t="shared" si="0"/>
        <v>3277.0000000000014</v>
      </c>
      <c r="L7" s="40">
        <f>K7/J7*100</f>
        <v>117.99229467468413</v>
      </c>
      <c r="M7" s="40">
        <f t="shared" si="0"/>
        <v>7808.200000000001</v>
      </c>
      <c r="N7" s="40">
        <f t="shared" si="0"/>
        <v>6025.100000000001</v>
      </c>
      <c r="O7" s="40" t="e">
        <f t="shared" si="0"/>
        <v>#DIV/0!</v>
      </c>
      <c r="P7" s="40">
        <f t="shared" si="0"/>
        <v>2925.899999999997</v>
      </c>
      <c r="Q7" s="40">
        <f t="shared" si="0"/>
        <v>3147.0000000000014</v>
      </c>
      <c r="R7" s="40" t="e">
        <f t="shared" si="0"/>
        <v>#DIV/0!</v>
      </c>
      <c r="S7" s="40">
        <f t="shared" si="0"/>
        <v>2585.100000000001</v>
      </c>
      <c r="T7" s="40">
        <f t="shared" si="0"/>
        <v>2628.199999999998</v>
      </c>
      <c r="U7" s="40" t="e">
        <f t="shared" si="0"/>
        <v>#DIV/0!</v>
      </c>
      <c r="V7" s="40">
        <f t="shared" si="0"/>
        <v>2833.9999999999986</v>
      </c>
      <c r="W7" s="40">
        <f t="shared" si="0"/>
        <v>2473.500000000002</v>
      </c>
      <c r="X7" s="40" t="e">
        <f t="shared" si="0"/>
        <v>#DIV/0!</v>
      </c>
      <c r="Y7" s="40">
        <f t="shared" si="0"/>
        <v>8345.000000000002</v>
      </c>
      <c r="Z7" s="40">
        <f t="shared" si="0"/>
        <v>8248.7</v>
      </c>
      <c r="AA7" s="40" t="e">
        <f t="shared" si="0"/>
        <v>#DIV/0!</v>
      </c>
      <c r="AB7" s="40">
        <f t="shared" si="0"/>
        <v>2501.2999999999984</v>
      </c>
      <c r="AC7" s="40">
        <f t="shared" si="0"/>
        <v>2705.9000000000005</v>
      </c>
      <c r="AD7" s="40">
        <f>AC7/AB7*100</f>
        <v>108.17974653180356</v>
      </c>
      <c r="AE7" s="40">
        <f t="shared" si="0"/>
        <v>2398.999999999998</v>
      </c>
      <c r="AF7" s="40">
        <f t="shared" si="0"/>
        <v>2412.899999999999</v>
      </c>
      <c r="AG7" s="40">
        <f>AF7/AE7*100</f>
        <v>100.57940808670283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4900.2999999999965</v>
      </c>
      <c r="AL7" s="40">
        <f t="shared" si="0"/>
        <v>5118.800000000003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21053.5</v>
      </c>
      <c r="AU7" s="39">
        <f t="shared" si="2"/>
        <v>19392.600000000006</v>
      </c>
      <c r="AV7" s="40">
        <f>AU7/AT7*100</f>
        <v>92.11105041917024</v>
      </c>
      <c r="AW7" s="40">
        <f t="shared" si="0"/>
        <v>1660.9000000000005</v>
      </c>
      <c r="AX7" s="40">
        <f t="shared" si="0"/>
        <v>1664.4000000000003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354.9</v>
      </c>
      <c r="T8" s="57">
        <f t="shared" si="8"/>
        <v>327.09999999999997</v>
      </c>
      <c r="U8" s="57">
        <f t="shared" si="8"/>
        <v>477.5104031304797</v>
      </c>
      <c r="V8" s="57">
        <f t="shared" si="8"/>
        <v>320.5</v>
      </c>
      <c r="W8" s="57">
        <f t="shared" si="8"/>
        <v>346.1</v>
      </c>
      <c r="X8" s="40">
        <f aca="true" t="shared" si="9" ref="X8:X24">W8/V8*100</f>
        <v>107.98751950078005</v>
      </c>
      <c r="Y8" s="40">
        <f aca="true" t="shared" si="10" ref="Y8:Y39">P8+S8+V8</f>
        <v>1072.5</v>
      </c>
      <c r="Z8" s="40">
        <f aca="true" t="shared" si="11" ref="Z8:Z39">Q8+T8+W8</f>
        <v>1108.5</v>
      </c>
      <c r="AA8" s="40">
        <f aca="true" t="shared" si="12" ref="AA8:AA73">Z8/Y8*100</f>
        <v>103.35664335664336</v>
      </c>
      <c r="AB8" s="57">
        <f aca="true" t="shared" si="13" ref="AB8:AI8">SUM(AB9:AB13)</f>
        <v>273.6</v>
      </c>
      <c r="AC8" s="57">
        <f t="shared" si="13"/>
        <v>263.1</v>
      </c>
      <c r="AD8" s="40">
        <f aca="true" t="shared" si="14" ref="AD8:AD71">AC8/AB8*100</f>
        <v>96.16228070175438</v>
      </c>
      <c r="AE8" s="57">
        <f t="shared" si="13"/>
        <v>318.6</v>
      </c>
      <c r="AF8" s="57">
        <f t="shared" si="13"/>
        <v>181.8</v>
      </c>
      <c r="AG8" s="40">
        <f aca="true" t="shared" si="15" ref="AG8:AG71">AF8/AE8*100</f>
        <v>57.06214689265536</v>
      </c>
      <c r="AH8" s="57">
        <f t="shared" si="13"/>
        <v>0</v>
      </c>
      <c r="AI8" s="57">
        <f t="shared" si="13"/>
        <v>0</v>
      </c>
      <c r="AJ8" s="40" t="e">
        <f aca="true" t="shared" si="16" ref="AJ8:AJ74">AI8/AH8*100</f>
        <v>#DIV/0!</v>
      </c>
      <c r="AK8" s="40">
        <f>AB8+AE8+AH8</f>
        <v>592.2</v>
      </c>
      <c r="AL8" s="40">
        <f>AC8+AF8+AI8</f>
        <v>444.90000000000003</v>
      </c>
      <c r="AM8" s="40">
        <f aca="true" t="shared" si="17" ref="AM8:AM73">AL8/AK8*100</f>
        <v>75.12664640324215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2575.6000000000004</v>
      </c>
      <c r="AU8" s="39">
        <f t="shared" si="2"/>
        <v>2149.9</v>
      </c>
      <c r="AV8" s="40">
        <f aca="true" t="shared" si="19" ref="AV8:AV73">AU8/AT8*100</f>
        <v>83.47181239322875</v>
      </c>
      <c r="AW8" s="40">
        <f>AT8-AU8</f>
        <v>425.7000000000003</v>
      </c>
      <c r="AX8" s="61">
        <f aca="true" t="shared" si="20" ref="AX8:AX39">C8+AT8-AU8</f>
        <v>367.3000000000002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21" ref="R9:R74">Q9/P9*100</f>
        <v>149.56110735989196</v>
      </c>
      <c r="S9" s="73">
        <v>120.2</v>
      </c>
      <c r="T9" s="73">
        <v>82.2</v>
      </c>
      <c r="U9" s="38">
        <f aca="true" t="shared" si="22" ref="U9:U74">T9/S9*100</f>
        <v>68.38602329450916</v>
      </c>
      <c r="V9" s="73">
        <v>87.1</v>
      </c>
      <c r="W9" s="73">
        <v>118.5</v>
      </c>
      <c r="X9" s="38">
        <f t="shared" si="9"/>
        <v>136.0505166475316</v>
      </c>
      <c r="Y9" s="75">
        <f t="shared" si="10"/>
        <v>355.4</v>
      </c>
      <c r="Z9" s="75">
        <f t="shared" si="11"/>
        <v>422.2</v>
      </c>
      <c r="AA9" s="38">
        <f t="shared" si="12"/>
        <v>118.79572312886889</v>
      </c>
      <c r="AB9" s="73">
        <v>71.7</v>
      </c>
      <c r="AC9" s="73">
        <v>57.4</v>
      </c>
      <c r="AD9" s="40">
        <f t="shared" si="14"/>
        <v>80.0557880055788</v>
      </c>
      <c r="AE9" s="73">
        <v>84.2</v>
      </c>
      <c r="AF9" s="73">
        <v>29.7</v>
      </c>
      <c r="AG9" s="40">
        <f t="shared" si="15"/>
        <v>35.27315914489311</v>
      </c>
      <c r="AH9" s="73"/>
      <c r="AI9" s="73"/>
      <c r="AJ9" s="38" t="e">
        <f t="shared" si="16"/>
        <v>#DIV/0!</v>
      </c>
      <c r="AK9" s="75">
        <f aca="true" t="shared" si="23" ref="AK9:AL62">AB9+AE9+AH9</f>
        <v>155.9</v>
      </c>
      <c r="AL9" s="75">
        <f t="shared" si="23"/>
        <v>87.1</v>
      </c>
      <c r="AM9" s="38">
        <f t="shared" si="17"/>
        <v>55.86914688903143</v>
      </c>
      <c r="AN9" s="73"/>
      <c r="AO9" s="73"/>
      <c r="AP9" s="73"/>
      <c r="AQ9" s="73"/>
      <c r="AR9" s="73"/>
      <c r="AS9" s="73"/>
      <c r="AT9" s="76">
        <f t="shared" si="2"/>
        <v>739.4</v>
      </c>
      <c r="AU9" s="76">
        <f t="shared" si="2"/>
        <v>565.3</v>
      </c>
      <c r="AV9" s="38">
        <f t="shared" si="19"/>
        <v>76.45388152556126</v>
      </c>
      <c r="AW9" s="75">
        <f aca="true" t="shared" si="24" ref="AW9:AW73">AT9-AU9</f>
        <v>174.10000000000002</v>
      </c>
      <c r="AX9" s="77">
        <f t="shared" si="20"/>
        <v>159.20000000000005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21"/>
        <v>84.45945945945945</v>
      </c>
      <c r="S10" s="43">
        <f>115.6+1.9</f>
        <v>117.5</v>
      </c>
      <c r="T10" s="43">
        <f>126.7+1</f>
        <v>127.7</v>
      </c>
      <c r="U10" s="46">
        <f t="shared" si="22"/>
        <v>108.68085106382979</v>
      </c>
      <c r="V10" s="43">
        <v>108.3</v>
      </c>
      <c r="W10" s="43">
        <v>100.7</v>
      </c>
      <c r="X10" s="46">
        <f t="shared" si="9"/>
        <v>92.98245614035088</v>
      </c>
      <c r="Y10" s="44">
        <f t="shared" si="10"/>
        <v>359</v>
      </c>
      <c r="Z10" s="44">
        <f t="shared" si="11"/>
        <v>340.9</v>
      </c>
      <c r="AA10" s="40">
        <f t="shared" si="12"/>
        <v>94.95821727019498</v>
      </c>
      <c r="AB10" s="43">
        <f>100.7+1.2</f>
        <v>101.9</v>
      </c>
      <c r="AC10" s="43">
        <f>99.9+1.9</f>
        <v>101.80000000000001</v>
      </c>
      <c r="AD10" s="40">
        <f t="shared" si="14"/>
        <v>99.9018645731109</v>
      </c>
      <c r="AE10" s="43">
        <f>107.9+1.3</f>
        <v>109.2</v>
      </c>
      <c r="AF10" s="43">
        <v>29.2</v>
      </c>
      <c r="AG10" s="40">
        <f t="shared" si="15"/>
        <v>26.73992673992674</v>
      </c>
      <c r="AH10" s="43"/>
      <c r="AI10" s="43"/>
      <c r="AJ10" s="40" t="e">
        <f t="shared" si="16"/>
        <v>#DIV/0!</v>
      </c>
      <c r="AK10" s="44">
        <f t="shared" si="23"/>
        <v>211.10000000000002</v>
      </c>
      <c r="AL10" s="44">
        <f t="shared" si="23"/>
        <v>131</v>
      </c>
      <c r="AM10" s="40">
        <f t="shared" si="17"/>
        <v>62.05589767882519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865.8000000000001</v>
      </c>
      <c r="AU10" s="76">
        <f t="shared" si="25"/>
        <v>745.8</v>
      </c>
      <c r="AV10" s="40">
        <f>AU10/AT10*100</f>
        <v>86.13998613998612</v>
      </c>
      <c r="AW10" s="44">
        <f>AT10-AU10</f>
        <v>120.00000000000011</v>
      </c>
      <c r="AX10" s="45">
        <f t="shared" si="20"/>
        <v>113.90000000000009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21"/>
        <v>111.71875</v>
      </c>
      <c r="S11" s="43">
        <v>39.6</v>
      </c>
      <c r="T11" s="43">
        <v>40</v>
      </c>
      <c r="U11" s="40">
        <f t="shared" si="22"/>
        <v>101.01010101010101</v>
      </c>
      <c r="V11" s="43">
        <v>32</v>
      </c>
      <c r="W11" s="43">
        <v>50.4</v>
      </c>
      <c r="X11" s="40">
        <f t="shared" si="9"/>
        <v>157.5</v>
      </c>
      <c r="Y11" s="44">
        <f t="shared" si="10"/>
        <v>110</v>
      </c>
      <c r="Z11" s="44">
        <f t="shared" si="11"/>
        <v>133.3</v>
      </c>
      <c r="AA11" s="40">
        <f t="shared" si="12"/>
        <v>121.18181818181819</v>
      </c>
      <c r="AB11" s="43">
        <v>17.9</v>
      </c>
      <c r="AC11" s="43">
        <v>8</v>
      </c>
      <c r="AD11" s="40">
        <f t="shared" si="14"/>
        <v>44.692737430167604</v>
      </c>
      <c r="AE11" s="43">
        <v>36.4</v>
      </c>
      <c r="AF11" s="43">
        <v>43.7</v>
      </c>
      <c r="AG11" s="40">
        <f t="shared" si="15"/>
        <v>120.05494505494508</v>
      </c>
      <c r="AH11" s="43"/>
      <c r="AI11" s="43"/>
      <c r="AJ11" s="40" t="e">
        <f t="shared" si="16"/>
        <v>#DIV/0!</v>
      </c>
      <c r="AK11" s="44">
        <f t="shared" si="23"/>
        <v>54.3</v>
      </c>
      <c r="AL11" s="44">
        <f t="shared" si="23"/>
        <v>51.7</v>
      </c>
      <c r="AM11" s="40">
        <f t="shared" si="17"/>
        <v>95.21178637200738</v>
      </c>
      <c r="AN11" s="43"/>
      <c r="AO11" s="43"/>
      <c r="AP11" s="43"/>
      <c r="AQ11" s="43"/>
      <c r="AR11" s="43"/>
      <c r="AS11" s="43"/>
      <c r="AT11" s="76">
        <f t="shared" si="25"/>
        <v>254.60000000000002</v>
      </c>
      <c r="AU11" s="76">
        <f t="shared" si="25"/>
        <v>247.60000000000002</v>
      </c>
      <c r="AV11" s="40">
        <f t="shared" si="19"/>
        <v>97.25058915946583</v>
      </c>
      <c r="AW11" s="44">
        <f t="shared" si="24"/>
        <v>7</v>
      </c>
      <c r="AX11" s="45">
        <f t="shared" si="20"/>
        <v>9.199999999999989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21"/>
        <v>100</v>
      </c>
      <c r="S12" s="43">
        <v>7</v>
      </c>
      <c r="T12" s="43">
        <v>7</v>
      </c>
      <c r="U12" s="40">
        <f t="shared" si="22"/>
        <v>100</v>
      </c>
      <c r="V12" s="43">
        <v>6.1</v>
      </c>
      <c r="W12" s="43">
        <v>6.1</v>
      </c>
      <c r="X12" s="48">
        <f t="shared" si="9"/>
        <v>100</v>
      </c>
      <c r="Y12" s="44">
        <f t="shared" si="10"/>
        <v>20.299999999999997</v>
      </c>
      <c r="Z12" s="44">
        <f t="shared" si="11"/>
        <v>20.299999999999997</v>
      </c>
      <c r="AA12" s="40">
        <f t="shared" si="12"/>
        <v>100</v>
      </c>
      <c r="AB12" s="43">
        <v>8.8</v>
      </c>
      <c r="AC12" s="43">
        <v>8.8</v>
      </c>
      <c r="AD12" s="40">
        <f t="shared" si="14"/>
        <v>100</v>
      </c>
      <c r="AE12" s="43">
        <v>5.9</v>
      </c>
      <c r="AF12" s="43">
        <v>5.9</v>
      </c>
      <c r="AG12" s="40">
        <f t="shared" si="15"/>
        <v>100</v>
      </c>
      <c r="AH12" s="43"/>
      <c r="AI12" s="43"/>
      <c r="AJ12" s="40" t="e">
        <f t="shared" si="16"/>
        <v>#DIV/0!</v>
      </c>
      <c r="AK12" s="44">
        <f t="shared" si="23"/>
        <v>14.700000000000001</v>
      </c>
      <c r="AL12" s="44">
        <f t="shared" si="23"/>
        <v>14.700000000000001</v>
      </c>
      <c r="AM12" s="40">
        <f t="shared" si="17"/>
        <v>100</v>
      </c>
      <c r="AN12" s="43"/>
      <c r="AO12" s="43"/>
      <c r="AP12" s="43"/>
      <c r="AQ12" s="43"/>
      <c r="AR12" s="43"/>
      <c r="AS12" s="43"/>
      <c r="AT12" s="76">
        <f t="shared" si="25"/>
        <v>50.1</v>
      </c>
      <c r="AU12" s="76">
        <f t="shared" si="25"/>
        <v>50.1</v>
      </c>
      <c r="AV12" s="40">
        <f t="shared" si="19"/>
        <v>100</v>
      </c>
      <c r="AW12" s="44">
        <f t="shared" si="24"/>
        <v>0</v>
      </c>
      <c r="AX12" s="45">
        <f t="shared" si="20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21"/>
        <v>72.93447293447294</v>
      </c>
      <c r="S13" s="43">
        <v>70.6</v>
      </c>
      <c r="T13" s="43">
        <v>70.2</v>
      </c>
      <c r="U13" s="40">
        <f t="shared" si="22"/>
        <v>99.43342776203967</v>
      </c>
      <c r="V13" s="43">
        <v>87</v>
      </c>
      <c r="W13" s="43">
        <v>70.4</v>
      </c>
      <c r="X13" s="40">
        <f t="shared" si="9"/>
        <v>80.91954022988507</v>
      </c>
      <c r="Y13" s="44">
        <f t="shared" si="10"/>
        <v>227.8</v>
      </c>
      <c r="Z13" s="44">
        <f t="shared" si="11"/>
        <v>191.8</v>
      </c>
      <c r="AA13" s="40">
        <f t="shared" si="12"/>
        <v>84.19666374012291</v>
      </c>
      <c r="AB13" s="43">
        <v>73.3</v>
      </c>
      <c r="AC13" s="43">
        <v>87.1</v>
      </c>
      <c r="AD13" s="40">
        <f t="shared" si="14"/>
        <v>118.82673942701227</v>
      </c>
      <c r="AE13" s="43">
        <v>82.9</v>
      </c>
      <c r="AF13" s="43">
        <v>73.3</v>
      </c>
      <c r="AG13" s="40">
        <f t="shared" si="15"/>
        <v>88.41978287092883</v>
      </c>
      <c r="AH13" s="43"/>
      <c r="AI13" s="43"/>
      <c r="AJ13" s="40" t="e">
        <f t="shared" si="16"/>
        <v>#DIV/0!</v>
      </c>
      <c r="AK13" s="44">
        <f t="shared" si="23"/>
        <v>156.2</v>
      </c>
      <c r="AL13" s="44">
        <f t="shared" si="23"/>
        <v>160.39999999999998</v>
      </c>
      <c r="AM13" s="40">
        <f t="shared" si="17"/>
        <v>102.6888604353393</v>
      </c>
      <c r="AN13" s="43"/>
      <c r="AO13" s="43"/>
      <c r="AP13" s="43"/>
      <c r="AQ13" s="43"/>
      <c r="AR13" s="43"/>
      <c r="AS13" s="43"/>
      <c r="AT13" s="76">
        <f t="shared" si="25"/>
        <v>665.7</v>
      </c>
      <c r="AU13" s="76">
        <f t="shared" si="25"/>
        <v>541.1</v>
      </c>
      <c r="AV13" s="40">
        <f t="shared" si="19"/>
        <v>81.28286014721346</v>
      </c>
      <c r="AW13" s="44">
        <f t="shared" si="24"/>
        <v>124.60000000000002</v>
      </c>
      <c r="AX13" s="45">
        <f t="shared" si="20"/>
        <v>85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6" ref="P14:W14">SUM(P15:P22)</f>
        <v>699.4</v>
      </c>
      <c r="Q14" s="57">
        <f t="shared" si="26"/>
        <v>663.0999999999999</v>
      </c>
      <c r="R14" s="57" t="e">
        <f t="shared" si="26"/>
        <v>#DIV/0!</v>
      </c>
      <c r="S14" s="57">
        <f t="shared" si="26"/>
        <v>572.7</v>
      </c>
      <c r="T14" s="57">
        <f t="shared" si="26"/>
        <v>562.1</v>
      </c>
      <c r="U14" s="57" t="e">
        <f t="shared" si="26"/>
        <v>#DIV/0!</v>
      </c>
      <c r="V14" s="57">
        <f t="shared" si="26"/>
        <v>648.4</v>
      </c>
      <c r="W14" s="57">
        <f t="shared" si="26"/>
        <v>582</v>
      </c>
      <c r="X14" s="40">
        <f t="shared" si="9"/>
        <v>89.75940777297964</v>
      </c>
      <c r="Y14" s="40">
        <f t="shared" si="10"/>
        <v>1920.5</v>
      </c>
      <c r="Z14" s="40">
        <f t="shared" si="11"/>
        <v>1807.1999999999998</v>
      </c>
      <c r="AA14" s="40">
        <f t="shared" si="12"/>
        <v>94.1004946628482</v>
      </c>
      <c r="AB14" s="57">
        <f aca="true" t="shared" si="27" ref="AB14:AI14">SUM(AB15:AB22)</f>
        <v>631</v>
      </c>
      <c r="AC14" s="57">
        <f t="shared" si="27"/>
        <v>718.4</v>
      </c>
      <c r="AD14" s="40">
        <f t="shared" si="14"/>
        <v>113.85103011093503</v>
      </c>
      <c r="AE14" s="57">
        <f t="shared" si="27"/>
        <v>663.1</v>
      </c>
      <c r="AF14" s="57">
        <f t="shared" si="27"/>
        <v>650.4000000000001</v>
      </c>
      <c r="AG14" s="40">
        <f t="shared" si="15"/>
        <v>98.08475343085509</v>
      </c>
      <c r="AH14" s="57">
        <f t="shared" si="27"/>
        <v>0</v>
      </c>
      <c r="AI14" s="57">
        <f t="shared" si="27"/>
        <v>0</v>
      </c>
      <c r="AJ14" s="40" t="e">
        <f t="shared" si="16"/>
        <v>#DIV/0!</v>
      </c>
      <c r="AK14" s="40">
        <f t="shared" si="23"/>
        <v>1294.1</v>
      </c>
      <c r="AL14" s="40">
        <f t="shared" si="23"/>
        <v>1368.8000000000002</v>
      </c>
      <c r="AM14" s="40">
        <f t="shared" si="17"/>
        <v>105.77235144115605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5104.5</v>
      </c>
      <c r="AU14" s="39">
        <f t="shared" si="25"/>
        <v>4900.7</v>
      </c>
      <c r="AV14" s="40">
        <f t="shared" si="19"/>
        <v>96.00744441179351</v>
      </c>
      <c r="AW14" s="40">
        <f t="shared" si="24"/>
        <v>203.80000000000018</v>
      </c>
      <c r="AX14" s="61">
        <f t="shared" si="20"/>
        <v>135.19999999999982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21"/>
        <v>92.10144927536233</v>
      </c>
      <c r="S15" s="43">
        <v>345.7</v>
      </c>
      <c r="T15" s="43">
        <v>322.1</v>
      </c>
      <c r="U15" s="40">
        <f t="shared" si="22"/>
        <v>93.17327162279435</v>
      </c>
      <c r="V15" s="43">
        <v>361.7</v>
      </c>
      <c r="W15" s="43">
        <v>359.9</v>
      </c>
      <c r="X15" s="40">
        <f t="shared" si="9"/>
        <v>99.5023500138236</v>
      </c>
      <c r="Y15" s="44">
        <f t="shared" si="10"/>
        <v>1121.4</v>
      </c>
      <c r="Z15" s="44">
        <f t="shared" si="11"/>
        <v>1063.3000000000002</v>
      </c>
      <c r="AA15" s="40">
        <f t="shared" si="12"/>
        <v>94.81897627965044</v>
      </c>
      <c r="AB15" s="43">
        <v>355.2</v>
      </c>
      <c r="AC15" s="43">
        <v>391.5</v>
      </c>
      <c r="AD15" s="40">
        <f t="shared" si="14"/>
        <v>110.21959459459461</v>
      </c>
      <c r="AE15" s="43">
        <v>391.2</v>
      </c>
      <c r="AF15" s="43">
        <v>359.1</v>
      </c>
      <c r="AG15" s="40">
        <f t="shared" si="15"/>
        <v>91.79447852760737</v>
      </c>
      <c r="AH15" s="43"/>
      <c r="AI15" s="43"/>
      <c r="AJ15" s="40" t="e">
        <f t="shared" si="16"/>
        <v>#DIV/0!</v>
      </c>
      <c r="AK15" s="44">
        <f t="shared" si="23"/>
        <v>746.4</v>
      </c>
      <c r="AL15" s="44">
        <f t="shared" si="23"/>
        <v>750.6</v>
      </c>
      <c r="AM15" s="40">
        <f t="shared" si="17"/>
        <v>100.56270096463022</v>
      </c>
      <c r="AN15" s="43"/>
      <c r="AO15" s="43"/>
      <c r="AP15" s="43"/>
      <c r="AQ15" s="43"/>
      <c r="AR15" s="43"/>
      <c r="AS15" s="43"/>
      <c r="AT15" s="76">
        <f t="shared" si="25"/>
        <v>2981.7000000000003</v>
      </c>
      <c r="AU15" s="76">
        <f t="shared" si="25"/>
        <v>2908.2000000000003</v>
      </c>
      <c r="AV15" s="40">
        <f t="shared" si="19"/>
        <v>97.5349632759835</v>
      </c>
      <c r="AW15" s="44">
        <f t="shared" si="24"/>
        <v>73.5</v>
      </c>
      <c r="AX15" s="45">
        <f t="shared" si="20"/>
        <v>25.90000000000009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21"/>
        <v>107.33695652173914</v>
      </c>
      <c r="S16" s="43">
        <v>26.7</v>
      </c>
      <c r="T16" s="43">
        <v>31.3</v>
      </c>
      <c r="U16" s="40">
        <f t="shared" si="22"/>
        <v>117.22846441947566</v>
      </c>
      <c r="V16" s="43">
        <v>36.5</v>
      </c>
      <c r="W16" s="43">
        <v>30.7</v>
      </c>
      <c r="X16" s="40">
        <f t="shared" si="9"/>
        <v>84.10958904109589</v>
      </c>
      <c r="Y16" s="44">
        <f t="shared" si="10"/>
        <v>100</v>
      </c>
      <c r="Z16" s="44">
        <f t="shared" si="11"/>
        <v>101.5</v>
      </c>
      <c r="AA16" s="40">
        <f t="shared" si="12"/>
        <v>101.49999999999999</v>
      </c>
      <c r="AB16" s="43">
        <v>46.1</v>
      </c>
      <c r="AC16" s="43">
        <v>36.4</v>
      </c>
      <c r="AD16" s="40">
        <f t="shared" si="14"/>
        <v>78.95878524945769</v>
      </c>
      <c r="AE16" s="43">
        <v>37.1</v>
      </c>
      <c r="AF16" s="43">
        <v>45.6</v>
      </c>
      <c r="AG16" s="40">
        <f t="shared" si="15"/>
        <v>122.91105121293799</v>
      </c>
      <c r="AH16" s="43"/>
      <c r="AI16" s="43"/>
      <c r="AJ16" s="40" t="e">
        <f t="shared" si="16"/>
        <v>#DIV/0!</v>
      </c>
      <c r="AK16" s="44">
        <f t="shared" si="23"/>
        <v>83.2</v>
      </c>
      <c r="AL16" s="44">
        <f t="shared" si="23"/>
        <v>82</v>
      </c>
      <c r="AM16" s="40">
        <f t="shared" si="17"/>
        <v>98.5576923076923</v>
      </c>
      <c r="AN16" s="43"/>
      <c r="AO16" s="43"/>
      <c r="AP16" s="43"/>
      <c r="AQ16" s="43"/>
      <c r="AR16" s="43"/>
      <c r="AS16" s="43"/>
      <c r="AT16" s="76">
        <f t="shared" si="25"/>
        <v>276.2</v>
      </c>
      <c r="AU16" s="76">
        <f t="shared" si="25"/>
        <v>237.1</v>
      </c>
      <c r="AV16" s="40">
        <f t="shared" si="19"/>
        <v>85.84359160028964</v>
      </c>
      <c r="AW16" s="44">
        <f t="shared" si="24"/>
        <v>39.099999999999994</v>
      </c>
      <c r="AX16" s="45">
        <f t="shared" si="20"/>
        <v>32.49999999999997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21"/>
        <v>81.03277060575968</v>
      </c>
      <c r="S17" s="43">
        <v>47.2</v>
      </c>
      <c r="T17" s="43">
        <v>60.3</v>
      </c>
      <c r="U17" s="40">
        <f t="shared" si="22"/>
        <v>127.75423728813557</v>
      </c>
      <c r="V17" s="43">
        <v>80.2</v>
      </c>
      <c r="W17" s="43">
        <v>86.4</v>
      </c>
      <c r="X17" s="40">
        <f t="shared" si="9"/>
        <v>107.73067331670822</v>
      </c>
      <c r="Y17" s="44">
        <f t="shared" si="10"/>
        <v>228.10000000000002</v>
      </c>
      <c r="Z17" s="44">
        <f t="shared" si="11"/>
        <v>228.29999999999998</v>
      </c>
      <c r="AA17" s="40">
        <f t="shared" si="12"/>
        <v>100.08768084173607</v>
      </c>
      <c r="AB17" s="43">
        <v>97.3</v>
      </c>
      <c r="AC17" s="43">
        <v>86.9</v>
      </c>
      <c r="AD17" s="40">
        <f t="shared" si="14"/>
        <v>89.31140801644399</v>
      </c>
      <c r="AE17" s="43">
        <v>83.9</v>
      </c>
      <c r="AF17" s="43">
        <v>99.6</v>
      </c>
      <c r="AG17" s="40">
        <f t="shared" si="15"/>
        <v>118.71275327771154</v>
      </c>
      <c r="AH17" s="43"/>
      <c r="AI17" s="43"/>
      <c r="AJ17" s="40" t="e">
        <f t="shared" si="16"/>
        <v>#DIV/0!</v>
      </c>
      <c r="AK17" s="44">
        <f t="shared" si="23"/>
        <v>181.2</v>
      </c>
      <c r="AL17" s="44">
        <f t="shared" si="23"/>
        <v>186.5</v>
      </c>
      <c r="AM17" s="40">
        <f t="shared" si="17"/>
        <v>102.92494481236203</v>
      </c>
      <c r="AN17" s="43"/>
      <c r="AO17" s="43"/>
      <c r="AP17" s="43"/>
      <c r="AQ17" s="43"/>
      <c r="AR17" s="43"/>
      <c r="AS17" s="43"/>
      <c r="AT17" s="76">
        <f t="shared" si="25"/>
        <v>680.1</v>
      </c>
      <c r="AU17" s="76">
        <f t="shared" si="25"/>
        <v>591</v>
      </c>
      <c r="AV17" s="40">
        <f t="shared" si="19"/>
        <v>86.89898544331716</v>
      </c>
      <c r="AW17" s="44">
        <f t="shared" si="24"/>
        <v>89.10000000000002</v>
      </c>
      <c r="AX17" s="45">
        <f t="shared" si="20"/>
        <v>82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21"/>
        <v>108.65449628127111</v>
      </c>
      <c r="S19" s="43">
        <f>149.3+3.8</f>
        <v>153.10000000000002</v>
      </c>
      <c r="T19" s="43">
        <f>147.7+0.7</f>
        <v>148.39999999999998</v>
      </c>
      <c r="U19" s="40">
        <f t="shared" si="22"/>
        <v>96.93011103853686</v>
      </c>
      <c r="V19" s="43">
        <f>164.6+4.9</f>
        <v>169.5</v>
      </c>
      <c r="W19" s="43">
        <f>104.5</f>
        <v>104.5</v>
      </c>
      <c r="X19" s="48">
        <f t="shared" si="9"/>
        <v>61.6519174041298</v>
      </c>
      <c r="Y19" s="44">
        <f t="shared" si="10"/>
        <v>470.5</v>
      </c>
      <c r="Z19" s="44">
        <f t="shared" si="11"/>
        <v>413.59999999999997</v>
      </c>
      <c r="AA19" s="40">
        <f t="shared" si="12"/>
        <v>87.90648246546226</v>
      </c>
      <c r="AB19" s="43">
        <v>132.4</v>
      </c>
      <c r="AC19" s="43">
        <v>203.6</v>
      </c>
      <c r="AD19" s="40">
        <f t="shared" si="14"/>
        <v>153.7764350453172</v>
      </c>
      <c r="AE19" s="43">
        <v>150.9</v>
      </c>
      <c r="AF19" s="43">
        <v>146.1</v>
      </c>
      <c r="AG19" s="40">
        <f t="shared" si="15"/>
        <v>96.81908548707753</v>
      </c>
      <c r="AH19" s="43"/>
      <c r="AI19" s="43"/>
      <c r="AJ19" s="40" t="e">
        <f t="shared" si="16"/>
        <v>#DIV/0!</v>
      </c>
      <c r="AK19" s="44">
        <f t="shared" si="23"/>
        <v>283.3</v>
      </c>
      <c r="AL19" s="44">
        <f t="shared" si="23"/>
        <v>349.7</v>
      </c>
      <c r="AM19" s="40">
        <f t="shared" si="17"/>
        <v>123.43805153547476</v>
      </c>
      <c r="AN19" s="43"/>
      <c r="AO19" s="43"/>
      <c r="AP19" s="43"/>
      <c r="AQ19" s="43"/>
      <c r="AR19" s="43"/>
      <c r="AS19" s="43"/>
      <c r="AT19" s="76">
        <f t="shared" si="25"/>
        <v>1166</v>
      </c>
      <c r="AU19" s="76">
        <f t="shared" si="25"/>
        <v>1163.9</v>
      </c>
      <c r="AV19" s="40">
        <f t="shared" si="19"/>
        <v>99.81989708404804</v>
      </c>
      <c r="AW19" s="44">
        <f t="shared" si="24"/>
        <v>2.099999999999909</v>
      </c>
      <c r="AX19" s="45">
        <f t="shared" si="20"/>
        <v>-5.2000000000000455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0" t="e">
        <f t="shared" si="19"/>
        <v>#DIV/0!</v>
      </c>
      <c r="AW21" s="44">
        <f t="shared" si="24"/>
        <v>0</v>
      </c>
      <c r="AX21" s="45">
        <f t="shared" si="20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>
        <v>0.5</v>
      </c>
      <c r="W22" s="43">
        <v>0.5</v>
      </c>
      <c r="X22" s="54">
        <f t="shared" si="9"/>
        <v>100</v>
      </c>
      <c r="Y22" s="44">
        <f t="shared" si="10"/>
        <v>0.5</v>
      </c>
      <c r="Z22" s="44">
        <f t="shared" si="11"/>
        <v>0.5</v>
      </c>
      <c r="AA22" s="40">
        <f t="shared" si="12"/>
        <v>100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0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0.5</v>
      </c>
      <c r="AU22" s="76">
        <f t="shared" si="25"/>
        <v>0.5</v>
      </c>
      <c r="AV22" s="40">
        <f t="shared" si="19"/>
        <v>100</v>
      </c>
      <c r="AW22" s="44">
        <f t="shared" si="24"/>
        <v>0</v>
      </c>
      <c r="AX22" s="45">
        <f t="shared" si="20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9" ref="P23:W23">SUM(P24:P29)</f>
        <v>232.2</v>
      </c>
      <c r="Q23" s="57">
        <f t="shared" si="29"/>
        <v>223.50000000000003</v>
      </c>
      <c r="R23" s="57" t="e">
        <f t="shared" si="29"/>
        <v>#DIV/0!</v>
      </c>
      <c r="S23" s="57">
        <f t="shared" si="29"/>
        <v>197.4</v>
      </c>
      <c r="T23" s="57">
        <f t="shared" si="29"/>
        <v>260.8</v>
      </c>
      <c r="U23" s="57" t="e">
        <f t="shared" si="29"/>
        <v>#DIV/0!</v>
      </c>
      <c r="V23" s="57">
        <f t="shared" si="29"/>
        <v>210.6</v>
      </c>
      <c r="W23" s="57">
        <f t="shared" si="29"/>
        <v>211.20000000000002</v>
      </c>
      <c r="X23" s="54">
        <f t="shared" si="9"/>
        <v>100.28490028490029</v>
      </c>
      <c r="Y23" s="40">
        <f t="shared" si="10"/>
        <v>640.2</v>
      </c>
      <c r="Z23" s="40">
        <f t="shared" si="11"/>
        <v>695.5000000000001</v>
      </c>
      <c r="AA23" s="40">
        <f t="shared" si="12"/>
        <v>108.63792564823494</v>
      </c>
      <c r="AB23" s="57">
        <f aca="true" t="shared" si="30" ref="AB23:AI23">SUM(AB24:AB29)</f>
        <v>232.3</v>
      </c>
      <c r="AC23" s="57">
        <f t="shared" si="30"/>
        <v>127.89999999999999</v>
      </c>
      <c r="AD23" s="40">
        <f t="shared" si="14"/>
        <v>55.05811450710287</v>
      </c>
      <c r="AE23" s="57">
        <f t="shared" si="30"/>
        <v>186.7</v>
      </c>
      <c r="AF23" s="57">
        <f t="shared" si="30"/>
        <v>239.9</v>
      </c>
      <c r="AG23" s="40">
        <f t="shared" si="15"/>
        <v>128.4949116229245</v>
      </c>
      <c r="AH23" s="57">
        <f t="shared" si="30"/>
        <v>0</v>
      </c>
      <c r="AI23" s="57">
        <f t="shared" si="30"/>
        <v>0</v>
      </c>
      <c r="AJ23" s="40" t="e">
        <f t="shared" si="16"/>
        <v>#DIV/0!</v>
      </c>
      <c r="AK23" s="40">
        <f t="shared" si="23"/>
        <v>419</v>
      </c>
      <c r="AL23" s="40">
        <f t="shared" si="23"/>
        <v>367.8</v>
      </c>
      <c r="AM23" s="40">
        <f t="shared" si="17"/>
        <v>87.78042959427208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1646.3000000000002</v>
      </c>
      <c r="AU23" s="39">
        <f t="shared" si="25"/>
        <v>1580.5</v>
      </c>
      <c r="AV23" s="40">
        <f t="shared" si="19"/>
        <v>96.00315859806838</v>
      </c>
      <c r="AW23" s="40">
        <f t="shared" si="24"/>
        <v>65.80000000000018</v>
      </c>
      <c r="AX23" s="61">
        <f t="shared" si="20"/>
        <v>61.90000000000009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21"/>
        <v>100</v>
      </c>
      <c r="S24" s="43">
        <v>37.5</v>
      </c>
      <c r="T24" s="43">
        <v>38.2</v>
      </c>
      <c r="U24" s="40">
        <f t="shared" si="22"/>
        <v>101.86666666666669</v>
      </c>
      <c r="V24" s="43">
        <v>49.7</v>
      </c>
      <c r="W24" s="43">
        <v>49.7</v>
      </c>
      <c r="X24" s="54">
        <f t="shared" si="9"/>
        <v>100</v>
      </c>
      <c r="Y24" s="44">
        <f t="shared" si="10"/>
        <v>123.3</v>
      </c>
      <c r="Z24" s="44">
        <f t="shared" si="11"/>
        <v>124.00000000000001</v>
      </c>
      <c r="AA24" s="40">
        <f t="shared" si="12"/>
        <v>100.56772100567721</v>
      </c>
      <c r="AB24" s="43">
        <v>47.4</v>
      </c>
      <c r="AC24" s="43">
        <v>33.8</v>
      </c>
      <c r="AD24" s="40">
        <f t="shared" si="14"/>
        <v>71.30801687763713</v>
      </c>
      <c r="AE24" s="43">
        <v>27.3</v>
      </c>
      <c r="AF24" s="43">
        <v>40.9</v>
      </c>
      <c r="AG24" s="40">
        <f t="shared" si="15"/>
        <v>149.8168498168498</v>
      </c>
      <c r="AH24" s="43"/>
      <c r="AI24" s="43"/>
      <c r="AJ24" s="40" t="e">
        <f t="shared" si="16"/>
        <v>#DIV/0!</v>
      </c>
      <c r="AK24" s="44">
        <f t="shared" si="23"/>
        <v>74.7</v>
      </c>
      <c r="AL24" s="44">
        <f t="shared" si="23"/>
        <v>74.69999999999999</v>
      </c>
      <c r="AM24" s="40">
        <f t="shared" si="17"/>
        <v>99.99999999999997</v>
      </c>
      <c r="AN24" s="43"/>
      <c r="AO24" s="43"/>
      <c r="AP24" s="43"/>
      <c r="AQ24" s="43"/>
      <c r="AR24" s="43"/>
      <c r="AS24" s="43"/>
      <c r="AT24" s="76">
        <f t="shared" si="25"/>
        <v>322.4</v>
      </c>
      <c r="AU24" s="76">
        <f t="shared" si="25"/>
        <v>322.4</v>
      </c>
      <c r="AV24" s="40">
        <f t="shared" si="19"/>
        <v>100</v>
      </c>
      <c r="AW24" s="44">
        <f t="shared" si="24"/>
        <v>0</v>
      </c>
      <c r="AX24" s="45">
        <f t="shared" si="20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21"/>
        <v>114.08450704225352</v>
      </c>
      <c r="S25" s="43">
        <v>15.6</v>
      </c>
      <c r="T25" s="43">
        <v>13.7</v>
      </c>
      <c r="U25" s="40">
        <f t="shared" si="22"/>
        <v>87.82051282051282</v>
      </c>
      <c r="V25" s="43">
        <v>16.9</v>
      </c>
      <c r="W25" s="43">
        <v>13.9</v>
      </c>
      <c r="X25" s="40">
        <f>W25/V25*100</f>
        <v>82.24852071005918</v>
      </c>
      <c r="Y25" s="44">
        <f t="shared" si="10"/>
        <v>46.699999999999996</v>
      </c>
      <c r="Z25" s="44">
        <f t="shared" si="11"/>
        <v>43.8</v>
      </c>
      <c r="AA25" s="40">
        <f t="shared" si="12"/>
        <v>93.79014989293361</v>
      </c>
      <c r="AB25" s="43">
        <v>10.7</v>
      </c>
      <c r="AC25" s="43">
        <v>9.8</v>
      </c>
      <c r="AD25" s="40">
        <f t="shared" si="14"/>
        <v>91.58878504672899</v>
      </c>
      <c r="AE25" s="43">
        <v>12.1</v>
      </c>
      <c r="AF25" s="43">
        <v>10.7</v>
      </c>
      <c r="AG25" s="40">
        <f t="shared" si="15"/>
        <v>88.4297520661157</v>
      </c>
      <c r="AH25" s="43"/>
      <c r="AI25" s="43"/>
      <c r="AJ25" s="40" t="e">
        <f t="shared" si="16"/>
        <v>#DIV/0!</v>
      </c>
      <c r="AK25" s="44">
        <f t="shared" si="23"/>
        <v>22.799999999999997</v>
      </c>
      <c r="AL25" s="44">
        <f t="shared" si="23"/>
        <v>20.5</v>
      </c>
      <c r="AM25" s="40">
        <f t="shared" si="17"/>
        <v>89.9122807017544</v>
      </c>
      <c r="AN25" s="43"/>
      <c r="AO25" s="43"/>
      <c r="AP25" s="43"/>
      <c r="AQ25" s="43"/>
      <c r="AR25" s="43"/>
      <c r="AS25" s="43"/>
      <c r="AT25" s="76">
        <f t="shared" si="25"/>
        <v>102.3</v>
      </c>
      <c r="AU25" s="76">
        <f t="shared" si="25"/>
        <v>95.3</v>
      </c>
      <c r="AV25" s="40">
        <f t="shared" si="19"/>
        <v>93.15738025415445</v>
      </c>
      <c r="AW25" s="44">
        <f t="shared" si="24"/>
        <v>7</v>
      </c>
      <c r="AX25" s="45">
        <f t="shared" si="20"/>
        <v>2.4000000000000057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21"/>
        <v>94.79949874686719</v>
      </c>
      <c r="S26" s="43">
        <v>125.7</v>
      </c>
      <c r="T26" s="43">
        <v>185.8</v>
      </c>
      <c r="U26" s="40">
        <f t="shared" si="22"/>
        <v>147.81225139220368</v>
      </c>
      <c r="V26" s="43">
        <v>119.4</v>
      </c>
      <c r="W26" s="43">
        <v>119.3</v>
      </c>
      <c r="X26" s="40">
        <f>W26/V26*100</f>
        <v>99.91624790619765</v>
      </c>
      <c r="Y26" s="44">
        <f t="shared" si="10"/>
        <v>404.70000000000005</v>
      </c>
      <c r="Z26" s="44">
        <f t="shared" si="11"/>
        <v>456.40000000000003</v>
      </c>
      <c r="AA26" s="40">
        <f t="shared" si="12"/>
        <v>112.77489498393871</v>
      </c>
      <c r="AB26" s="43">
        <v>154.8</v>
      </c>
      <c r="AC26" s="43">
        <v>74</v>
      </c>
      <c r="AD26" s="40">
        <f t="shared" si="14"/>
        <v>47.803617571059426</v>
      </c>
      <c r="AE26" s="43">
        <v>129.7</v>
      </c>
      <c r="AF26" s="43">
        <v>170.9</v>
      </c>
      <c r="AG26" s="40">
        <f t="shared" si="15"/>
        <v>131.7656129529684</v>
      </c>
      <c r="AH26" s="43"/>
      <c r="AI26" s="43"/>
      <c r="AJ26" s="40" t="e">
        <f t="shared" si="16"/>
        <v>#DIV/0!</v>
      </c>
      <c r="AK26" s="44">
        <f t="shared" si="23"/>
        <v>284.5</v>
      </c>
      <c r="AL26" s="44">
        <f t="shared" si="23"/>
        <v>244.9</v>
      </c>
      <c r="AM26" s="40">
        <f t="shared" si="17"/>
        <v>86.08084358523726</v>
      </c>
      <c r="AN26" s="43"/>
      <c r="AO26" s="43"/>
      <c r="AP26" s="43"/>
      <c r="AQ26" s="43"/>
      <c r="AR26" s="43"/>
      <c r="AS26" s="43"/>
      <c r="AT26" s="76">
        <f t="shared" si="25"/>
        <v>1060.8000000000002</v>
      </c>
      <c r="AU26" s="76">
        <f t="shared" si="25"/>
        <v>1020.8000000000001</v>
      </c>
      <c r="AV26" s="40">
        <f t="shared" si="19"/>
        <v>96.22926093514327</v>
      </c>
      <c r="AW26" s="44">
        <f t="shared" si="24"/>
        <v>40.000000000000114</v>
      </c>
      <c r="AX26" s="45">
        <f t="shared" si="20"/>
        <v>40.000000000000114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21"/>
        <v>89.23766816143497</v>
      </c>
      <c r="S28" s="43">
        <v>18.6</v>
      </c>
      <c r="T28" s="55">
        <v>23.1</v>
      </c>
      <c r="U28" s="40">
        <f t="shared" si="22"/>
        <v>124.19354838709677</v>
      </c>
      <c r="V28" s="43">
        <v>24.6</v>
      </c>
      <c r="W28" s="55">
        <v>28.3</v>
      </c>
      <c r="X28" s="56">
        <f>W28/V28*100</f>
        <v>115.04065040650406</v>
      </c>
      <c r="Y28" s="44">
        <f t="shared" si="10"/>
        <v>65.5</v>
      </c>
      <c r="Z28" s="44">
        <f t="shared" si="11"/>
        <v>71.3</v>
      </c>
      <c r="AA28" s="40">
        <f t="shared" si="12"/>
        <v>108.85496183206106</v>
      </c>
      <c r="AB28" s="43">
        <v>19.4</v>
      </c>
      <c r="AC28" s="55">
        <v>10.3</v>
      </c>
      <c r="AD28" s="40">
        <f t="shared" si="14"/>
        <v>53.09278350515465</v>
      </c>
      <c r="AE28" s="43">
        <v>17.6</v>
      </c>
      <c r="AF28" s="55">
        <v>17.4</v>
      </c>
      <c r="AG28" s="40">
        <f t="shared" si="15"/>
        <v>98.86363636363635</v>
      </c>
      <c r="AH28" s="43"/>
      <c r="AI28" s="55"/>
      <c r="AJ28" s="40" t="e">
        <f t="shared" si="16"/>
        <v>#DIV/0!</v>
      </c>
      <c r="AK28" s="44">
        <f t="shared" si="23"/>
        <v>37</v>
      </c>
      <c r="AL28" s="44">
        <f t="shared" si="23"/>
        <v>27.7</v>
      </c>
      <c r="AM28" s="40">
        <f t="shared" si="17"/>
        <v>74.86486486486487</v>
      </c>
      <c r="AN28" s="43"/>
      <c r="AO28" s="55"/>
      <c r="AP28" s="43"/>
      <c r="AQ28" s="55"/>
      <c r="AR28" s="43"/>
      <c r="AS28" s="55"/>
      <c r="AT28" s="76">
        <f t="shared" si="25"/>
        <v>160.8</v>
      </c>
      <c r="AU28" s="76">
        <f t="shared" si="25"/>
        <v>142</v>
      </c>
      <c r="AV28" s="40">
        <f t="shared" si="19"/>
        <v>88.30845771144278</v>
      </c>
      <c r="AW28" s="44">
        <f t="shared" si="24"/>
        <v>18.80000000000001</v>
      </c>
      <c r="AX28" s="45">
        <f t="shared" si="20"/>
        <v>19.5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182.9</v>
      </c>
      <c r="E30" s="90">
        <f>SUM(E31:E38)</f>
        <v>67.60000000000001</v>
      </c>
      <c r="F30" s="74">
        <f t="shared" si="1"/>
        <v>36.96008747949699</v>
      </c>
      <c r="G30" s="90">
        <f>SUM(G31:G38)</f>
        <v>231.7</v>
      </c>
      <c r="H30" s="90">
        <f>SUM(H31:H38)</f>
        <v>304.9</v>
      </c>
      <c r="I30" s="74">
        <f t="shared" si="3"/>
        <v>131.59257660768236</v>
      </c>
      <c r="J30" s="90">
        <f>SUM(J31:J38)</f>
        <v>279.3</v>
      </c>
      <c r="K30" s="90">
        <f>SUM(K31:K38)</f>
        <v>245.6</v>
      </c>
      <c r="L30" s="38">
        <f>K30/J30*100</f>
        <v>87.93412101682779</v>
      </c>
      <c r="M30" s="38">
        <f t="shared" si="5"/>
        <v>693.9000000000001</v>
      </c>
      <c r="N30" s="38">
        <f t="shared" si="6"/>
        <v>618.1</v>
      </c>
      <c r="O30" s="38">
        <f t="shared" si="7"/>
        <v>89.07623576884276</v>
      </c>
      <c r="P30" s="90">
        <f aca="true" t="shared" si="33" ref="P30:W30">SUM(P31:P38)</f>
        <v>303.6</v>
      </c>
      <c r="Q30" s="90">
        <f t="shared" si="33"/>
        <v>338.8</v>
      </c>
      <c r="R30" s="90" t="e">
        <f t="shared" si="33"/>
        <v>#DIV/0!</v>
      </c>
      <c r="S30" s="90">
        <f t="shared" si="33"/>
        <v>260.29999999999995</v>
      </c>
      <c r="T30" s="90">
        <f t="shared" si="33"/>
        <v>240.69999999999996</v>
      </c>
      <c r="U30" s="90" t="e">
        <f t="shared" si="33"/>
        <v>#DIV/0!</v>
      </c>
      <c r="V30" s="90">
        <f t="shared" si="33"/>
        <v>285</v>
      </c>
      <c r="W30" s="90">
        <f t="shared" si="33"/>
        <v>261.1</v>
      </c>
      <c r="X30" s="38">
        <f t="shared" si="32"/>
        <v>91.6140350877193</v>
      </c>
      <c r="Y30" s="38">
        <f t="shared" si="10"/>
        <v>848.9</v>
      </c>
      <c r="Z30" s="38">
        <f t="shared" si="11"/>
        <v>840.6</v>
      </c>
      <c r="AA30" s="38">
        <f t="shared" si="12"/>
        <v>99.02226410649075</v>
      </c>
      <c r="AB30" s="90">
        <f aca="true" t="shared" si="34" ref="AB30:AI30">SUM(AB31:AB38)</f>
        <v>245.70000000000002</v>
      </c>
      <c r="AC30" s="90">
        <f t="shared" si="34"/>
        <v>266.9</v>
      </c>
      <c r="AD30" s="40">
        <f t="shared" si="14"/>
        <v>108.62840862840861</v>
      </c>
      <c r="AE30" s="90">
        <f t="shared" si="34"/>
        <v>222.6</v>
      </c>
      <c r="AF30" s="90">
        <f t="shared" si="34"/>
        <v>267.9</v>
      </c>
      <c r="AG30" s="40">
        <f t="shared" si="15"/>
        <v>120.35040431266846</v>
      </c>
      <c r="AH30" s="90">
        <f t="shared" si="34"/>
        <v>0</v>
      </c>
      <c r="AI30" s="90">
        <f t="shared" si="34"/>
        <v>0</v>
      </c>
      <c r="AJ30" s="38" t="e">
        <f t="shared" si="16"/>
        <v>#DIV/0!</v>
      </c>
      <c r="AK30" s="38">
        <f aca="true" t="shared" si="35" ref="AK30:AL49">AB30+AE30+AH30</f>
        <v>468.3</v>
      </c>
      <c r="AL30" s="38">
        <f t="shared" si="35"/>
        <v>534.8</v>
      </c>
      <c r="AM30" s="38">
        <f t="shared" si="17"/>
        <v>114.20029895366217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2011.1000000000001</v>
      </c>
      <c r="AU30" s="39">
        <f t="shared" si="25"/>
        <v>1993.5</v>
      </c>
      <c r="AV30" s="38">
        <f t="shared" si="19"/>
        <v>99.12485704340908</v>
      </c>
      <c r="AW30" s="38">
        <f>AT30-AU30</f>
        <v>17.600000000000136</v>
      </c>
      <c r="AX30" s="37">
        <f t="shared" si="20"/>
        <v>11.400000000000091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21"/>
        <v>112.5</v>
      </c>
      <c r="S31" s="43">
        <v>0.7</v>
      </c>
      <c r="T31" s="43">
        <v>0.5</v>
      </c>
      <c r="U31" s="46">
        <f t="shared" si="22"/>
        <v>71.42857142857143</v>
      </c>
      <c r="V31" s="43">
        <v>0.6</v>
      </c>
      <c r="W31" s="43">
        <v>0.8</v>
      </c>
      <c r="X31" s="46">
        <f t="shared" si="32"/>
        <v>133.33333333333334</v>
      </c>
      <c r="Y31" s="44">
        <f t="shared" si="10"/>
        <v>2.1</v>
      </c>
      <c r="Z31" s="44">
        <f t="shared" si="11"/>
        <v>2.2</v>
      </c>
      <c r="AA31" s="40">
        <f t="shared" si="12"/>
        <v>104.76190476190477</v>
      </c>
      <c r="AB31" s="43">
        <v>0.6</v>
      </c>
      <c r="AC31" s="43">
        <v>0.9</v>
      </c>
      <c r="AD31" s="40">
        <f t="shared" si="14"/>
        <v>150</v>
      </c>
      <c r="AE31" s="43">
        <v>0.7</v>
      </c>
      <c r="AF31" s="43">
        <v>0.4</v>
      </c>
      <c r="AG31" s="40">
        <f t="shared" si="15"/>
        <v>57.14285714285715</v>
      </c>
      <c r="AH31" s="43"/>
      <c r="AI31" s="43"/>
      <c r="AJ31" s="40" t="e">
        <f t="shared" si="16"/>
        <v>#DIV/0!</v>
      </c>
      <c r="AK31" s="44">
        <f t="shared" si="35"/>
        <v>1.2999999999999998</v>
      </c>
      <c r="AL31" s="44">
        <f t="shared" si="35"/>
        <v>1.3</v>
      </c>
      <c r="AM31" s="40">
        <f t="shared" si="17"/>
        <v>100.00000000000003</v>
      </c>
      <c r="AN31" s="43"/>
      <c r="AO31" s="43"/>
      <c r="AP31" s="43"/>
      <c r="AQ31" s="43"/>
      <c r="AR31" s="43"/>
      <c r="AS31" s="43"/>
      <c r="AT31" s="76">
        <f t="shared" si="25"/>
        <v>4.8</v>
      </c>
      <c r="AU31" s="76">
        <f t="shared" si="25"/>
        <v>3.8</v>
      </c>
      <c r="AV31" s="40">
        <f>AU31/AT31*100</f>
        <v>79.16666666666666</v>
      </c>
      <c r="AW31" s="44">
        <f>AT31-AU31</f>
        <v>1</v>
      </c>
      <c r="AX31" s="45">
        <f t="shared" si="20"/>
        <v>1.7000000000000002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7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21"/>
        <v>16.849816849816847</v>
      </c>
      <c r="S32" s="43">
        <v>8</v>
      </c>
      <c r="T32" s="43">
        <v>21.6</v>
      </c>
      <c r="U32" s="40">
        <f t="shared" si="22"/>
        <v>270</v>
      </c>
      <c r="V32" s="43">
        <v>9.7</v>
      </c>
      <c r="W32" s="43">
        <v>2.5</v>
      </c>
      <c r="X32" s="40">
        <f t="shared" si="32"/>
        <v>25.773195876288664</v>
      </c>
      <c r="Y32" s="44">
        <f t="shared" si="10"/>
        <v>45</v>
      </c>
      <c r="Z32" s="44">
        <f t="shared" si="11"/>
        <v>28.700000000000003</v>
      </c>
      <c r="AA32" s="40">
        <f t="shared" si="12"/>
        <v>63.777777777777786</v>
      </c>
      <c r="AB32" s="43">
        <v>4.3</v>
      </c>
      <c r="AC32" s="43">
        <v>1</v>
      </c>
      <c r="AD32" s="40">
        <f t="shared" si="14"/>
        <v>23.25581395348837</v>
      </c>
      <c r="AE32" s="43">
        <v>7.2</v>
      </c>
      <c r="AF32" s="43">
        <v>22.1</v>
      </c>
      <c r="AG32" s="40">
        <f t="shared" si="15"/>
        <v>306.94444444444446</v>
      </c>
      <c r="AH32" s="43"/>
      <c r="AI32" s="43"/>
      <c r="AJ32" s="40" t="e">
        <f t="shared" si="16"/>
        <v>#DIV/0!</v>
      </c>
      <c r="AK32" s="44">
        <f t="shared" si="35"/>
        <v>11.5</v>
      </c>
      <c r="AL32" s="44">
        <f t="shared" si="35"/>
        <v>23.1</v>
      </c>
      <c r="AM32" s="40">
        <f t="shared" si="17"/>
        <v>200.8695652173913</v>
      </c>
      <c r="AN32" s="43"/>
      <c r="AO32" s="43"/>
      <c r="AP32" s="43"/>
      <c r="AQ32" s="43"/>
      <c r="AR32" s="43"/>
      <c r="AS32" s="43"/>
      <c r="AT32" s="76">
        <f t="shared" si="25"/>
        <v>76.8</v>
      </c>
      <c r="AU32" s="76">
        <f t="shared" si="25"/>
        <v>61.400000000000006</v>
      </c>
      <c r="AV32" s="40">
        <f aca="true" t="shared" si="38" ref="AV32:AV49">AU32/AT32*100</f>
        <v>79.94791666666667</v>
      </c>
      <c r="AW32" s="44">
        <f aca="true" t="shared" si="39" ref="AW32:AW49">AT32-AU32</f>
        <v>15.399999999999991</v>
      </c>
      <c r="AX32" s="45">
        <f t="shared" si="20"/>
        <v>15.399999999999991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7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21"/>
        <v>75</v>
      </c>
      <c r="S33" s="43">
        <v>8.3</v>
      </c>
      <c r="T33" s="43">
        <v>11.2</v>
      </c>
      <c r="U33" s="40">
        <f t="shared" si="22"/>
        <v>134.93975903614458</v>
      </c>
      <c r="V33" s="43">
        <v>12</v>
      </c>
      <c r="W33" s="43">
        <v>6.9</v>
      </c>
      <c r="X33" s="48">
        <f t="shared" si="32"/>
        <v>57.50000000000001</v>
      </c>
      <c r="Y33" s="44">
        <f t="shared" si="10"/>
        <v>32.3</v>
      </c>
      <c r="Z33" s="44">
        <f t="shared" si="11"/>
        <v>27.1</v>
      </c>
      <c r="AA33" s="40">
        <f t="shared" si="12"/>
        <v>83.90092879256967</v>
      </c>
      <c r="AB33" s="43">
        <v>8</v>
      </c>
      <c r="AC33" s="43">
        <v>12.3</v>
      </c>
      <c r="AD33" s="40">
        <f t="shared" si="14"/>
        <v>153.75</v>
      </c>
      <c r="AE33" s="43">
        <v>9.8</v>
      </c>
      <c r="AF33" s="43">
        <v>10.6</v>
      </c>
      <c r="AG33" s="40">
        <f t="shared" si="15"/>
        <v>108.16326530612244</v>
      </c>
      <c r="AH33" s="43"/>
      <c r="AI33" s="43"/>
      <c r="AJ33" s="40" t="e">
        <f t="shared" si="16"/>
        <v>#DIV/0!</v>
      </c>
      <c r="AK33" s="44">
        <f t="shared" si="35"/>
        <v>17.8</v>
      </c>
      <c r="AL33" s="44">
        <f t="shared" si="35"/>
        <v>22.9</v>
      </c>
      <c r="AM33" s="40">
        <f t="shared" si="17"/>
        <v>128.65168539325842</v>
      </c>
      <c r="AN33" s="43"/>
      <c r="AO33" s="43"/>
      <c r="AP33" s="43"/>
      <c r="AQ33" s="43"/>
      <c r="AR33" s="43"/>
      <c r="AS33" s="43"/>
      <c r="AT33" s="76">
        <f t="shared" si="25"/>
        <v>85.2</v>
      </c>
      <c r="AU33" s="76">
        <f t="shared" si="25"/>
        <v>84.1</v>
      </c>
      <c r="AV33" s="40">
        <f t="shared" si="38"/>
        <v>98.70892018779341</v>
      </c>
      <c r="AW33" s="44">
        <f t="shared" si="39"/>
        <v>1.1000000000000085</v>
      </c>
      <c r="AX33" s="45">
        <f t="shared" si="20"/>
        <v>-6.999999999999986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8"/>
        <v>#DIV/0!</v>
      </c>
      <c r="AW34" s="44">
        <f t="shared" si="39"/>
        <v>0</v>
      </c>
      <c r="AX34" s="45">
        <f t="shared" si="20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7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21"/>
        <v>126.9094138543517</v>
      </c>
      <c r="S35" s="43">
        <f>199.6+2.4</f>
        <v>202</v>
      </c>
      <c r="T35" s="43">
        <f>162.2+2.4</f>
        <v>164.6</v>
      </c>
      <c r="U35" s="40">
        <f t="shared" si="22"/>
        <v>81.48514851485147</v>
      </c>
      <c r="V35" s="43">
        <f>229.4+1.4</f>
        <v>230.8</v>
      </c>
      <c r="W35" s="43">
        <f>217.6+1.4</f>
        <v>219</v>
      </c>
      <c r="X35" s="40">
        <f t="shared" si="32"/>
        <v>94.88734835355285</v>
      </c>
      <c r="Y35" s="44">
        <f t="shared" si="10"/>
        <v>658</v>
      </c>
      <c r="Z35" s="44">
        <f t="shared" si="11"/>
        <v>669.4</v>
      </c>
      <c r="AA35" s="40">
        <f t="shared" si="12"/>
        <v>101.73252279635258</v>
      </c>
      <c r="AB35" s="43">
        <v>198.4</v>
      </c>
      <c r="AC35" s="43">
        <v>218.3</v>
      </c>
      <c r="AD35" s="40">
        <f t="shared" si="14"/>
        <v>110.03024193548387</v>
      </c>
      <c r="AE35" s="43">
        <v>168.5</v>
      </c>
      <c r="AF35" s="43">
        <v>198.4</v>
      </c>
      <c r="AG35" s="40">
        <f t="shared" si="15"/>
        <v>117.74480712166174</v>
      </c>
      <c r="AH35" s="43"/>
      <c r="AI35" s="43"/>
      <c r="AJ35" s="40" t="e">
        <f t="shared" si="16"/>
        <v>#DIV/0!</v>
      </c>
      <c r="AK35" s="44">
        <f t="shared" si="35"/>
        <v>366.9</v>
      </c>
      <c r="AL35" s="44">
        <f t="shared" si="35"/>
        <v>416.70000000000005</v>
      </c>
      <c r="AM35" s="40">
        <f t="shared" si="17"/>
        <v>113.5731807031889</v>
      </c>
      <c r="AN35" s="43"/>
      <c r="AO35" s="43"/>
      <c r="AP35" s="43"/>
      <c r="AQ35" s="43"/>
      <c r="AR35" s="43"/>
      <c r="AS35" s="43"/>
      <c r="AT35" s="76">
        <f t="shared" si="25"/>
        <v>1543.1999999999998</v>
      </c>
      <c r="AU35" s="76">
        <f t="shared" si="25"/>
        <v>1543.2</v>
      </c>
      <c r="AV35" s="40">
        <f t="shared" si="38"/>
        <v>100.00000000000003</v>
      </c>
      <c r="AW35" s="44">
        <f t="shared" si="39"/>
        <v>0</v>
      </c>
      <c r="AX35" s="45">
        <f t="shared" si="20"/>
        <v>1.0999999999996817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7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21"/>
        <v>100</v>
      </c>
      <c r="S36" s="43">
        <v>2.7</v>
      </c>
      <c r="T36" s="43">
        <v>2.7</v>
      </c>
      <c r="U36" s="40">
        <f t="shared" si="22"/>
        <v>100</v>
      </c>
      <c r="V36" s="43">
        <v>1.9</v>
      </c>
      <c r="W36" s="43">
        <v>1.9</v>
      </c>
      <c r="X36" s="40">
        <f t="shared" si="32"/>
        <v>100</v>
      </c>
      <c r="Y36" s="44">
        <f t="shared" si="10"/>
        <v>6.800000000000001</v>
      </c>
      <c r="Z36" s="44">
        <f t="shared" si="11"/>
        <v>6.800000000000001</v>
      </c>
      <c r="AA36" s="40">
        <f t="shared" si="12"/>
        <v>100</v>
      </c>
      <c r="AB36" s="43">
        <v>1.9</v>
      </c>
      <c r="AC36" s="43">
        <v>1.9</v>
      </c>
      <c r="AD36" s="40">
        <f t="shared" si="14"/>
        <v>100</v>
      </c>
      <c r="AE36" s="43">
        <v>1.9</v>
      </c>
      <c r="AF36" s="43">
        <v>1.9</v>
      </c>
      <c r="AG36" s="40">
        <f t="shared" si="15"/>
        <v>100</v>
      </c>
      <c r="AH36" s="43"/>
      <c r="AI36" s="43"/>
      <c r="AJ36" s="40" t="e">
        <f t="shared" si="16"/>
        <v>#DIV/0!</v>
      </c>
      <c r="AK36" s="44">
        <f t="shared" si="35"/>
        <v>3.8</v>
      </c>
      <c r="AL36" s="44">
        <f t="shared" si="35"/>
        <v>3.8</v>
      </c>
      <c r="AM36" s="40">
        <f t="shared" si="17"/>
        <v>100</v>
      </c>
      <c r="AN36" s="43"/>
      <c r="AO36" s="43"/>
      <c r="AP36" s="43"/>
      <c r="AQ36" s="43"/>
      <c r="AR36" s="43"/>
      <c r="AS36" s="43"/>
      <c r="AT36" s="76">
        <f t="shared" si="25"/>
        <v>14.600000000000001</v>
      </c>
      <c r="AU36" s="76">
        <f t="shared" si="25"/>
        <v>14.600000000000001</v>
      </c>
      <c r="AV36" s="40">
        <f t="shared" si="38"/>
        <v>100</v>
      </c>
      <c r="AW36" s="44">
        <f t="shared" si="39"/>
        <v>0</v>
      </c>
      <c r="AX36" s="45">
        <f t="shared" si="20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0</v>
      </c>
      <c r="D37" s="43">
        <v>1.4</v>
      </c>
      <c r="E37" s="43">
        <v>1.4</v>
      </c>
      <c r="F37" s="41">
        <f t="shared" si="1"/>
        <v>100</v>
      </c>
      <c r="G37" s="43">
        <v>1.4</v>
      </c>
      <c r="H37" s="43">
        <v>1.4</v>
      </c>
      <c r="I37" s="41">
        <f t="shared" si="3"/>
        <v>100</v>
      </c>
      <c r="J37" s="43">
        <v>1.4</v>
      </c>
      <c r="K37" s="43">
        <v>1.4</v>
      </c>
      <c r="L37" s="40">
        <f t="shared" si="37"/>
        <v>100</v>
      </c>
      <c r="M37" s="44">
        <f t="shared" si="5"/>
        <v>4.199999999999999</v>
      </c>
      <c r="N37" s="44">
        <f t="shared" si="6"/>
        <v>4.199999999999999</v>
      </c>
      <c r="O37" s="40">
        <f t="shared" si="7"/>
        <v>100</v>
      </c>
      <c r="P37" s="43">
        <v>1.5</v>
      </c>
      <c r="Q37" s="43">
        <v>1.5</v>
      </c>
      <c r="R37" s="40">
        <f t="shared" si="21"/>
        <v>100</v>
      </c>
      <c r="S37" s="43">
        <v>1.6</v>
      </c>
      <c r="T37" s="43">
        <v>1.6</v>
      </c>
      <c r="U37" s="40">
        <f t="shared" si="22"/>
        <v>100</v>
      </c>
      <c r="V37" s="43"/>
      <c r="W37" s="43"/>
      <c r="X37" s="40" t="e">
        <f t="shared" si="32"/>
        <v>#DIV/0!</v>
      </c>
      <c r="Y37" s="44">
        <f t="shared" si="10"/>
        <v>3.1</v>
      </c>
      <c r="Z37" s="44">
        <f t="shared" si="11"/>
        <v>3.1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7.299999999999999</v>
      </c>
      <c r="AU37" s="76">
        <f t="shared" si="25"/>
        <v>7.299999999999999</v>
      </c>
      <c r="AV37" s="40">
        <f t="shared" si="38"/>
        <v>100</v>
      </c>
      <c r="AW37" s="44">
        <f t="shared" si="39"/>
        <v>0</v>
      </c>
      <c r="AX37" s="45">
        <f t="shared" si="20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7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21"/>
        <v>100.57803468208091</v>
      </c>
      <c r="S38" s="43">
        <v>37</v>
      </c>
      <c r="T38" s="43">
        <v>38.5</v>
      </c>
      <c r="U38" s="40">
        <f t="shared" si="22"/>
        <v>104.05405405405406</v>
      </c>
      <c r="V38" s="43">
        <v>30</v>
      </c>
      <c r="W38" s="43">
        <v>30</v>
      </c>
      <c r="X38" s="40">
        <f t="shared" si="32"/>
        <v>100</v>
      </c>
      <c r="Y38" s="44">
        <f t="shared" si="10"/>
        <v>101.6</v>
      </c>
      <c r="Z38" s="44">
        <f t="shared" si="11"/>
        <v>103.3</v>
      </c>
      <c r="AA38" s="40">
        <f t="shared" si="12"/>
        <v>101.6732283464567</v>
      </c>
      <c r="AB38" s="43">
        <v>32.5</v>
      </c>
      <c r="AC38" s="43">
        <v>32.5</v>
      </c>
      <c r="AD38" s="40">
        <f t="shared" si="14"/>
        <v>100</v>
      </c>
      <c r="AE38" s="43">
        <v>34.5</v>
      </c>
      <c r="AF38" s="43">
        <v>34.5</v>
      </c>
      <c r="AG38" s="40">
        <f t="shared" si="15"/>
        <v>100</v>
      </c>
      <c r="AH38" s="43"/>
      <c r="AI38" s="43"/>
      <c r="AJ38" s="40" t="e">
        <f t="shared" si="16"/>
        <v>#DIV/0!</v>
      </c>
      <c r="AK38" s="44">
        <f t="shared" si="35"/>
        <v>67</v>
      </c>
      <c r="AL38" s="44">
        <f t="shared" si="35"/>
        <v>67</v>
      </c>
      <c r="AM38" s="40">
        <f t="shared" si="17"/>
        <v>100</v>
      </c>
      <c r="AN38" s="43"/>
      <c r="AO38" s="43"/>
      <c r="AP38" s="43"/>
      <c r="AQ38" s="43"/>
      <c r="AR38" s="43"/>
      <c r="AS38" s="43"/>
      <c r="AT38" s="76">
        <f t="shared" si="25"/>
        <v>279.2</v>
      </c>
      <c r="AU38" s="76">
        <f t="shared" si="25"/>
        <v>279.1</v>
      </c>
      <c r="AV38" s="40">
        <f t="shared" si="38"/>
        <v>99.96418338108883</v>
      </c>
      <c r="AW38" s="44">
        <f t="shared" si="39"/>
        <v>0.0999999999999659</v>
      </c>
      <c r="AX38" s="45">
        <f t="shared" si="20"/>
        <v>0.19999999999998863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7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40" ref="P39:W39">SUM(P40:P44)</f>
        <v>509.59999999999997</v>
      </c>
      <c r="Q39" s="57">
        <f t="shared" si="40"/>
        <v>511.1</v>
      </c>
      <c r="R39" s="57" t="e">
        <f t="shared" si="40"/>
        <v>#DIV/0!</v>
      </c>
      <c r="S39" s="57">
        <f t="shared" si="40"/>
        <v>531.8000000000001</v>
      </c>
      <c r="T39" s="57">
        <f t="shared" si="40"/>
        <v>644.3</v>
      </c>
      <c r="U39" s="57" t="e">
        <f t="shared" si="40"/>
        <v>#DIV/0!</v>
      </c>
      <c r="V39" s="57">
        <f t="shared" si="40"/>
        <v>590.6</v>
      </c>
      <c r="W39" s="57">
        <f t="shared" si="40"/>
        <v>567.8</v>
      </c>
      <c r="X39" s="40">
        <f t="shared" si="32"/>
        <v>96.13951913308499</v>
      </c>
      <c r="Y39" s="40">
        <f t="shared" si="10"/>
        <v>1632</v>
      </c>
      <c r="Z39" s="40">
        <f t="shared" si="11"/>
        <v>1723.2</v>
      </c>
      <c r="AA39" s="40">
        <f t="shared" si="12"/>
        <v>105.58823529411765</v>
      </c>
      <c r="AB39" s="57">
        <f aca="true" t="shared" si="41" ref="AB39:AI39">SUM(AB40:AB44)</f>
        <v>485.40000000000003</v>
      </c>
      <c r="AC39" s="57">
        <f t="shared" si="41"/>
        <v>508.2</v>
      </c>
      <c r="AD39" s="40">
        <f t="shared" si="14"/>
        <v>104.69715698393077</v>
      </c>
      <c r="AE39" s="57">
        <f t="shared" si="41"/>
        <v>412.6</v>
      </c>
      <c r="AF39" s="57">
        <f t="shared" si="41"/>
        <v>487.2</v>
      </c>
      <c r="AG39" s="40">
        <f t="shared" si="15"/>
        <v>118.08046534173533</v>
      </c>
      <c r="AH39" s="57">
        <f t="shared" si="41"/>
        <v>0</v>
      </c>
      <c r="AI39" s="57">
        <f t="shared" si="41"/>
        <v>0</v>
      </c>
      <c r="AJ39" s="40" t="e">
        <f t="shared" si="16"/>
        <v>#DIV/0!</v>
      </c>
      <c r="AK39" s="40">
        <f t="shared" si="35"/>
        <v>898</v>
      </c>
      <c r="AL39" s="40">
        <f t="shared" si="35"/>
        <v>995.4</v>
      </c>
      <c r="AM39" s="40">
        <f t="shared" si="17"/>
        <v>110.84632516703785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4162</v>
      </c>
      <c r="AU39" s="39">
        <f t="shared" si="25"/>
        <v>4008.3</v>
      </c>
      <c r="AV39" s="40">
        <f t="shared" si="38"/>
        <v>96.30706391158097</v>
      </c>
      <c r="AW39" s="40">
        <f t="shared" si="39"/>
        <v>153.69999999999982</v>
      </c>
      <c r="AX39" s="61">
        <f t="shared" si="20"/>
        <v>153.39999999999964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7"/>
        <v>104.0816326530612</v>
      </c>
      <c r="M41" s="75">
        <f t="shared" si="43"/>
        <v>16.5</v>
      </c>
      <c r="N41" s="75">
        <f t="shared" si="44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21"/>
        <v>102.08333333333334</v>
      </c>
      <c r="S41" s="73">
        <v>6.3</v>
      </c>
      <c r="T41" s="73">
        <v>5.3</v>
      </c>
      <c r="U41" s="38">
        <f t="shared" si="22"/>
        <v>84.12698412698413</v>
      </c>
      <c r="V41" s="73">
        <v>6.4</v>
      </c>
      <c r="W41" s="73">
        <v>5.8</v>
      </c>
      <c r="X41" s="38">
        <f t="shared" si="32"/>
        <v>90.62499999999999</v>
      </c>
      <c r="Y41" s="75">
        <f t="shared" si="45"/>
        <v>17.5</v>
      </c>
      <c r="Z41" s="75">
        <f t="shared" si="46"/>
        <v>16</v>
      </c>
      <c r="AA41" s="38">
        <f t="shared" si="12"/>
        <v>91.42857142857143</v>
      </c>
      <c r="AB41" s="73">
        <v>4.8</v>
      </c>
      <c r="AC41" s="73">
        <v>5.2</v>
      </c>
      <c r="AD41" s="40">
        <f t="shared" si="14"/>
        <v>108.33333333333334</v>
      </c>
      <c r="AE41" s="73">
        <v>4.6</v>
      </c>
      <c r="AF41" s="73">
        <v>4.8</v>
      </c>
      <c r="AG41" s="40">
        <f t="shared" si="15"/>
        <v>104.34782608695652</v>
      </c>
      <c r="AH41" s="73"/>
      <c r="AI41" s="73"/>
      <c r="AJ41" s="38" t="e">
        <f t="shared" si="16"/>
        <v>#DIV/0!</v>
      </c>
      <c r="AK41" s="75">
        <f t="shared" si="35"/>
        <v>9.399999999999999</v>
      </c>
      <c r="AL41" s="75">
        <f t="shared" si="35"/>
        <v>10</v>
      </c>
      <c r="AM41" s="38">
        <f t="shared" si="17"/>
        <v>106.38297872340428</v>
      </c>
      <c r="AN41" s="73"/>
      <c r="AO41" s="73"/>
      <c r="AP41" s="73"/>
      <c r="AQ41" s="73"/>
      <c r="AR41" s="73"/>
      <c r="AS41" s="73"/>
      <c r="AT41" s="76">
        <f t="shared" si="25"/>
        <v>43.4</v>
      </c>
      <c r="AU41" s="76">
        <f t="shared" si="25"/>
        <v>37.7</v>
      </c>
      <c r="AV41" s="38">
        <f t="shared" si="38"/>
        <v>86.86635944700461</v>
      </c>
      <c r="AW41" s="75">
        <f t="shared" si="39"/>
        <v>5.699999999999996</v>
      </c>
      <c r="AX41" s="77">
        <f t="shared" si="47"/>
        <v>5.699999999999996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7"/>
        <v>215.8700980392157</v>
      </c>
      <c r="M42" s="44">
        <f t="shared" si="43"/>
        <v>1244</v>
      </c>
      <c r="N42" s="44">
        <f t="shared" si="44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21"/>
        <v>90.21264994547438</v>
      </c>
      <c r="S42" s="43">
        <f>364+3.6+12.3</f>
        <v>379.90000000000003</v>
      </c>
      <c r="T42" s="43">
        <f>494.6+2+13.2</f>
        <v>509.8</v>
      </c>
      <c r="U42" s="40">
        <f t="shared" si="22"/>
        <v>134.19320873914188</v>
      </c>
      <c r="V42" s="43">
        <f>13.6+433.2</f>
        <v>446.8</v>
      </c>
      <c r="W42" s="43">
        <f>13.8+443.7</f>
        <v>457.5</v>
      </c>
      <c r="X42" s="40">
        <f t="shared" si="32"/>
        <v>102.39480752014323</v>
      </c>
      <c r="Y42" s="44">
        <f t="shared" si="45"/>
        <v>1193.5</v>
      </c>
      <c r="Z42" s="44">
        <f t="shared" si="46"/>
        <v>1298.2</v>
      </c>
      <c r="AA42" s="40">
        <f t="shared" si="12"/>
        <v>108.77251780477589</v>
      </c>
      <c r="AB42" s="43">
        <f>355.8+7.1</f>
        <v>362.90000000000003</v>
      </c>
      <c r="AC42" s="43">
        <f>357+11</f>
        <v>368</v>
      </c>
      <c r="AD42" s="40">
        <f t="shared" si="14"/>
        <v>101.40534582529621</v>
      </c>
      <c r="AE42" s="43">
        <f>280.4+2.3+6.8</f>
        <v>289.5</v>
      </c>
      <c r="AF42" s="43">
        <f>300.9+2.3+8.4</f>
        <v>311.59999999999997</v>
      </c>
      <c r="AG42" s="40">
        <f t="shared" si="15"/>
        <v>107.63385146804836</v>
      </c>
      <c r="AH42" s="43"/>
      <c r="AI42" s="43"/>
      <c r="AJ42" s="40" t="e">
        <f t="shared" si="16"/>
        <v>#DIV/0!</v>
      </c>
      <c r="AK42" s="44">
        <f t="shared" si="35"/>
        <v>652.4000000000001</v>
      </c>
      <c r="AL42" s="44">
        <f t="shared" si="35"/>
        <v>679.5999999999999</v>
      </c>
      <c r="AM42" s="40">
        <f t="shared" si="17"/>
        <v>104.16922133660329</v>
      </c>
      <c r="AN42" s="43"/>
      <c r="AO42" s="43"/>
      <c r="AP42" s="43"/>
      <c r="AQ42" s="43"/>
      <c r="AR42" s="43"/>
      <c r="AS42" s="43"/>
      <c r="AT42" s="76">
        <f t="shared" si="25"/>
        <v>3089.9</v>
      </c>
      <c r="AU42" s="76">
        <f t="shared" si="25"/>
        <v>3060.4</v>
      </c>
      <c r="AV42" s="40">
        <f t="shared" si="38"/>
        <v>99.04527654616653</v>
      </c>
      <c r="AW42" s="44">
        <f t="shared" si="39"/>
        <v>29.5</v>
      </c>
      <c r="AX42" s="45">
        <f t="shared" si="47"/>
        <v>29.199999999999818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5"/>
        <v>0</v>
      </c>
      <c r="AL43" s="44">
        <f t="shared" si="35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0" t="e">
        <f t="shared" si="38"/>
        <v>#DIV/0!</v>
      </c>
      <c r="AW43" s="44">
        <f t="shared" si="39"/>
        <v>0</v>
      </c>
      <c r="AX43" s="45">
        <f t="shared" si="47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7"/>
        <v>90.93167701863354</v>
      </c>
      <c r="M44" s="44">
        <f t="shared" si="43"/>
        <v>371.5</v>
      </c>
      <c r="N44" s="44">
        <f t="shared" si="44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21"/>
        <v>127.02898550724639</v>
      </c>
      <c r="S44" s="43">
        <f>130.2+14.6+0.8</f>
        <v>145.6</v>
      </c>
      <c r="T44" s="43">
        <f>129.2</f>
        <v>129.2</v>
      </c>
      <c r="U44" s="40">
        <f t="shared" si="22"/>
        <v>88.73626373626374</v>
      </c>
      <c r="V44" s="43">
        <f>122+14.3+1.1</f>
        <v>137.4</v>
      </c>
      <c r="W44" s="43">
        <f>89.1+14.6+0.8</f>
        <v>104.49999999999999</v>
      </c>
      <c r="X44" s="54">
        <f t="shared" si="32"/>
        <v>76.05531295487626</v>
      </c>
      <c r="Y44" s="44">
        <f t="shared" si="45"/>
        <v>421</v>
      </c>
      <c r="Z44" s="44">
        <f t="shared" si="46"/>
        <v>409</v>
      </c>
      <c r="AA44" s="40">
        <f t="shared" si="12"/>
        <v>97.14964370546319</v>
      </c>
      <c r="AB44" s="43">
        <f>102.5+14.3+0.9</f>
        <v>117.7</v>
      </c>
      <c r="AC44" s="43">
        <f>119.6+14.3+1.1</f>
        <v>135</v>
      </c>
      <c r="AD44" s="40">
        <f t="shared" si="14"/>
        <v>114.6983857264231</v>
      </c>
      <c r="AE44" s="43">
        <f>103.4+14.3+0.8</f>
        <v>118.5</v>
      </c>
      <c r="AF44" s="43">
        <f>155.6+14.3+0.9</f>
        <v>170.8</v>
      </c>
      <c r="AG44" s="40">
        <f t="shared" si="15"/>
        <v>144.13502109704643</v>
      </c>
      <c r="AH44" s="43"/>
      <c r="AI44" s="43"/>
      <c r="AJ44" s="40" t="e">
        <f t="shared" si="16"/>
        <v>#DIV/0!</v>
      </c>
      <c r="AK44" s="44">
        <f t="shared" si="35"/>
        <v>236.2</v>
      </c>
      <c r="AL44" s="44">
        <f t="shared" si="35"/>
        <v>305.8</v>
      </c>
      <c r="AM44" s="40">
        <f t="shared" si="17"/>
        <v>129.46655376799322</v>
      </c>
      <c r="AN44" s="43"/>
      <c r="AO44" s="43"/>
      <c r="AP44" s="43"/>
      <c r="AQ44" s="43"/>
      <c r="AR44" s="43"/>
      <c r="AS44" s="43"/>
      <c r="AT44" s="76">
        <f t="shared" si="25"/>
        <v>1028.7</v>
      </c>
      <c r="AU44" s="76">
        <f t="shared" si="25"/>
        <v>910.2</v>
      </c>
      <c r="AV44" s="40">
        <f t="shared" si="38"/>
        <v>88.48060659084281</v>
      </c>
      <c r="AW44" s="44">
        <f t="shared" si="39"/>
        <v>118.5</v>
      </c>
      <c r="AX44" s="45">
        <f t="shared" si="47"/>
        <v>118.5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133.70000000000005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7"/>
        <v>142.46575342465755</v>
      </c>
      <c r="M45" s="40">
        <f t="shared" si="43"/>
        <v>251</v>
      </c>
      <c r="N45" s="40">
        <f t="shared" si="44"/>
        <v>49</v>
      </c>
      <c r="O45" s="40">
        <f t="shared" si="7"/>
        <v>19.52191235059761</v>
      </c>
      <c r="P45" s="57">
        <f aca="true" t="shared" si="48" ref="P45:W45">SUM(P46:P50)</f>
        <v>28.4</v>
      </c>
      <c r="Q45" s="57">
        <f t="shared" si="48"/>
        <v>37.3</v>
      </c>
      <c r="R45" s="40">
        <f t="shared" si="21"/>
        <v>131.33802816901408</v>
      </c>
      <c r="S45" s="57">
        <f t="shared" si="48"/>
        <v>26.3</v>
      </c>
      <c r="T45" s="57">
        <f t="shared" si="48"/>
        <v>5.7</v>
      </c>
      <c r="U45" s="57" t="e">
        <f t="shared" si="48"/>
        <v>#DIV/0!</v>
      </c>
      <c r="V45" s="57">
        <f t="shared" si="48"/>
        <v>20.2</v>
      </c>
      <c r="W45" s="57">
        <f t="shared" si="48"/>
        <v>4.9</v>
      </c>
      <c r="X45" s="54">
        <f t="shared" si="32"/>
        <v>24.25742574257426</v>
      </c>
      <c r="Y45" s="40">
        <f t="shared" si="45"/>
        <v>74.9</v>
      </c>
      <c r="Z45" s="40">
        <f t="shared" si="46"/>
        <v>47.9</v>
      </c>
      <c r="AA45" s="40">
        <f t="shared" si="12"/>
        <v>63.95193591455273</v>
      </c>
      <c r="AB45" s="57">
        <f aca="true" t="shared" si="49" ref="AB45:AI45">SUM(AB46:AB50)</f>
        <v>33.7</v>
      </c>
      <c r="AC45" s="57">
        <f t="shared" si="49"/>
        <v>38.7</v>
      </c>
      <c r="AD45" s="40">
        <f t="shared" si="14"/>
        <v>114.83679525222553</v>
      </c>
      <c r="AE45" s="57">
        <f t="shared" si="49"/>
        <v>23.7</v>
      </c>
      <c r="AF45" s="57">
        <f t="shared" si="49"/>
        <v>52.1</v>
      </c>
      <c r="AG45" s="40">
        <f t="shared" si="15"/>
        <v>219.831223628692</v>
      </c>
      <c r="AH45" s="57">
        <f t="shared" si="49"/>
        <v>0</v>
      </c>
      <c r="AI45" s="57">
        <f t="shared" si="49"/>
        <v>0</v>
      </c>
      <c r="AJ45" s="40" t="e">
        <f t="shared" si="16"/>
        <v>#DIV/0!</v>
      </c>
      <c r="AK45" s="40">
        <f t="shared" si="35"/>
        <v>57.400000000000006</v>
      </c>
      <c r="AL45" s="40">
        <f t="shared" si="35"/>
        <v>90.80000000000001</v>
      </c>
      <c r="AM45" s="40">
        <f t="shared" si="17"/>
        <v>158.18815331010455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383.29999999999995</v>
      </c>
      <c r="AU45" s="39">
        <f t="shared" si="25"/>
        <v>187.70000000000002</v>
      </c>
      <c r="AV45" s="40">
        <f t="shared" si="38"/>
        <v>48.9694756065745</v>
      </c>
      <c r="AW45" s="40">
        <f t="shared" si="39"/>
        <v>195.59999999999994</v>
      </c>
      <c r="AX45" s="61">
        <f t="shared" si="47"/>
        <v>329.29999999999995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8"/>
        <v>#DIV/0!</v>
      </c>
      <c r="AW46" s="44">
        <f t="shared" si="39"/>
        <v>0</v>
      </c>
      <c r="AX46" s="45">
        <f t="shared" si="47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3"/>
        <v>6.8</v>
      </c>
      <c r="N47" s="44">
        <f t="shared" si="44"/>
        <v>0</v>
      </c>
      <c r="O47" s="40">
        <f t="shared" si="7"/>
        <v>0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5"/>
        <v>0</v>
      </c>
      <c r="Z47" s="44">
        <f t="shared" si="46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6.8</v>
      </c>
      <c r="AU47" s="76">
        <f t="shared" si="25"/>
        <v>0</v>
      </c>
      <c r="AV47" s="40">
        <f t="shared" si="38"/>
        <v>0</v>
      </c>
      <c r="AW47" s="44">
        <f t="shared" si="39"/>
        <v>6.8</v>
      </c>
      <c r="AX47" s="45">
        <f t="shared" si="47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8"/>
        <v>#DIV/0!</v>
      </c>
      <c r="AW48" s="44">
        <f t="shared" si="39"/>
        <v>0</v>
      </c>
      <c r="AX48" s="45">
        <f t="shared" si="47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3"/>
        <v>97.8</v>
      </c>
      <c r="N49" s="44">
        <f t="shared" si="44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21"/>
        <v>131.33802816901408</v>
      </c>
      <c r="S49" s="43">
        <v>26.3</v>
      </c>
      <c r="T49" s="55">
        <v>5.7</v>
      </c>
      <c r="U49" s="40">
        <f t="shared" si="22"/>
        <v>21.673003802281368</v>
      </c>
      <c r="V49" s="43">
        <v>20.2</v>
      </c>
      <c r="W49" s="55">
        <v>4.9</v>
      </c>
      <c r="X49" s="56">
        <f>W49/V49*100</f>
        <v>24.25742574257426</v>
      </c>
      <c r="Y49" s="44">
        <f t="shared" si="45"/>
        <v>74.9</v>
      </c>
      <c r="Z49" s="44">
        <f t="shared" si="46"/>
        <v>47.9</v>
      </c>
      <c r="AA49" s="40">
        <f t="shared" si="12"/>
        <v>63.95193591455273</v>
      </c>
      <c r="AB49" s="43">
        <v>33.7</v>
      </c>
      <c r="AC49" s="55">
        <v>38.7</v>
      </c>
      <c r="AD49" s="40">
        <f t="shared" si="14"/>
        <v>114.83679525222553</v>
      </c>
      <c r="AE49" s="43">
        <v>23.7</v>
      </c>
      <c r="AF49" s="55">
        <v>52.1</v>
      </c>
      <c r="AG49" s="40">
        <f t="shared" si="15"/>
        <v>219.831223628692</v>
      </c>
      <c r="AH49" s="43"/>
      <c r="AI49" s="55"/>
      <c r="AJ49" s="40" t="e">
        <f t="shared" si="16"/>
        <v>#DIV/0!</v>
      </c>
      <c r="AK49" s="44">
        <f t="shared" si="35"/>
        <v>57.400000000000006</v>
      </c>
      <c r="AL49" s="44">
        <f t="shared" si="35"/>
        <v>90.80000000000001</v>
      </c>
      <c r="AM49" s="40">
        <f t="shared" si="17"/>
        <v>158.18815331010455</v>
      </c>
      <c r="AN49" s="43"/>
      <c r="AO49" s="55"/>
      <c r="AP49" s="43"/>
      <c r="AQ49" s="55"/>
      <c r="AR49" s="43"/>
      <c r="AS49" s="55"/>
      <c r="AT49" s="76">
        <f t="shared" si="25"/>
        <v>230.1</v>
      </c>
      <c r="AU49" s="76">
        <f t="shared" si="25"/>
        <v>187.70000000000002</v>
      </c>
      <c r="AV49" s="40">
        <f t="shared" si="38"/>
        <v>81.57322903085615</v>
      </c>
      <c r="AW49" s="44">
        <f t="shared" si="39"/>
        <v>42.39999999999998</v>
      </c>
      <c r="AX49" s="45">
        <f t="shared" si="47"/>
        <v>157.79999999999998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7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51"/>
        <v>111.07784431137726</v>
      </c>
      <c r="M51" s="44">
        <f t="shared" si="43"/>
        <v>194.60000000000002</v>
      </c>
      <c r="N51" s="44">
        <f t="shared" si="44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21"/>
        <v>101.30293159609121</v>
      </c>
      <c r="S51" s="43">
        <v>69.6</v>
      </c>
      <c r="T51" s="43">
        <v>67.7</v>
      </c>
      <c r="U51" s="40">
        <f t="shared" si="22"/>
        <v>97.27011494252875</v>
      </c>
      <c r="V51" s="43">
        <v>58.2</v>
      </c>
      <c r="W51" s="43">
        <v>61.6</v>
      </c>
      <c r="X51" s="48">
        <f t="shared" si="52"/>
        <v>105.84192439862544</v>
      </c>
      <c r="Y51" s="44">
        <f t="shared" si="45"/>
        <v>189.2</v>
      </c>
      <c r="Z51" s="44">
        <f t="shared" si="46"/>
        <v>191.5</v>
      </c>
      <c r="AA51" s="40">
        <f t="shared" si="12"/>
        <v>101.21564482029599</v>
      </c>
      <c r="AB51" s="43">
        <v>48.4</v>
      </c>
      <c r="AC51" s="43">
        <v>58.7</v>
      </c>
      <c r="AD51" s="40">
        <f t="shared" si="14"/>
        <v>121.28099173553719</v>
      </c>
      <c r="AE51" s="43">
        <v>46.4</v>
      </c>
      <c r="AF51" s="43">
        <v>47.9</v>
      </c>
      <c r="AG51" s="40">
        <f t="shared" si="15"/>
        <v>103.23275862068965</v>
      </c>
      <c r="AH51" s="43"/>
      <c r="AI51" s="43"/>
      <c r="AJ51" s="40" t="e">
        <f t="shared" si="16"/>
        <v>#DIV/0!</v>
      </c>
      <c r="AK51" s="44">
        <f t="shared" si="23"/>
        <v>94.8</v>
      </c>
      <c r="AL51" s="44">
        <f t="shared" si="23"/>
        <v>106.6</v>
      </c>
      <c r="AM51" s="40">
        <f t="shared" si="17"/>
        <v>112.44725738396623</v>
      </c>
      <c r="AN51" s="43"/>
      <c r="AO51" s="43"/>
      <c r="AP51" s="43"/>
      <c r="AQ51" s="43"/>
      <c r="AR51" s="43"/>
      <c r="AS51" s="43"/>
      <c r="AT51" s="76">
        <f t="shared" si="25"/>
        <v>478.6</v>
      </c>
      <c r="AU51" s="76">
        <f t="shared" si="25"/>
        <v>452.29999999999995</v>
      </c>
      <c r="AV51" s="40">
        <f t="shared" si="19"/>
        <v>94.50480568324278</v>
      </c>
      <c r="AW51" s="44">
        <f t="shared" si="24"/>
        <v>26.300000000000068</v>
      </c>
      <c r="AX51" s="45">
        <f t="shared" si="47"/>
        <v>80.00000000000011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3"/>
        <v>8</v>
      </c>
      <c r="N52" s="44">
        <f t="shared" si="44"/>
        <v>5.9</v>
      </c>
      <c r="O52" s="40">
        <f t="shared" si="7"/>
        <v>73.75</v>
      </c>
      <c r="P52" s="57">
        <v>1.3</v>
      </c>
      <c r="Q52" s="57">
        <v>1.8</v>
      </c>
      <c r="R52" s="40">
        <f t="shared" si="21"/>
        <v>138.46153846153845</v>
      </c>
      <c r="S52" s="57">
        <v>1.3</v>
      </c>
      <c r="T52" s="57">
        <v>1.8</v>
      </c>
      <c r="U52" s="57" t="e">
        <f>SUM(U53:U54)</f>
        <v>#DIV/0!</v>
      </c>
      <c r="V52" s="57">
        <v>2.4</v>
      </c>
      <c r="W52" s="57">
        <v>1.2</v>
      </c>
      <c r="X52" s="57">
        <f>SUM(X53:X54)</f>
        <v>114.22133475633898</v>
      </c>
      <c r="Y52" s="44">
        <f t="shared" si="45"/>
        <v>5</v>
      </c>
      <c r="Z52" s="44">
        <f t="shared" si="46"/>
        <v>4.8</v>
      </c>
      <c r="AA52" s="40">
        <f t="shared" si="12"/>
        <v>96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57">
        <f>SUM(AJ53:AJ54)</f>
        <v>0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13</v>
      </c>
      <c r="AU52" s="76">
        <f t="shared" si="25"/>
        <v>10.7</v>
      </c>
      <c r="AV52" s="40">
        <f t="shared" si="19"/>
        <v>82.3076923076923</v>
      </c>
      <c r="AW52" s="44">
        <f t="shared" si="24"/>
        <v>2.3000000000000007</v>
      </c>
      <c r="AX52" s="45">
        <f t="shared" si="47"/>
        <v>4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12.3</v>
      </c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>
        <v>38.6</v>
      </c>
      <c r="W53" s="43">
        <v>35.6</v>
      </c>
      <c r="X53" s="40">
        <f t="shared" si="52"/>
        <v>92.2279792746114</v>
      </c>
      <c r="Y53" s="44">
        <f t="shared" si="45"/>
        <v>38.6</v>
      </c>
      <c r="Z53" s="44">
        <f t="shared" si="46"/>
        <v>35.6</v>
      </c>
      <c r="AA53" s="40">
        <f t="shared" si="12"/>
        <v>92.2279792746114</v>
      </c>
      <c r="AB53" s="43">
        <v>34.7</v>
      </c>
      <c r="AC53" s="43"/>
      <c r="AD53" s="40">
        <f t="shared" si="14"/>
        <v>0</v>
      </c>
      <c r="AE53" s="43">
        <v>32.7</v>
      </c>
      <c r="AF53" s="43">
        <v>3.5</v>
      </c>
      <c r="AG53" s="40">
        <f t="shared" si="15"/>
        <v>10.703363914373087</v>
      </c>
      <c r="AH53" s="43"/>
      <c r="AI53" s="43"/>
      <c r="AJ53" s="40"/>
      <c r="AK53" s="44">
        <f t="shared" si="23"/>
        <v>67.4</v>
      </c>
      <c r="AL53" s="44">
        <f t="shared" si="23"/>
        <v>3.5</v>
      </c>
      <c r="AM53" s="40">
        <f t="shared" si="17"/>
        <v>5.192878338278931</v>
      </c>
      <c r="AN53" s="43"/>
      <c r="AO53" s="43"/>
      <c r="AP53" s="43"/>
      <c r="AQ53" s="43"/>
      <c r="AR53" s="43"/>
      <c r="AS53" s="43"/>
      <c r="AT53" s="76">
        <f t="shared" si="25"/>
        <v>106</v>
      </c>
      <c r="AU53" s="76">
        <f t="shared" si="25"/>
        <v>39.1</v>
      </c>
      <c r="AV53" s="40">
        <f t="shared" si="19"/>
        <v>36.88679245283019</v>
      </c>
      <c r="AW53" s="44">
        <f t="shared" si="24"/>
        <v>66.9</v>
      </c>
      <c r="AX53" s="45">
        <f t="shared" si="47"/>
        <v>79.19999999999999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3"/>
        <v>0</v>
      </c>
      <c r="G54" s="55">
        <v>41.7</v>
      </c>
      <c r="H54" s="43">
        <v>21.6</v>
      </c>
      <c r="I54" s="41">
        <f t="shared" si="54"/>
        <v>51.798561151079134</v>
      </c>
      <c r="J54" s="43">
        <v>220.7</v>
      </c>
      <c r="K54" s="43">
        <v>38.4</v>
      </c>
      <c r="L54" s="40">
        <f t="shared" si="51"/>
        <v>17.399184413230632</v>
      </c>
      <c r="M54" s="44">
        <f t="shared" si="43"/>
        <v>287</v>
      </c>
      <c r="N54" s="44">
        <f t="shared" si="44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21"/>
        <v>309.1179385530228</v>
      </c>
      <c r="S54" s="43">
        <v>87.3</v>
      </c>
      <c r="T54" s="43">
        <v>73.9</v>
      </c>
      <c r="U54" s="40">
        <f t="shared" si="22"/>
        <v>84.65063001145477</v>
      </c>
      <c r="V54" s="43">
        <v>150.5</v>
      </c>
      <c r="W54" s="43">
        <v>33.1</v>
      </c>
      <c r="X54" s="40">
        <f t="shared" si="52"/>
        <v>21.993355481727576</v>
      </c>
      <c r="Y54" s="44">
        <f t="shared" si="45"/>
        <v>338.7</v>
      </c>
      <c r="Z54" s="44">
        <f t="shared" si="46"/>
        <v>418.9</v>
      </c>
      <c r="AA54" s="40">
        <f t="shared" si="12"/>
        <v>123.67877177443165</v>
      </c>
      <c r="AB54" s="43">
        <v>108</v>
      </c>
      <c r="AC54" s="43">
        <v>224.9</v>
      </c>
      <c r="AD54" s="40">
        <f t="shared" si="14"/>
        <v>208.24074074074073</v>
      </c>
      <c r="AE54" s="43">
        <v>79.4</v>
      </c>
      <c r="AF54" s="43">
        <v>17.3</v>
      </c>
      <c r="AG54" s="40">
        <f t="shared" si="15"/>
        <v>21.788413098236774</v>
      </c>
      <c r="AH54" s="43"/>
      <c r="AI54" s="43"/>
      <c r="AJ54" s="40"/>
      <c r="AK54" s="44">
        <f t="shared" si="23"/>
        <v>187.4</v>
      </c>
      <c r="AL54" s="44">
        <f t="shared" si="23"/>
        <v>242.20000000000002</v>
      </c>
      <c r="AM54" s="40">
        <f>AL54/AK54*100</f>
        <v>129.24226254002136</v>
      </c>
      <c r="AN54" s="43"/>
      <c r="AO54" s="43"/>
      <c r="AP54" s="43"/>
      <c r="AQ54" s="43"/>
      <c r="AR54" s="43"/>
      <c r="AS54" s="43"/>
      <c r="AT54" s="76">
        <f t="shared" si="25"/>
        <v>813.1</v>
      </c>
      <c r="AU54" s="76">
        <f t="shared" si="25"/>
        <v>721.1</v>
      </c>
      <c r="AV54" s="40">
        <f t="shared" si="19"/>
        <v>88.68527856352232</v>
      </c>
      <c r="AW54" s="44">
        <f t="shared" si="24"/>
        <v>92</v>
      </c>
      <c r="AX54" s="45">
        <f t="shared" si="47"/>
        <v>102.79999999999995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3"/>
        <v>0</v>
      </c>
      <c r="G55" s="60">
        <v>13.9</v>
      </c>
      <c r="H55" s="60">
        <v>0</v>
      </c>
      <c r="I55" s="41">
        <f t="shared" si="54"/>
        <v>0</v>
      </c>
      <c r="J55" s="43">
        <v>13.2</v>
      </c>
      <c r="K55" s="43">
        <v>0.8</v>
      </c>
      <c r="L55" s="40">
        <f t="shared" si="51"/>
        <v>6.060606060606061</v>
      </c>
      <c r="M55" s="44">
        <f t="shared" si="43"/>
        <v>34.7</v>
      </c>
      <c r="N55" s="44">
        <f t="shared" si="44"/>
        <v>0.8</v>
      </c>
      <c r="O55" s="40">
        <f t="shared" si="7"/>
        <v>2.3054755043227666</v>
      </c>
      <c r="P55" s="43">
        <v>17.2</v>
      </c>
      <c r="Q55" s="43">
        <v>25.3</v>
      </c>
      <c r="R55" s="40">
        <f t="shared" si="21"/>
        <v>147.09302325581396</v>
      </c>
      <c r="S55" s="43">
        <v>19.9</v>
      </c>
      <c r="T55" s="43">
        <v>13.8</v>
      </c>
      <c r="U55" s="40">
        <f t="shared" si="22"/>
        <v>69.34673366834173</v>
      </c>
      <c r="V55" s="43">
        <v>16.4</v>
      </c>
      <c r="W55" s="43">
        <v>12.3</v>
      </c>
      <c r="X55" s="40">
        <f t="shared" si="52"/>
        <v>75.00000000000001</v>
      </c>
      <c r="Y55" s="44">
        <f t="shared" si="45"/>
        <v>53.49999999999999</v>
      </c>
      <c r="Z55" s="44">
        <f t="shared" si="46"/>
        <v>51.400000000000006</v>
      </c>
      <c r="AA55" s="40">
        <f t="shared" si="12"/>
        <v>96.07476635514021</v>
      </c>
      <c r="AB55" s="43">
        <v>8.3</v>
      </c>
      <c r="AC55" s="43">
        <v>23</v>
      </c>
      <c r="AD55" s="40">
        <f t="shared" si="14"/>
        <v>277.10843373493975</v>
      </c>
      <c r="AE55" s="43">
        <v>13.2</v>
      </c>
      <c r="AF55" s="43">
        <v>3.6</v>
      </c>
      <c r="AG55" s="40">
        <f t="shared" si="15"/>
        <v>27.272727272727277</v>
      </c>
      <c r="AH55" s="43"/>
      <c r="AI55" s="43"/>
      <c r="AJ55" s="40"/>
      <c r="AK55" s="44">
        <f t="shared" si="23"/>
        <v>21.5</v>
      </c>
      <c r="AL55" s="44">
        <f t="shared" si="23"/>
        <v>26.6</v>
      </c>
      <c r="AM55" s="40">
        <f t="shared" si="17"/>
        <v>123.72093023255815</v>
      </c>
      <c r="AN55" s="43"/>
      <c r="AO55" s="43"/>
      <c r="AP55" s="43"/>
      <c r="AQ55" s="43"/>
      <c r="AR55" s="43"/>
      <c r="AS55" s="43"/>
      <c r="AT55" s="76">
        <f t="shared" si="25"/>
        <v>109.69999999999999</v>
      </c>
      <c r="AU55" s="76">
        <f t="shared" si="25"/>
        <v>78.80000000000001</v>
      </c>
      <c r="AV55" s="40">
        <f t="shared" si="19"/>
        <v>71.83226982680038</v>
      </c>
      <c r="AW55" s="44">
        <f t="shared" si="24"/>
        <v>30.899999999999977</v>
      </c>
      <c r="AX55" s="45">
        <f t="shared" si="47"/>
        <v>30.899999999999977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3"/>
        <v>0</v>
      </c>
      <c r="G56" s="52">
        <v>1.5</v>
      </c>
      <c r="H56" s="52">
        <v>0.4</v>
      </c>
      <c r="I56" s="41">
        <f t="shared" si="54"/>
        <v>26.666666666666668</v>
      </c>
      <c r="J56" s="43">
        <v>1.4</v>
      </c>
      <c r="K56" s="43">
        <v>1.5</v>
      </c>
      <c r="L56" s="40">
        <f t="shared" si="51"/>
        <v>107.14285714285714</v>
      </c>
      <c r="M56" s="44">
        <f t="shared" si="43"/>
        <v>3.3</v>
      </c>
      <c r="N56" s="44">
        <f t="shared" si="44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21"/>
        <v>349.99999999999994</v>
      </c>
      <c r="S56" s="43">
        <v>1.3</v>
      </c>
      <c r="T56" s="43">
        <v>0.5</v>
      </c>
      <c r="U56" s="40">
        <f t="shared" si="22"/>
        <v>38.46153846153846</v>
      </c>
      <c r="V56" s="43">
        <v>0.7</v>
      </c>
      <c r="W56" s="43">
        <v>1.3</v>
      </c>
      <c r="X56" s="40">
        <f t="shared" si="52"/>
        <v>185.71428571428575</v>
      </c>
      <c r="Y56" s="44">
        <f t="shared" si="45"/>
        <v>2.4000000000000004</v>
      </c>
      <c r="Z56" s="44">
        <f t="shared" si="46"/>
        <v>3.2</v>
      </c>
      <c r="AA56" s="40">
        <f t="shared" si="12"/>
        <v>133.33333333333331</v>
      </c>
      <c r="AB56" s="43">
        <v>0.2</v>
      </c>
      <c r="AC56" s="43">
        <v>0.7</v>
      </c>
      <c r="AD56" s="40">
        <f t="shared" si="14"/>
        <v>349.99999999999994</v>
      </c>
      <c r="AE56" s="43">
        <v>1.4</v>
      </c>
      <c r="AF56" s="43">
        <v>0.1</v>
      </c>
      <c r="AG56" s="40">
        <f t="shared" si="15"/>
        <v>7.142857142857144</v>
      </c>
      <c r="AH56" s="43"/>
      <c r="AI56" s="43"/>
      <c r="AJ56" s="40"/>
      <c r="AK56" s="44">
        <f t="shared" si="23"/>
        <v>1.5999999999999999</v>
      </c>
      <c r="AL56" s="44">
        <f t="shared" si="23"/>
        <v>0.7999999999999999</v>
      </c>
      <c r="AM56" s="40">
        <f t="shared" si="17"/>
        <v>50</v>
      </c>
      <c r="AN56" s="43"/>
      <c r="AO56" s="43"/>
      <c r="AP56" s="43"/>
      <c r="AQ56" s="43"/>
      <c r="AR56" s="43"/>
      <c r="AS56" s="43"/>
      <c r="AT56" s="76">
        <f t="shared" si="25"/>
        <v>7.3</v>
      </c>
      <c r="AU56" s="76">
        <f t="shared" si="25"/>
        <v>5.8999999999999995</v>
      </c>
      <c r="AV56" s="40">
        <f t="shared" si="19"/>
        <v>80.82191780821917</v>
      </c>
      <c r="AW56" s="44">
        <f t="shared" si="24"/>
        <v>1.4000000000000004</v>
      </c>
      <c r="AX56" s="45">
        <f t="shared" si="47"/>
        <v>1.4000000000000004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3"/>
        <v>0</v>
      </c>
      <c r="G57" s="43">
        <v>31.1</v>
      </c>
      <c r="H57" s="43">
        <v>18.2</v>
      </c>
      <c r="I57" s="41">
        <f t="shared" si="54"/>
        <v>58.5209003215434</v>
      </c>
      <c r="J57" s="43">
        <v>21.2</v>
      </c>
      <c r="K57" s="43">
        <v>30.1</v>
      </c>
      <c r="L57" s="40">
        <f t="shared" si="51"/>
        <v>141.98113207547172</v>
      </c>
      <c r="M57" s="44">
        <f t="shared" si="43"/>
        <v>71.8</v>
      </c>
      <c r="N57" s="44">
        <f t="shared" si="44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21"/>
        <v>126.48648648648648</v>
      </c>
      <c r="S57" s="43">
        <v>18.5</v>
      </c>
      <c r="T57" s="43">
        <v>17.3</v>
      </c>
      <c r="U57" s="40">
        <f t="shared" si="22"/>
        <v>93.51351351351352</v>
      </c>
      <c r="V57" s="43">
        <v>17.8</v>
      </c>
      <c r="W57" s="43">
        <v>17.4</v>
      </c>
      <c r="X57" s="40">
        <f t="shared" si="52"/>
        <v>97.75280898876403</v>
      </c>
      <c r="Y57" s="44">
        <f t="shared" si="45"/>
        <v>54.8</v>
      </c>
      <c r="Z57" s="44">
        <f t="shared" si="46"/>
        <v>58.1</v>
      </c>
      <c r="AA57" s="40">
        <f t="shared" si="12"/>
        <v>106.02189781021897</v>
      </c>
      <c r="AB57" s="43">
        <v>10.8</v>
      </c>
      <c r="AC57" s="43">
        <v>20.1</v>
      </c>
      <c r="AD57" s="40">
        <f t="shared" si="14"/>
        <v>186.11111111111111</v>
      </c>
      <c r="AE57" s="43">
        <v>11.7</v>
      </c>
      <c r="AF57" s="43">
        <v>10.8</v>
      </c>
      <c r="AG57" s="40">
        <f t="shared" si="15"/>
        <v>92.30769230769232</v>
      </c>
      <c r="AH57" s="43"/>
      <c r="AI57" s="43"/>
      <c r="AJ57" s="40"/>
      <c r="AK57" s="44">
        <f t="shared" si="23"/>
        <v>22.5</v>
      </c>
      <c r="AL57" s="44">
        <f t="shared" si="23"/>
        <v>30.900000000000002</v>
      </c>
      <c r="AM57" s="40">
        <f t="shared" si="17"/>
        <v>137.33333333333334</v>
      </c>
      <c r="AN57" s="43"/>
      <c r="AO57" s="43"/>
      <c r="AP57" s="43"/>
      <c r="AQ57" s="43"/>
      <c r="AR57" s="43"/>
      <c r="AS57" s="43"/>
      <c r="AT57" s="76">
        <f t="shared" si="25"/>
        <v>149.1</v>
      </c>
      <c r="AU57" s="76">
        <f t="shared" si="25"/>
        <v>137.3</v>
      </c>
      <c r="AV57" s="40">
        <f t="shared" si="19"/>
        <v>92.0858484238766</v>
      </c>
      <c r="AW57" s="44">
        <f t="shared" si="24"/>
        <v>11.799999999999983</v>
      </c>
      <c r="AX57" s="45">
        <f t="shared" si="47"/>
        <v>11.799999999999983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3"/>
        <v>0</v>
      </c>
      <c r="G58" s="43">
        <v>15.7</v>
      </c>
      <c r="H58" s="43">
        <v>6.7</v>
      </c>
      <c r="I58" s="41">
        <f t="shared" si="54"/>
        <v>42.675159235668794</v>
      </c>
      <c r="J58" s="43">
        <v>14.9</v>
      </c>
      <c r="K58" s="43">
        <v>15.7</v>
      </c>
      <c r="L58" s="40">
        <f t="shared" si="51"/>
        <v>105.36912751677852</v>
      </c>
      <c r="M58" s="44">
        <f t="shared" si="43"/>
        <v>37.3</v>
      </c>
      <c r="N58" s="44">
        <f t="shared" si="44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21"/>
        <v>71.59763313609467</v>
      </c>
      <c r="S58" s="43">
        <v>13.4</v>
      </c>
      <c r="T58" s="43">
        <v>19.7</v>
      </c>
      <c r="U58" s="40">
        <f t="shared" si="22"/>
        <v>147.01492537313433</v>
      </c>
      <c r="V58" s="43">
        <v>13.8</v>
      </c>
      <c r="W58" s="43">
        <v>12</v>
      </c>
      <c r="X58" s="40">
        <f t="shared" si="52"/>
        <v>86.95652173913044</v>
      </c>
      <c r="Y58" s="44">
        <f t="shared" si="45"/>
        <v>44.099999999999994</v>
      </c>
      <c r="Z58" s="44">
        <f t="shared" si="46"/>
        <v>43.8</v>
      </c>
      <c r="AA58" s="40">
        <f t="shared" si="12"/>
        <v>99.31972789115648</v>
      </c>
      <c r="AB58" s="43">
        <v>10</v>
      </c>
      <c r="AC58" s="43">
        <v>15.2</v>
      </c>
      <c r="AD58" s="40">
        <f t="shared" si="14"/>
        <v>152</v>
      </c>
      <c r="AE58" s="43">
        <v>10.5</v>
      </c>
      <c r="AF58" s="43">
        <v>10</v>
      </c>
      <c r="AG58" s="40">
        <f t="shared" si="15"/>
        <v>95.23809523809523</v>
      </c>
      <c r="AH58" s="43"/>
      <c r="AI58" s="43"/>
      <c r="AJ58" s="40"/>
      <c r="AK58" s="44">
        <f t="shared" si="23"/>
        <v>20.5</v>
      </c>
      <c r="AL58" s="44">
        <f t="shared" si="23"/>
        <v>25.2</v>
      </c>
      <c r="AM58" s="40">
        <f t="shared" si="17"/>
        <v>122.92682926829268</v>
      </c>
      <c r="AN58" s="43"/>
      <c r="AO58" s="43"/>
      <c r="AP58" s="43"/>
      <c r="AQ58" s="43"/>
      <c r="AR58" s="43"/>
      <c r="AS58" s="43"/>
      <c r="AT58" s="76">
        <f t="shared" si="25"/>
        <v>101.89999999999999</v>
      </c>
      <c r="AU58" s="76">
        <f t="shared" si="25"/>
        <v>91.39999999999999</v>
      </c>
      <c r="AV58" s="40">
        <f t="shared" si="19"/>
        <v>89.69578017664377</v>
      </c>
      <c r="AW58" s="44">
        <f t="shared" si="24"/>
        <v>10.5</v>
      </c>
      <c r="AX58" s="45">
        <f t="shared" si="47"/>
        <v>10.5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3"/>
        <v>0</v>
      </c>
      <c r="G60" s="43">
        <v>52.5</v>
      </c>
      <c r="H60" s="43">
        <v>0.2</v>
      </c>
      <c r="I60" s="41">
        <f t="shared" si="54"/>
        <v>0.38095238095238093</v>
      </c>
      <c r="J60" s="43">
        <v>40.7</v>
      </c>
      <c r="K60" s="43">
        <v>21.1</v>
      </c>
      <c r="L60" s="40">
        <f t="shared" si="51"/>
        <v>51.842751842751845</v>
      </c>
      <c r="M60" s="44">
        <f t="shared" si="43"/>
        <v>119.5</v>
      </c>
      <c r="N60" s="44">
        <f t="shared" si="44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21"/>
        <v>13.863216266173753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108.2</v>
      </c>
      <c r="Z60" s="44">
        <f t="shared" si="46"/>
        <v>15</v>
      </c>
      <c r="AA60" s="40">
        <f t="shared" si="12"/>
        <v>13.863216266173753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/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227.7</v>
      </c>
      <c r="AU60" s="76">
        <f t="shared" si="25"/>
        <v>36.3</v>
      </c>
      <c r="AV60" s="40">
        <f t="shared" si="19"/>
        <v>15.942028985507244</v>
      </c>
      <c r="AW60" s="44">
        <f t="shared" si="24"/>
        <v>191.39999999999998</v>
      </c>
      <c r="AX60" s="45">
        <f t="shared" si="47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3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4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51"/>
        <v>95.52404165743408</v>
      </c>
      <c r="M61" s="40">
        <f t="shared" si="43"/>
        <v>1233.6</v>
      </c>
      <c r="N61" s="40">
        <f t="shared" si="44"/>
        <v>915.1</v>
      </c>
      <c r="O61" s="40">
        <f t="shared" si="7"/>
        <v>74.18125810635539</v>
      </c>
      <c r="P61" s="91">
        <f aca="true" t="shared" si="55" ref="P61:W61">SUM(P62:P71)</f>
        <v>430.79999999999995</v>
      </c>
      <c r="Q61" s="91">
        <f t="shared" si="55"/>
        <v>484.80000000000007</v>
      </c>
      <c r="R61" s="91">
        <f t="shared" si="55"/>
        <v>1141.1374202031593</v>
      </c>
      <c r="S61" s="91">
        <f t="shared" si="55"/>
        <v>430.4</v>
      </c>
      <c r="T61" s="91">
        <f t="shared" si="55"/>
        <v>392.80000000000007</v>
      </c>
      <c r="U61" s="91">
        <f t="shared" si="55"/>
        <v>886.7835665893928</v>
      </c>
      <c r="V61" s="91">
        <f t="shared" si="55"/>
        <v>460.3</v>
      </c>
      <c r="W61" s="91">
        <f t="shared" si="55"/>
        <v>325.9</v>
      </c>
      <c r="X61" s="40">
        <f t="shared" si="52"/>
        <v>70.80165109711058</v>
      </c>
      <c r="Y61" s="40">
        <f t="shared" si="45"/>
        <v>1321.5</v>
      </c>
      <c r="Z61" s="40">
        <f t="shared" si="46"/>
        <v>1203.5</v>
      </c>
      <c r="AA61" s="40">
        <f t="shared" si="12"/>
        <v>91.07075293227393</v>
      </c>
      <c r="AB61" s="91">
        <f aca="true" t="shared" si="56" ref="AB61:AI61">SUM(AB62:AB71)</f>
        <v>379.20000000000005</v>
      </c>
      <c r="AC61" s="91">
        <f t="shared" si="56"/>
        <v>440.1</v>
      </c>
      <c r="AD61" s="40">
        <f t="shared" si="14"/>
        <v>116.06012658227847</v>
      </c>
      <c r="AE61" s="91">
        <f t="shared" si="56"/>
        <v>376.4</v>
      </c>
      <c r="AF61" s="91">
        <f t="shared" si="56"/>
        <v>440.4</v>
      </c>
      <c r="AG61" s="40">
        <f t="shared" si="15"/>
        <v>117.00318809776833</v>
      </c>
      <c r="AH61" s="91">
        <f t="shared" si="56"/>
        <v>0</v>
      </c>
      <c r="AI61" s="91">
        <f t="shared" si="56"/>
        <v>0</v>
      </c>
      <c r="AJ61" s="40"/>
      <c r="AK61" s="40">
        <f t="shared" si="23"/>
        <v>755.6</v>
      </c>
      <c r="AL61" s="40">
        <f t="shared" si="23"/>
        <v>880.5</v>
      </c>
      <c r="AM61" s="40">
        <f t="shared" si="17"/>
        <v>116.5299100052938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3310.7</v>
      </c>
      <c r="AU61" s="39">
        <f t="shared" si="25"/>
        <v>2999.1</v>
      </c>
      <c r="AV61" s="40">
        <f t="shared" si="19"/>
        <v>90.58809315250551</v>
      </c>
      <c r="AW61" s="40">
        <f t="shared" si="24"/>
        <v>311.5999999999999</v>
      </c>
      <c r="AX61" s="61">
        <f t="shared" si="47"/>
        <v>318.7999999999997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3"/>
        <v>21.73913043478261</v>
      </c>
      <c r="G62" s="43">
        <v>94.2</v>
      </c>
      <c r="H62" s="43">
        <v>72.9</v>
      </c>
      <c r="I62" s="41">
        <f t="shared" si="54"/>
        <v>77.38853503184714</v>
      </c>
      <c r="J62" s="43">
        <v>77</v>
      </c>
      <c r="K62" s="43">
        <v>59.8</v>
      </c>
      <c r="L62" s="40">
        <f t="shared" si="51"/>
        <v>77.66233766233765</v>
      </c>
      <c r="M62" s="44">
        <f t="shared" si="43"/>
        <v>178.10000000000002</v>
      </c>
      <c r="N62" s="44">
        <f t="shared" si="44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21"/>
        <v>114.11149825783973</v>
      </c>
      <c r="S62" s="43">
        <v>62.4</v>
      </c>
      <c r="T62" s="43">
        <v>54.7</v>
      </c>
      <c r="U62" s="40">
        <f t="shared" si="22"/>
        <v>87.66025641025642</v>
      </c>
      <c r="V62" s="43">
        <f>373.6-297.9</f>
        <v>75.70000000000005</v>
      </c>
      <c r="W62" s="43">
        <f>334.5-254.4</f>
        <v>80.1</v>
      </c>
      <c r="X62" s="40">
        <f t="shared" si="52"/>
        <v>105.81241743725225</v>
      </c>
      <c r="Y62" s="44">
        <f t="shared" si="45"/>
        <v>195.50000000000006</v>
      </c>
      <c r="Z62" s="44">
        <f t="shared" si="46"/>
        <v>200.3</v>
      </c>
      <c r="AA62" s="40">
        <f t="shared" si="12"/>
        <v>102.4552429667519</v>
      </c>
      <c r="AB62" s="43">
        <v>54.4</v>
      </c>
      <c r="AC62" s="43">
        <v>65.5</v>
      </c>
      <c r="AD62" s="40">
        <f t="shared" si="14"/>
        <v>120.40441176470588</v>
      </c>
      <c r="AE62" s="43">
        <v>93.3</v>
      </c>
      <c r="AF62" s="43">
        <v>128.6</v>
      </c>
      <c r="AG62" s="40">
        <f t="shared" si="15"/>
        <v>137.83494105037514</v>
      </c>
      <c r="AH62" s="43"/>
      <c r="AI62" s="43"/>
      <c r="AJ62" s="40"/>
      <c r="AK62" s="44">
        <f t="shared" si="23"/>
        <v>147.7</v>
      </c>
      <c r="AL62" s="44">
        <f t="shared" si="23"/>
        <v>194.1</v>
      </c>
      <c r="AM62" s="40">
        <f t="shared" si="17"/>
        <v>131.41503046716318</v>
      </c>
      <c r="AN62" s="43"/>
      <c r="AO62" s="43"/>
      <c r="AP62" s="43"/>
      <c r="AQ62" s="43"/>
      <c r="AR62" s="43"/>
      <c r="AS62" s="43"/>
      <c r="AT62" s="76">
        <f t="shared" si="25"/>
        <v>521.3000000000001</v>
      </c>
      <c r="AU62" s="76">
        <f t="shared" si="25"/>
        <v>528.6</v>
      </c>
      <c r="AV62" s="40">
        <f t="shared" si="19"/>
        <v>101.40034529061958</v>
      </c>
      <c r="AW62" s="44">
        <f t="shared" si="24"/>
        <v>-7.2999999999999545</v>
      </c>
      <c r="AX62" s="45">
        <f t="shared" si="47"/>
        <v>-21.099999999999966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3"/>
        <v>0.08673026886383349</v>
      </c>
      <c r="G63" s="52">
        <v>115.1</v>
      </c>
      <c r="H63" s="52">
        <v>229.8</v>
      </c>
      <c r="I63" s="41">
        <f t="shared" si="54"/>
        <v>199.6524761077324</v>
      </c>
      <c r="J63" s="43">
        <v>127</v>
      </c>
      <c r="K63" s="43">
        <v>127.5</v>
      </c>
      <c r="L63" s="40">
        <f t="shared" si="51"/>
        <v>100.39370078740157</v>
      </c>
      <c r="M63" s="44">
        <f t="shared" si="43"/>
        <v>357.4</v>
      </c>
      <c r="N63" s="44">
        <f t="shared" si="44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21"/>
        <v>90.36050156739812</v>
      </c>
      <c r="S63" s="43">
        <v>130.5</v>
      </c>
      <c r="T63" s="43">
        <v>142.8</v>
      </c>
      <c r="U63" s="40">
        <f t="shared" si="22"/>
        <v>109.42528735632185</v>
      </c>
      <c r="V63" s="43">
        <v>131.9</v>
      </c>
      <c r="W63" s="43">
        <v>94.6</v>
      </c>
      <c r="X63" s="40">
        <f t="shared" si="52"/>
        <v>71.72100075815011</v>
      </c>
      <c r="Y63" s="44">
        <f t="shared" si="45"/>
        <v>390</v>
      </c>
      <c r="Z63" s="44">
        <f t="shared" si="46"/>
        <v>352.70000000000005</v>
      </c>
      <c r="AA63" s="40">
        <f t="shared" si="12"/>
        <v>90.43589743589745</v>
      </c>
      <c r="AB63" s="43">
        <v>134.7</v>
      </c>
      <c r="AC63" s="43">
        <v>171.9</v>
      </c>
      <c r="AD63" s="40">
        <f t="shared" si="14"/>
        <v>127.61692650334078</v>
      </c>
      <c r="AE63" s="43">
        <v>118.8</v>
      </c>
      <c r="AF63" s="43">
        <v>118.7</v>
      </c>
      <c r="AG63" s="40">
        <f t="shared" si="15"/>
        <v>99.91582491582493</v>
      </c>
      <c r="AH63" s="43"/>
      <c r="AI63" s="43"/>
      <c r="AJ63" s="40"/>
      <c r="AK63" s="44">
        <f aca="true" t="shared" si="58" ref="AK63:AL71">AB63+AE63+AH63</f>
        <v>253.5</v>
      </c>
      <c r="AL63" s="44">
        <f t="shared" si="58"/>
        <v>290.6</v>
      </c>
      <c r="AM63" s="40">
        <f t="shared" si="17"/>
        <v>114.63510848126232</v>
      </c>
      <c r="AN63" s="43"/>
      <c r="AO63" s="43"/>
      <c r="AP63" s="43"/>
      <c r="AQ63" s="43"/>
      <c r="AR63" s="43"/>
      <c r="AS63" s="43"/>
      <c r="AT63" s="76">
        <f t="shared" si="25"/>
        <v>1000.9</v>
      </c>
      <c r="AU63" s="76">
        <f t="shared" si="25"/>
        <v>1000.7</v>
      </c>
      <c r="AV63" s="40">
        <f t="shared" si="19"/>
        <v>99.98001798381458</v>
      </c>
      <c r="AW63" s="44">
        <f t="shared" si="24"/>
        <v>0.1999999999999318</v>
      </c>
      <c r="AX63" s="45">
        <f t="shared" si="47"/>
        <v>0.1999999999999318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9" ref="F64:F71">E64/D64*100</f>
        <v>100</v>
      </c>
      <c r="G64" s="43">
        <v>12.2</v>
      </c>
      <c r="H64" s="43">
        <v>2.8</v>
      </c>
      <c r="I64" s="41">
        <f aca="true" t="shared" si="60" ref="I64:I72">H64/G64*100</f>
        <v>22.950819672131146</v>
      </c>
      <c r="J64" s="43">
        <v>8.6</v>
      </c>
      <c r="K64" s="43">
        <v>10.6</v>
      </c>
      <c r="L64" s="40">
        <f t="shared" si="51"/>
        <v>123.25581395348837</v>
      </c>
      <c r="M64" s="44">
        <f t="shared" si="43"/>
        <v>26.4</v>
      </c>
      <c r="N64" s="44">
        <f t="shared" si="44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21"/>
        <v>106.89655172413795</v>
      </c>
      <c r="S64" s="43">
        <v>8.1</v>
      </c>
      <c r="T64" s="43">
        <v>7.9</v>
      </c>
      <c r="U64" s="40">
        <f t="shared" si="22"/>
        <v>97.53086419753087</v>
      </c>
      <c r="V64" s="43">
        <v>6.8</v>
      </c>
      <c r="W64" s="43">
        <v>8.6</v>
      </c>
      <c r="X64" s="40">
        <f t="shared" si="52"/>
        <v>126.47058823529412</v>
      </c>
      <c r="Y64" s="44">
        <f t="shared" si="45"/>
        <v>23.599999999999998</v>
      </c>
      <c r="Z64" s="44">
        <f t="shared" si="46"/>
        <v>25.800000000000004</v>
      </c>
      <c r="AA64" s="40">
        <f t="shared" si="12"/>
        <v>109.32203389830511</v>
      </c>
      <c r="AB64" s="43">
        <v>5.8</v>
      </c>
      <c r="AC64" s="43">
        <v>7.5</v>
      </c>
      <c r="AD64" s="40">
        <f t="shared" si="14"/>
        <v>129.31034482758622</v>
      </c>
      <c r="AE64" s="43"/>
      <c r="AF64" s="43"/>
      <c r="AG64" s="40" t="e">
        <f t="shared" si="15"/>
        <v>#DIV/0!</v>
      </c>
      <c r="AH64" s="43"/>
      <c r="AI64" s="43"/>
      <c r="AJ64" s="40"/>
      <c r="AK64" s="44">
        <f t="shared" si="58"/>
        <v>5.8</v>
      </c>
      <c r="AL64" s="44">
        <f t="shared" si="58"/>
        <v>7.5</v>
      </c>
      <c r="AM64" s="40">
        <f t="shared" si="17"/>
        <v>129.31034482758622</v>
      </c>
      <c r="AN64" s="43"/>
      <c r="AO64" s="43"/>
      <c r="AP64" s="43"/>
      <c r="AQ64" s="43"/>
      <c r="AR64" s="43"/>
      <c r="AS64" s="43"/>
      <c r="AT64" s="76">
        <f t="shared" si="25"/>
        <v>55.8</v>
      </c>
      <c r="AU64" s="76">
        <f t="shared" si="25"/>
        <v>52.300000000000004</v>
      </c>
      <c r="AV64" s="40">
        <f t="shared" si="19"/>
        <v>93.72759856630826</v>
      </c>
      <c r="AW64" s="44">
        <f t="shared" si="24"/>
        <v>3.499999999999993</v>
      </c>
      <c r="AX64" s="45">
        <f t="shared" si="47"/>
        <v>3.499999999999993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9"/>
        <v>0</v>
      </c>
      <c r="G65" s="43">
        <v>47.9</v>
      </c>
      <c r="H65" s="43">
        <v>0</v>
      </c>
      <c r="I65" s="41">
        <f t="shared" si="60"/>
        <v>0</v>
      </c>
      <c r="J65" s="43">
        <v>43.5</v>
      </c>
      <c r="K65" s="43">
        <v>81</v>
      </c>
      <c r="L65" s="40">
        <f t="shared" si="51"/>
        <v>186.20689655172413</v>
      </c>
      <c r="M65" s="44">
        <f t="shared" si="43"/>
        <v>127.1</v>
      </c>
      <c r="N65" s="44">
        <f t="shared" si="44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21"/>
        <v>112.13720316622691</v>
      </c>
      <c r="S65" s="43">
        <v>32.1</v>
      </c>
      <c r="T65" s="43">
        <v>37.1</v>
      </c>
      <c r="U65" s="40">
        <f t="shared" si="22"/>
        <v>115.57632398753894</v>
      </c>
      <c r="V65" s="43">
        <v>36.6</v>
      </c>
      <c r="W65" s="43">
        <v>31.6</v>
      </c>
      <c r="X65" s="40">
        <f t="shared" si="52"/>
        <v>86.33879781420765</v>
      </c>
      <c r="Y65" s="44">
        <f t="shared" si="45"/>
        <v>106.6</v>
      </c>
      <c r="Z65" s="44">
        <f t="shared" si="46"/>
        <v>111.19999999999999</v>
      </c>
      <c r="AA65" s="40">
        <f t="shared" si="12"/>
        <v>104.31519699812381</v>
      </c>
      <c r="AB65" s="43">
        <v>34.9</v>
      </c>
      <c r="AC65" s="43">
        <v>36.1</v>
      </c>
      <c r="AD65" s="40">
        <f t="shared" si="14"/>
        <v>103.4383954154728</v>
      </c>
      <c r="AE65" s="43"/>
      <c r="AF65" s="43"/>
      <c r="AG65" s="40" t="e">
        <f t="shared" si="15"/>
        <v>#DIV/0!</v>
      </c>
      <c r="AH65" s="43"/>
      <c r="AI65" s="43"/>
      <c r="AJ65" s="40"/>
      <c r="AK65" s="44">
        <f t="shared" si="58"/>
        <v>34.9</v>
      </c>
      <c r="AL65" s="44">
        <f t="shared" si="58"/>
        <v>36.1</v>
      </c>
      <c r="AM65" s="40">
        <f t="shared" si="17"/>
        <v>103.4383954154728</v>
      </c>
      <c r="AN65" s="43"/>
      <c r="AO65" s="43"/>
      <c r="AP65" s="43"/>
      <c r="AQ65" s="43"/>
      <c r="AR65" s="43"/>
      <c r="AS65" s="43"/>
      <c r="AT65" s="76">
        <f t="shared" si="25"/>
        <v>268.59999999999997</v>
      </c>
      <c r="AU65" s="76">
        <f t="shared" si="25"/>
        <v>228.29999999999998</v>
      </c>
      <c r="AV65" s="40">
        <f t="shared" si="19"/>
        <v>84.99627699180938</v>
      </c>
      <c r="AW65" s="44">
        <f t="shared" si="24"/>
        <v>40.29999999999998</v>
      </c>
      <c r="AX65" s="45">
        <f t="shared" si="47"/>
        <v>35.99999999999997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9"/>
        <v>100</v>
      </c>
      <c r="G66" s="43">
        <v>25.7</v>
      </c>
      <c r="H66" s="43">
        <v>24.6</v>
      </c>
      <c r="I66" s="41">
        <f t="shared" si="60"/>
        <v>95.71984435797665</v>
      </c>
      <c r="J66" s="43">
        <v>22.7</v>
      </c>
      <c r="K66" s="43">
        <v>23.8</v>
      </c>
      <c r="L66" s="40">
        <f t="shared" si="51"/>
        <v>104.84581497797359</v>
      </c>
      <c r="M66" s="44">
        <f t="shared" si="43"/>
        <v>48.5</v>
      </c>
      <c r="N66" s="44">
        <f t="shared" si="44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21"/>
        <v>100</v>
      </c>
      <c r="S66" s="43">
        <v>29.8</v>
      </c>
      <c r="T66" s="43">
        <v>29.8</v>
      </c>
      <c r="U66" s="40">
        <f t="shared" si="22"/>
        <v>100</v>
      </c>
      <c r="V66" s="43">
        <v>33.6</v>
      </c>
      <c r="W66" s="43">
        <v>33.6</v>
      </c>
      <c r="X66" s="40">
        <f t="shared" si="52"/>
        <v>100</v>
      </c>
      <c r="Y66" s="44">
        <f t="shared" si="45"/>
        <v>99.19999999999999</v>
      </c>
      <c r="Z66" s="44">
        <f t="shared" si="46"/>
        <v>99.19999999999999</v>
      </c>
      <c r="AA66" s="40">
        <f t="shared" si="12"/>
        <v>100</v>
      </c>
      <c r="AB66" s="43">
        <v>23.8</v>
      </c>
      <c r="AC66" s="43">
        <v>23.8</v>
      </c>
      <c r="AD66" s="40">
        <f t="shared" si="14"/>
        <v>100</v>
      </c>
      <c r="AE66" s="43">
        <v>35.2</v>
      </c>
      <c r="AF66" s="43">
        <v>34.9</v>
      </c>
      <c r="AG66" s="40">
        <f t="shared" si="15"/>
        <v>99.14772727272727</v>
      </c>
      <c r="AH66" s="43"/>
      <c r="AI66" s="43"/>
      <c r="AJ66" s="40"/>
      <c r="AK66" s="44">
        <f t="shared" si="58"/>
        <v>59</v>
      </c>
      <c r="AL66" s="44">
        <f t="shared" si="58"/>
        <v>58.7</v>
      </c>
      <c r="AM66" s="40">
        <f t="shared" si="17"/>
        <v>99.49152542372882</v>
      </c>
      <c r="AN66" s="43"/>
      <c r="AO66" s="43"/>
      <c r="AP66" s="43"/>
      <c r="AQ66" s="43"/>
      <c r="AR66" s="43"/>
      <c r="AS66" s="43"/>
      <c r="AT66" s="76">
        <f t="shared" si="25"/>
        <v>206.7</v>
      </c>
      <c r="AU66" s="76">
        <f t="shared" si="25"/>
        <v>206.39999999999998</v>
      </c>
      <c r="AV66" s="40">
        <f t="shared" si="19"/>
        <v>99.85486211901305</v>
      </c>
      <c r="AW66" s="44">
        <f t="shared" si="24"/>
        <v>0.30000000000001137</v>
      </c>
      <c r="AX66" s="45">
        <f t="shared" si="47"/>
        <v>0.30000000000001137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>
        <v>18.2</v>
      </c>
      <c r="K67" s="43">
        <v>18.2</v>
      </c>
      <c r="L67" s="40">
        <f t="shared" si="51"/>
        <v>100</v>
      </c>
      <c r="M67" s="44">
        <f t="shared" si="43"/>
        <v>18.2</v>
      </c>
      <c r="N67" s="44">
        <f t="shared" si="44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21"/>
        <v>100</v>
      </c>
      <c r="S67" s="43">
        <v>22.8</v>
      </c>
      <c r="T67" s="43">
        <v>22.8</v>
      </c>
      <c r="U67" s="40">
        <f t="shared" si="22"/>
        <v>100</v>
      </c>
      <c r="V67" s="43">
        <v>45.2</v>
      </c>
      <c r="W67" s="43">
        <v>11.4</v>
      </c>
      <c r="X67" s="40">
        <f t="shared" si="52"/>
        <v>25.221238938053098</v>
      </c>
      <c r="Y67" s="44">
        <f t="shared" si="45"/>
        <v>78</v>
      </c>
      <c r="Z67" s="44">
        <f t="shared" si="46"/>
        <v>44.199999999999996</v>
      </c>
      <c r="AA67" s="40">
        <f t="shared" si="12"/>
        <v>56.666666666666664</v>
      </c>
      <c r="AB67" s="43">
        <v>20.3</v>
      </c>
      <c r="AC67" s="43">
        <v>54.1</v>
      </c>
      <c r="AD67" s="40">
        <f t="shared" si="14"/>
        <v>266.50246305418716</v>
      </c>
      <c r="AE67" s="43">
        <v>20</v>
      </c>
      <c r="AF67" s="43">
        <v>20</v>
      </c>
      <c r="AG67" s="40">
        <f t="shared" si="15"/>
        <v>100</v>
      </c>
      <c r="AH67" s="43"/>
      <c r="AI67" s="43"/>
      <c r="AJ67" s="40"/>
      <c r="AK67" s="44">
        <f t="shared" si="58"/>
        <v>40.3</v>
      </c>
      <c r="AL67" s="44">
        <f t="shared" si="58"/>
        <v>74.1</v>
      </c>
      <c r="AM67" s="40">
        <f t="shared" si="17"/>
        <v>183.8709677419355</v>
      </c>
      <c r="AN67" s="43"/>
      <c r="AO67" s="43"/>
      <c r="AP67" s="43"/>
      <c r="AQ67" s="43"/>
      <c r="AR67" s="43"/>
      <c r="AS67" s="43"/>
      <c r="AT67" s="76">
        <f t="shared" si="25"/>
        <v>136.5</v>
      </c>
      <c r="AU67" s="76">
        <f t="shared" si="25"/>
        <v>136.5</v>
      </c>
      <c r="AV67" s="40">
        <f t="shared" si="19"/>
        <v>100</v>
      </c>
      <c r="AW67" s="44">
        <f t="shared" si="24"/>
        <v>0</v>
      </c>
      <c r="AX67" s="45">
        <f t="shared" si="47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9"/>
        <v>0</v>
      </c>
      <c r="G68" s="43">
        <v>21.7</v>
      </c>
      <c r="H68" s="43">
        <v>42.9</v>
      </c>
      <c r="I68" s="41">
        <f t="shared" si="60"/>
        <v>197.69585253456222</v>
      </c>
      <c r="J68" s="43">
        <v>19.7</v>
      </c>
      <c r="K68" s="43">
        <v>20.6</v>
      </c>
      <c r="L68" s="40">
        <f t="shared" si="51"/>
        <v>104.56852791878173</v>
      </c>
      <c r="M68" s="44">
        <f t="shared" si="43"/>
        <v>63.5</v>
      </c>
      <c r="N68" s="44">
        <f t="shared" si="44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21"/>
        <v>97.77777777777777</v>
      </c>
      <c r="S68" s="43">
        <v>17.9</v>
      </c>
      <c r="T68" s="43">
        <v>1.1</v>
      </c>
      <c r="U68" s="40">
        <f t="shared" si="22"/>
        <v>6.145251396648046</v>
      </c>
      <c r="V68" s="43">
        <v>16.2</v>
      </c>
      <c r="W68" s="43"/>
      <c r="X68" s="40">
        <f t="shared" si="52"/>
        <v>0</v>
      </c>
      <c r="Y68" s="44">
        <f t="shared" si="45"/>
        <v>47.599999999999994</v>
      </c>
      <c r="Z68" s="44">
        <f t="shared" si="46"/>
        <v>14.299999999999999</v>
      </c>
      <c r="AA68" s="40">
        <f t="shared" si="12"/>
        <v>30.04201680672269</v>
      </c>
      <c r="AB68" s="43">
        <v>7.4</v>
      </c>
      <c r="AC68" s="43">
        <v>2.5</v>
      </c>
      <c r="AD68" s="40">
        <f t="shared" si="14"/>
        <v>33.78378378378378</v>
      </c>
      <c r="AE68" s="43">
        <v>10.7</v>
      </c>
      <c r="AF68" s="43">
        <v>48.8</v>
      </c>
      <c r="AG68" s="40">
        <f t="shared" si="15"/>
        <v>456.0747663551401</v>
      </c>
      <c r="AH68" s="43"/>
      <c r="AI68" s="43"/>
      <c r="AJ68" s="40"/>
      <c r="AK68" s="44">
        <f t="shared" si="58"/>
        <v>18.1</v>
      </c>
      <c r="AL68" s="44">
        <f t="shared" si="58"/>
        <v>51.3</v>
      </c>
      <c r="AM68" s="40">
        <f t="shared" si="17"/>
        <v>283.42541436464086</v>
      </c>
      <c r="AN68" s="43"/>
      <c r="AO68" s="43"/>
      <c r="AP68" s="43"/>
      <c r="AQ68" s="43"/>
      <c r="AR68" s="43"/>
      <c r="AS68" s="43"/>
      <c r="AT68" s="76">
        <f t="shared" si="25"/>
        <v>129.2</v>
      </c>
      <c r="AU68" s="76">
        <f t="shared" si="25"/>
        <v>129.1</v>
      </c>
      <c r="AV68" s="40">
        <f t="shared" si="19"/>
        <v>99.92260061919505</v>
      </c>
      <c r="AW68" s="44">
        <f t="shared" si="24"/>
        <v>0.09999999999999432</v>
      </c>
      <c r="AX68" s="45">
        <f t="shared" si="47"/>
        <v>0.09999999999999432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9"/>
        <v>27.419354838709676</v>
      </c>
      <c r="G69" s="43">
        <v>10.2</v>
      </c>
      <c r="H69" s="43">
        <v>11.5</v>
      </c>
      <c r="I69" s="41">
        <f t="shared" si="60"/>
        <v>112.74509803921569</v>
      </c>
      <c r="J69" s="43">
        <v>8.3</v>
      </c>
      <c r="K69" s="43">
        <v>10.4</v>
      </c>
      <c r="L69" s="40">
        <f t="shared" si="51"/>
        <v>125.30120481927712</v>
      </c>
      <c r="M69" s="44">
        <f t="shared" si="43"/>
        <v>24.7</v>
      </c>
      <c r="N69" s="44">
        <f t="shared" si="44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21"/>
        <v>153.7037037037037</v>
      </c>
      <c r="S69" s="43">
        <v>5.5</v>
      </c>
      <c r="T69" s="43">
        <v>5.4</v>
      </c>
      <c r="U69" s="40">
        <f t="shared" si="22"/>
        <v>98.18181818181819</v>
      </c>
      <c r="V69" s="43">
        <v>6.7</v>
      </c>
      <c r="W69" s="43">
        <v>5.5</v>
      </c>
      <c r="X69" s="40">
        <f t="shared" si="52"/>
        <v>82.08955223880596</v>
      </c>
      <c r="Y69" s="44">
        <f t="shared" si="45"/>
        <v>17.6</v>
      </c>
      <c r="Z69" s="44">
        <f t="shared" si="46"/>
        <v>19.200000000000003</v>
      </c>
      <c r="AA69" s="40">
        <f t="shared" si="12"/>
        <v>109.09090909090911</v>
      </c>
      <c r="AB69" s="43">
        <v>3.7</v>
      </c>
      <c r="AC69" s="43">
        <v>6.7</v>
      </c>
      <c r="AD69" s="40">
        <f t="shared" si="14"/>
        <v>181.08108108108107</v>
      </c>
      <c r="AE69" s="43">
        <v>4.7</v>
      </c>
      <c r="AF69" s="43">
        <v>3.7</v>
      </c>
      <c r="AG69" s="40">
        <f t="shared" si="15"/>
        <v>78.72340425531915</v>
      </c>
      <c r="AH69" s="43"/>
      <c r="AI69" s="43"/>
      <c r="AJ69" s="40"/>
      <c r="AK69" s="44">
        <f t="shared" si="58"/>
        <v>8.4</v>
      </c>
      <c r="AL69" s="44">
        <f t="shared" si="58"/>
        <v>10.4</v>
      </c>
      <c r="AM69" s="40">
        <f t="shared" si="17"/>
        <v>123.80952380952381</v>
      </c>
      <c r="AN69" s="43"/>
      <c r="AO69" s="43"/>
      <c r="AP69" s="43"/>
      <c r="AQ69" s="43"/>
      <c r="AR69" s="43"/>
      <c r="AS69" s="43"/>
      <c r="AT69" s="76">
        <f t="shared" si="25"/>
        <v>50.699999999999996</v>
      </c>
      <c r="AU69" s="76">
        <f t="shared" si="25"/>
        <v>53.2</v>
      </c>
      <c r="AV69" s="40">
        <f t="shared" si="19"/>
        <v>104.93096646942803</v>
      </c>
      <c r="AW69" s="44">
        <f t="shared" si="24"/>
        <v>-2.500000000000007</v>
      </c>
      <c r="AX69" s="45">
        <f t="shared" si="47"/>
        <v>4.699999999999996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>
        <v>5.4</v>
      </c>
      <c r="T70" s="43">
        <v>5.3</v>
      </c>
      <c r="U70" s="40">
        <f>T70/S70*100</f>
        <v>98.14814814814814</v>
      </c>
      <c r="V70" s="43">
        <v>5.2</v>
      </c>
      <c r="W70" s="43">
        <v>5.4</v>
      </c>
      <c r="X70" s="40">
        <f>W70/V70*100</f>
        <v>103.84615384615385</v>
      </c>
      <c r="Y70" s="44">
        <f>P70+S70+V70</f>
        <v>15.899999999999999</v>
      </c>
      <c r="Z70" s="44">
        <f>Q70+T70+W70</f>
        <v>17.5</v>
      </c>
      <c r="AA70" s="40">
        <f>Z70/Y70*100</f>
        <v>110.06289308176103</v>
      </c>
      <c r="AB70" s="43">
        <v>3.3</v>
      </c>
      <c r="AC70" s="43">
        <v>5.2</v>
      </c>
      <c r="AD70" s="40">
        <f t="shared" si="14"/>
        <v>157.5757575757576</v>
      </c>
      <c r="AE70" s="43">
        <v>4.5</v>
      </c>
      <c r="AF70" s="43">
        <v>3.3</v>
      </c>
      <c r="AG70" s="40">
        <f t="shared" si="15"/>
        <v>73.33333333333333</v>
      </c>
      <c r="AH70" s="43"/>
      <c r="AI70" s="43"/>
      <c r="AJ70" s="40"/>
      <c r="AK70" s="44">
        <f>AB70+AE70+AH70</f>
        <v>7.8</v>
      </c>
      <c r="AL70" s="44">
        <f>AC70+AF70+AI70</f>
        <v>8.5</v>
      </c>
      <c r="AM70" s="40">
        <f>AL70/AK70*100</f>
        <v>108.97435897435899</v>
      </c>
      <c r="AN70" s="43"/>
      <c r="AO70" s="43"/>
      <c r="AP70" s="43"/>
      <c r="AQ70" s="43"/>
      <c r="AR70" s="43"/>
      <c r="AS70" s="43"/>
      <c r="AT70" s="76">
        <f>M70+Y70+AK70+AN70+AP70+AR70</f>
        <v>43.199999999999996</v>
      </c>
      <c r="AU70" s="76">
        <f>N70+Z70+AL70+AO70+AQ70+AS70</f>
        <v>38.7</v>
      </c>
      <c r="AV70" s="40">
        <f>AU70/AT70*100</f>
        <v>89.58333333333334</v>
      </c>
      <c r="AW70" s="44">
        <f>AT70-AU70</f>
        <v>4.499999999999993</v>
      </c>
      <c r="AX70" s="45">
        <f>C70+AT70-AU70</f>
        <v>5.999999999999993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9"/>
        <v>27.14521452145215</v>
      </c>
      <c r="G71" s="43">
        <v>129.6</v>
      </c>
      <c r="H71" s="43">
        <v>57.6</v>
      </c>
      <c r="I71" s="41">
        <f t="shared" si="60"/>
        <v>44.44444444444445</v>
      </c>
      <c r="J71" s="43">
        <v>119.4</v>
      </c>
      <c r="K71" s="43">
        <f>58.8+7.7</f>
        <v>66.5</v>
      </c>
      <c r="L71" s="40">
        <f t="shared" si="51"/>
        <v>55.69514237855946</v>
      </c>
      <c r="M71" s="44">
        <f t="shared" si="43"/>
        <v>370.2</v>
      </c>
      <c r="N71" s="44">
        <f t="shared" si="44"/>
        <v>157</v>
      </c>
      <c r="O71" s="40">
        <f t="shared" si="7"/>
        <v>42.40950837385197</v>
      </c>
      <c r="P71" s="43">
        <v>129.2</v>
      </c>
      <c r="Q71" s="43">
        <v>178.1</v>
      </c>
      <c r="R71" s="40">
        <f t="shared" si="21"/>
        <v>137.84829721362232</v>
      </c>
      <c r="S71" s="43">
        <v>115.9</v>
      </c>
      <c r="T71" s="43">
        <v>85.9</v>
      </c>
      <c r="U71" s="40">
        <f t="shared" si="22"/>
        <v>74.11561691113029</v>
      </c>
      <c r="V71" s="43">
        <f>96.8+5.6</f>
        <v>102.39999999999999</v>
      </c>
      <c r="W71" s="43">
        <v>55.1</v>
      </c>
      <c r="X71" s="40">
        <f t="shared" si="52"/>
        <v>53.808593750000014</v>
      </c>
      <c r="Y71" s="44">
        <f t="shared" si="45"/>
        <v>347.5</v>
      </c>
      <c r="Z71" s="44">
        <f t="shared" si="46"/>
        <v>319.1</v>
      </c>
      <c r="AA71" s="40">
        <f t="shared" si="12"/>
        <v>91.82733812949641</v>
      </c>
      <c r="AB71" s="43">
        <v>90.9</v>
      </c>
      <c r="AC71" s="43">
        <v>66.8</v>
      </c>
      <c r="AD71" s="40">
        <f t="shared" si="14"/>
        <v>73.48734873487348</v>
      </c>
      <c r="AE71" s="43">
        <v>89.2</v>
      </c>
      <c r="AF71" s="43">
        <v>82.4</v>
      </c>
      <c r="AG71" s="40">
        <f t="shared" si="15"/>
        <v>92.37668161434978</v>
      </c>
      <c r="AH71" s="43"/>
      <c r="AI71" s="43"/>
      <c r="AJ71" s="40"/>
      <c r="AK71" s="44">
        <f t="shared" si="58"/>
        <v>180.10000000000002</v>
      </c>
      <c r="AL71" s="44">
        <f t="shared" si="58"/>
        <v>149.2</v>
      </c>
      <c r="AM71" s="40">
        <f t="shared" si="17"/>
        <v>82.84286507495834</v>
      </c>
      <c r="AN71" s="43"/>
      <c r="AO71" s="43"/>
      <c r="AP71" s="43"/>
      <c r="AQ71" s="43"/>
      <c r="AR71" s="43"/>
      <c r="AS71" s="43"/>
      <c r="AT71" s="76">
        <f t="shared" si="25"/>
        <v>897.8000000000001</v>
      </c>
      <c r="AU71" s="76">
        <f t="shared" si="25"/>
        <v>625.3</v>
      </c>
      <c r="AV71" s="40">
        <f t="shared" si="19"/>
        <v>69.64802851414568</v>
      </c>
      <c r="AW71" s="44">
        <f t="shared" si="24"/>
        <v>272.5000000000001</v>
      </c>
      <c r="AX71" s="45">
        <f t="shared" si="47"/>
        <v>289.10000000000014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60"/>
        <v>50.51758768089819</v>
      </c>
      <c r="J72" s="61">
        <f>SUM(J73:J73)</f>
        <v>3415.6</v>
      </c>
      <c r="K72" s="61">
        <f>SUM(K73:K73)</f>
        <v>4928.1</v>
      </c>
      <c r="L72" s="40">
        <f t="shared" si="51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21"/>
        <v>101.64073965365424</v>
      </c>
      <c r="S72" s="61">
        <f>SUM(S73:S73)</f>
        <v>3479.3</v>
      </c>
      <c r="T72" s="61">
        <f>SUM(T73:T73)</f>
        <v>3542</v>
      </c>
      <c r="U72" s="40">
        <f t="shared" si="22"/>
        <v>101.8020866266203</v>
      </c>
      <c r="V72" s="61">
        <f>SUM(V73:V73)</f>
        <v>3545.8</v>
      </c>
      <c r="W72" s="61">
        <f>SUM(W73:W73)</f>
        <v>3438.2</v>
      </c>
      <c r="X72" s="40">
        <f t="shared" si="52"/>
        <v>96.96542388177562</v>
      </c>
      <c r="Y72" s="61">
        <f>SUM(Y73:Y73)</f>
        <v>10432.1</v>
      </c>
      <c r="Z72" s="61">
        <f>SUM(Z73:Z73)</f>
        <v>10443.099999999999</v>
      </c>
      <c r="AA72" s="40">
        <f t="shared" si="12"/>
        <v>100.10544377450368</v>
      </c>
      <c r="AB72" s="61">
        <f>SUM(AB73:AB73)</f>
        <v>2620.1</v>
      </c>
      <c r="AC72" s="61">
        <f>SUM(AC73:AC73)</f>
        <v>3511.9</v>
      </c>
      <c r="AD72" s="40">
        <f>AC72/AB72*100</f>
        <v>134.0368688218007</v>
      </c>
      <c r="AE72" s="61">
        <f>SUM(AE73:AE73)</f>
        <v>2699.1</v>
      </c>
      <c r="AF72" s="61">
        <f>SUM(AF73:AF73)</f>
        <v>2585</v>
      </c>
      <c r="AG72" s="40">
        <f>AF72/AE72*100</f>
        <v>95.77266496239487</v>
      </c>
      <c r="AH72" s="61">
        <f>SUM(AH73:AH73)</f>
        <v>0</v>
      </c>
      <c r="AI72" s="61">
        <f>SUM(AI73:AI73)</f>
        <v>0</v>
      </c>
      <c r="AJ72" s="40" t="e">
        <f t="shared" si="16"/>
        <v>#DIV/0!</v>
      </c>
      <c r="AK72" s="61">
        <f>SUM(AK73:AK73)</f>
        <v>5319.2</v>
      </c>
      <c r="AL72" s="61">
        <f>SUM(AL73:AL73)</f>
        <v>6096.9</v>
      </c>
      <c r="AM72" s="40">
        <f t="shared" si="17"/>
        <v>114.62061964205144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26240.4</v>
      </c>
      <c r="AU72" s="39">
        <f t="shared" si="25"/>
        <v>24593.199999999997</v>
      </c>
      <c r="AV72" s="40">
        <f t="shared" si="19"/>
        <v>93.72265666681908</v>
      </c>
      <c r="AW72" s="61">
        <f>AW73</f>
        <v>1647.2000000000044</v>
      </c>
      <c r="AX72" s="61">
        <f>AX73</f>
        <v>2195.5000000000036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51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21"/>
        <v>101.64073965365424</v>
      </c>
      <c r="S73" s="43">
        <f>1737.9+1741.4</f>
        <v>3479.3</v>
      </c>
      <c r="T73" s="43">
        <f>1789.8+1752.2</f>
        <v>3542</v>
      </c>
      <c r="U73" s="40">
        <f t="shared" si="22"/>
        <v>101.8020866266203</v>
      </c>
      <c r="V73" s="43">
        <f>1748.5+1797.3</f>
        <v>3545.8</v>
      </c>
      <c r="W73" s="43">
        <f>1742.1+1696.1</f>
        <v>3438.2</v>
      </c>
      <c r="X73" s="40">
        <f>W73/V73*100</f>
        <v>96.96542388177562</v>
      </c>
      <c r="Y73" s="44">
        <f>P73+S73+V73</f>
        <v>10432.1</v>
      </c>
      <c r="Z73" s="44">
        <f>Q73+T73+W73</f>
        <v>10443.099999999999</v>
      </c>
      <c r="AA73" s="40">
        <f t="shared" si="12"/>
        <v>100.10544377450368</v>
      </c>
      <c r="AB73" s="43">
        <f>1409.5+1210.6</f>
        <v>2620.1</v>
      </c>
      <c r="AC73" s="43">
        <f>1715.9+1796</f>
        <v>3511.9</v>
      </c>
      <c r="AD73" s="40">
        <f>AC73/AB73*100</f>
        <v>134.0368688218007</v>
      </c>
      <c r="AE73" s="43">
        <f>1456.1+1243</f>
        <v>2699.1</v>
      </c>
      <c r="AF73" s="43">
        <f>1421.8+1163.2</f>
        <v>2585</v>
      </c>
      <c r="AG73" s="40">
        <f>AF73/AE73*100</f>
        <v>95.77266496239487</v>
      </c>
      <c r="AH73" s="43"/>
      <c r="AI73" s="43"/>
      <c r="AJ73" s="40"/>
      <c r="AK73" s="44">
        <f>AB73+AE73+AH73</f>
        <v>5319.2</v>
      </c>
      <c r="AL73" s="44">
        <f>AC73+AF73+AI73</f>
        <v>6096.9</v>
      </c>
      <c r="AM73" s="40">
        <f t="shared" si="17"/>
        <v>114.62061964205144</v>
      </c>
      <c r="AN73" s="43"/>
      <c r="AO73" s="43"/>
      <c r="AP73" s="43"/>
      <c r="AQ73" s="43"/>
      <c r="AR73" s="43"/>
      <c r="AS73" s="43"/>
      <c r="AT73" s="76">
        <f t="shared" si="25"/>
        <v>26240.4</v>
      </c>
      <c r="AU73" s="76">
        <f t="shared" si="25"/>
        <v>24593.199999999997</v>
      </c>
      <c r="AV73" s="40">
        <f t="shared" si="19"/>
        <v>93.72265666681908</v>
      </c>
      <c r="AW73" s="44">
        <f t="shared" si="24"/>
        <v>1647.2000000000044</v>
      </c>
      <c r="AX73" s="45">
        <f>C73+AT73-AU73</f>
        <v>2195.5000000000036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551.8000000000001</v>
      </c>
      <c r="D74" s="61">
        <f>D72+D7</f>
        <v>5169.099999999999</v>
      </c>
      <c r="E74" s="61">
        <f>E72+E7</f>
        <v>1350.9999999999998</v>
      </c>
      <c r="F74" s="41">
        <f>E74/D74*100</f>
        <v>26.136077847207446</v>
      </c>
      <c r="G74" s="61">
        <f>G72+G7</f>
        <v>6935.299999999999</v>
      </c>
      <c r="H74" s="61">
        <f>H72+H7</f>
        <v>4522.200000000002</v>
      </c>
      <c r="I74" s="41">
        <f>H74/G74*100</f>
        <v>65.20554265857284</v>
      </c>
      <c r="J74" s="61">
        <f>J72+J7</f>
        <v>6192.9</v>
      </c>
      <c r="K74" s="61">
        <f>K72+K7</f>
        <v>8205.100000000002</v>
      </c>
      <c r="L74" s="40">
        <f t="shared" si="51"/>
        <v>132.49204734453977</v>
      </c>
      <c r="M74" s="61">
        <f>M72+M7</f>
        <v>18297.300000000003</v>
      </c>
      <c r="N74" s="61">
        <f>N72+N7</f>
        <v>14078.300000000003</v>
      </c>
      <c r="O74" s="40">
        <f t="shared" si="7"/>
        <v>76.94195318434961</v>
      </c>
      <c r="P74" s="61">
        <f>P72+P7</f>
        <v>6332.899999999997</v>
      </c>
      <c r="Q74" s="61">
        <f>Q72+Q7</f>
        <v>6609.9000000000015</v>
      </c>
      <c r="R74" s="40">
        <f t="shared" si="21"/>
        <v>104.3739834830805</v>
      </c>
      <c r="S74" s="61">
        <f>S72+S7</f>
        <v>6064.4000000000015</v>
      </c>
      <c r="T74" s="61">
        <f>T72+T7</f>
        <v>6170.199999999998</v>
      </c>
      <c r="U74" s="40">
        <f t="shared" si="22"/>
        <v>101.74460787546991</v>
      </c>
      <c r="V74" s="61">
        <f>V72+V7</f>
        <v>6379.799999999999</v>
      </c>
      <c r="W74" s="61">
        <f>W72+W7</f>
        <v>5911.700000000002</v>
      </c>
      <c r="X74" s="40">
        <f>W74/V74*100</f>
        <v>92.66277939747332</v>
      </c>
      <c r="Y74" s="61">
        <f>Y72+Y7</f>
        <v>18777.100000000002</v>
      </c>
      <c r="Z74" s="61">
        <f>Z72+Z7</f>
        <v>18691.8</v>
      </c>
      <c r="AA74" s="40">
        <f>Z74/Y74*100</f>
        <v>99.54572324799888</v>
      </c>
      <c r="AB74" s="61">
        <f>AB72+AB7</f>
        <v>5121.399999999998</v>
      </c>
      <c r="AC74" s="61">
        <f>AC72+AC7</f>
        <v>6217.800000000001</v>
      </c>
      <c r="AD74" s="40">
        <f>AC74/AB74*100</f>
        <v>121.4082086929356</v>
      </c>
      <c r="AE74" s="61">
        <f>AE72+AE7</f>
        <v>5098.0999999999985</v>
      </c>
      <c r="AF74" s="61">
        <f>AF72+AF7</f>
        <v>4997.9</v>
      </c>
      <c r="AG74" s="40">
        <f>AF74/AE74*100</f>
        <v>98.03456189560819</v>
      </c>
      <c r="AH74" s="61">
        <f>AH72+AH7</f>
        <v>0</v>
      </c>
      <c r="AI74" s="61">
        <f>AI72+AI7</f>
        <v>0</v>
      </c>
      <c r="AJ74" s="40" t="e">
        <f t="shared" si="16"/>
        <v>#DIV/0!</v>
      </c>
      <c r="AK74" s="61">
        <f>AK72+AK7</f>
        <v>10219.499999999996</v>
      </c>
      <c r="AL74" s="61">
        <f>AL72+AL7</f>
        <v>11215.700000000003</v>
      </c>
      <c r="AM74" s="40">
        <f>AL74/AK74*100</f>
        <v>109.74803072557373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5"/>
        <v>47293.90000000001</v>
      </c>
      <c r="AU74" s="39">
        <f t="shared" si="25"/>
        <v>43985.80000000001</v>
      </c>
      <c r="AV74" s="40">
        <f>AU74/AT74*100</f>
        <v>93.00522900416334</v>
      </c>
      <c r="AW74" s="61">
        <f>AW72+AW7</f>
        <v>3308.100000000005</v>
      </c>
      <c r="AX74" s="61">
        <f>AX72+AX7</f>
        <v>3859.900000000004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I1:AX1"/>
    <mergeCell ref="B2:AX3"/>
    <mergeCell ref="D5:F5"/>
    <mergeCell ref="V5:X5"/>
    <mergeCell ref="AR5:AS5"/>
    <mergeCell ref="P5:R5"/>
    <mergeCell ref="B4:F4"/>
    <mergeCell ref="AE5:AG5"/>
    <mergeCell ref="AT5:AV5"/>
    <mergeCell ref="G5:I5"/>
    <mergeCell ref="AH5:AJ5"/>
    <mergeCell ref="AX5:AX6"/>
    <mergeCell ref="AB5:AD5"/>
    <mergeCell ref="AP5:AQ5"/>
    <mergeCell ref="J5:L5"/>
    <mergeCell ref="AN5:AO5"/>
    <mergeCell ref="M5:O5"/>
    <mergeCell ref="S5:U5"/>
    <mergeCell ref="Y5:AA5"/>
    <mergeCell ref="AW5:AW6"/>
    <mergeCell ref="AK5:AM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4" sqref="AB1:AD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177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263.4999999999999</v>
      </c>
      <c r="R7" s="40">
        <f>Q7/P7*100</f>
        <v>108.88429752066106</v>
      </c>
      <c r="S7" s="40">
        <f t="shared" si="0"/>
        <v>275.99999999999994</v>
      </c>
      <c r="T7" s="40">
        <f t="shared" si="0"/>
        <v>209.90000000000003</v>
      </c>
      <c r="U7" s="40">
        <f>T7/S7*100</f>
        <v>76.05072463768118</v>
      </c>
      <c r="V7" s="40">
        <f t="shared" si="0"/>
        <v>270.4000000000002</v>
      </c>
      <c r="W7" s="40">
        <f t="shared" si="0"/>
        <v>334.8000000000002</v>
      </c>
      <c r="X7" s="40">
        <f>W7/V7*100</f>
        <v>123.81656804733726</v>
      </c>
      <c r="Y7" s="40">
        <f t="shared" si="0"/>
        <v>788.4</v>
      </c>
      <c r="Z7" s="40">
        <f t="shared" si="0"/>
        <v>808.1999999999999</v>
      </c>
      <c r="AA7" s="40">
        <f>Z7/Y7*100</f>
        <v>102.51141552511416</v>
      </c>
      <c r="AB7" s="40">
        <f t="shared" si="0"/>
        <v>297.90000000000015</v>
      </c>
      <c r="AC7" s="40">
        <f t="shared" si="0"/>
        <v>263.70000000000005</v>
      </c>
      <c r="AD7" s="40">
        <f>AC7/AB7*100</f>
        <v>88.51963746223562</v>
      </c>
      <c r="AE7" s="40">
        <f t="shared" si="0"/>
        <v>232.49999999999991</v>
      </c>
      <c r="AF7" s="40">
        <f t="shared" si="0"/>
        <v>266.50000000000017</v>
      </c>
      <c r="AG7" s="40">
        <f>AF7/AE7*100</f>
        <v>114.62365591397861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530.4000000000001</v>
      </c>
      <c r="AL7" s="40">
        <f t="shared" si="0"/>
        <v>530.2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2107.2000000000007</v>
      </c>
      <c r="AU7" s="39">
        <f t="shared" si="2"/>
        <v>1932.9999999999998</v>
      </c>
      <c r="AV7" s="40">
        <f>AU7/AT7*100</f>
        <v>91.73310554290049</v>
      </c>
      <c r="AW7" s="40">
        <f t="shared" si="0"/>
        <v>174.2</v>
      </c>
      <c r="AX7" s="40">
        <f t="shared" si="0"/>
        <v>152.49999999999997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9.9</v>
      </c>
      <c r="T8" s="57">
        <f t="shared" si="8"/>
        <v>9</v>
      </c>
      <c r="U8" s="57" t="e">
        <f t="shared" si="8"/>
        <v>#DIV/0!</v>
      </c>
      <c r="V8" s="57">
        <f t="shared" si="8"/>
        <v>7.8</v>
      </c>
      <c r="W8" s="57">
        <f t="shared" si="8"/>
        <v>9.8</v>
      </c>
      <c r="X8" s="40">
        <f aca="true" t="shared" si="9" ref="X8:X24">W8/V8*100</f>
        <v>125.64102564102566</v>
      </c>
      <c r="Y8" s="40">
        <f aca="true" t="shared" si="10" ref="Y8:Y39">P8+S8+V8</f>
        <v>27.1</v>
      </c>
      <c r="Z8" s="40">
        <f aca="true" t="shared" si="11" ref="Z8:Z39">Q8+T8+W8</f>
        <v>27.900000000000002</v>
      </c>
      <c r="AA8" s="40">
        <f aca="true" t="shared" si="12" ref="AA8:AA73">Z8/Y8*100</f>
        <v>102.95202952029521</v>
      </c>
      <c r="AB8" s="57">
        <f aca="true" t="shared" si="13" ref="AB8:AI8">SUM(AB9:AB13)</f>
        <v>12.4</v>
      </c>
      <c r="AC8" s="57">
        <f t="shared" si="13"/>
        <v>7.8</v>
      </c>
      <c r="AD8" s="40">
        <f aca="true" t="shared" si="14" ref="AD8:AD71">AC8/AB8*100</f>
        <v>62.903225806451616</v>
      </c>
      <c r="AE8" s="57">
        <f t="shared" si="13"/>
        <v>17.1</v>
      </c>
      <c r="AF8" s="57">
        <f t="shared" si="13"/>
        <v>12.4</v>
      </c>
      <c r="AG8" s="40">
        <f aca="true" t="shared" si="15" ref="AG8:AG71">AF8/AE8*100</f>
        <v>72.51461988304094</v>
      </c>
      <c r="AH8" s="57">
        <f t="shared" si="13"/>
        <v>0</v>
      </c>
      <c r="AI8" s="57">
        <f t="shared" si="13"/>
        <v>0</v>
      </c>
      <c r="AJ8" s="40" t="e">
        <f aca="true" t="shared" si="16" ref="AJ8:AJ74">AI8/AH8*100</f>
        <v>#DIV/0!</v>
      </c>
      <c r="AK8" s="40">
        <f>AB8+AE8+AH8</f>
        <v>29.5</v>
      </c>
      <c r="AL8" s="40">
        <f>AC8+AF8+AI8</f>
        <v>20.2</v>
      </c>
      <c r="AM8" s="40">
        <f aca="true" t="shared" si="17" ref="AM8:AM73">AL8/AK8*100</f>
        <v>68.47457627118644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86.6</v>
      </c>
      <c r="AU8" s="39">
        <f t="shared" si="2"/>
        <v>59.3</v>
      </c>
      <c r="AV8" s="40">
        <f aca="true" t="shared" si="19" ref="AV8:AV73">AU8/AT8*100</f>
        <v>68.47575057736721</v>
      </c>
      <c r="AW8" s="40">
        <f>AT8-AU8</f>
        <v>27.299999999999997</v>
      </c>
      <c r="AX8" s="61">
        <f aca="true" t="shared" si="20" ref="AX8:AX39">C8+AT8-AU8</f>
        <v>12.599999999999994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21" ref="R9:R74">Q9/P9*100</f>
        <v>96.80851063829786</v>
      </c>
      <c r="S9" s="73">
        <v>9.9</v>
      </c>
      <c r="T9" s="73">
        <v>9</v>
      </c>
      <c r="U9" s="38">
        <f aca="true" t="shared" si="22" ref="U9:U74">T9/S9*100</f>
        <v>90.9090909090909</v>
      </c>
      <c r="V9" s="73">
        <v>7.8</v>
      </c>
      <c r="W9" s="73">
        <v>9.8</v>
      </c>
      <c r="X9" s="38">
        <f t="shared" si="9"/>
        <v>125.64102564102566</v>
      </c>
      <c r="Y9" s="75">
        <f t="shared" si="10"/>
        <v>27.1</v>
      </c>
      <c r="Z9" s="75">
        <f t="shared" si="11"/>
        <v>27.900000000000002</v>
      </c>
      <c r="AA9" s="38">
        <f t="shared" si="12"/>
        <v>102.95202952029521</v>
      </c>
      <c r="AB9" s="73">
        <v>12.4</v>
      </c>
      <c r="AC9" s="73">
        <v>7.8</v>
      </c>
      <c r="AD9" s="40">
        <f t="shared" si="14"/>
        <v>62.903225806451616</v>
      </c>
      <c r="AE9" s="73">
        <v>17.1</v>
      </c>
      <c r="AF9" s="73">
        <v>12.4</v>
      </c>
      <c r="AG9" s="40">
        <f t="shared" si="15"/>
        <v>72.51461988304094</v>
      </c>
      <c r="AH9" s="73"/>
      <c r="AI9" s="73"/>
      <c r="AJ9" s="38" t="e">
        <f t="shared" si="16"/>
        <v>#DIV/0!</v>
      </c>
      <c r="AK9" s="75">
        <f aca="true" t="shared" si="23" ref="AK9:AL62">AB9+AE9+AH9</f>
        <v>29.5</v>
      </c>
      <c r="AL9" s="75">
        <f t="shared" si="23"/>
        <v>20.2</v>
      </c>
      <c r="AM9" s="38">
        <f t="shared" si="17"/>
        <v>68.47457627118644</v>
      </c>
      <c r="AN9" s="73"/>
      <c r="AO9" s="73"/>
      <c r="AP9" s="73"/>
      <c r="AQ9" s="73"/>
      <c r="AR9" s="73"/>
      <c r="AS9" s="73"/>
      <c r="AT9" s="76">
        <f t="shared" si="2"/>
        <v>86.6</v>
      </c>
      <c r="AU9" s="76">
        <f t="shared" si="2"/>
        <v>59.3</v>
      </c>
      <c r="AV9" s="38">
        <f t="shared" si="19"/>
        <v>68.47575057736721</v>
      </c>
      <c r="AW9" s="75">
        <f aca="true" t="shared" si="24" ref="AW9:AW73">AT9-AU9</f>
        <v>27.299999999999997</v>
      </c>
      <c r="AX9" s="77">
        <f t="shared" si="20"/>
        <v>12.599999999999994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21"/>
        <v>#DIV/0!</v>
      </c>
      <c r="S10" s="43"/>
      <c r="T10" s="43"/>
      <c r="U10" s="46" t="e">
        <f t="shared" si="22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 t="e">
        <f t="shared" si="14"/>
        <v>#DIV/0!</v>
      </c>
      <c r="AE10" s="43"/>
      <c r="AF10" s="43"/>
      <c r="AG10" s="40" t="e">
        <f t="shared" si="15"/>
        <v>#DIV/0!</v>
      </c>
      <c r="AH10" s="43"/>
      <c r="AI10" s="43"/>
      <c r="AJ10" s="40" t="e">
        <f t="shared" si="16"/>
        <v>#DIV/0!</v>
      </c>
      <c r="AK10" s="44">
        <f t="shared" si="23"/>
        <v>0</v>
      </c>
      <c r="AL10" s="44">
        <f t="shared" si="23"/>
        <v>0</v>
      </c>
      <c r="AM10" s="40" t="e">
        <f t="shared" si="17"/>
        <v>#DIV/0!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0</v>
      </c>
      <c r="AU10" s="76">
        <f t="shared" si="25"/>
        <v>0</v>
      </c>
      <c r="AV10" s="46" t="e">
        <f>AU10/AT10*100</f>
        <v>#DIV/0!</v>
      </c>
      <c r="AW10" s="44">
        <f>AT10-AU10</f>
        <v>0</v>
      </c>
      <c r="AX10" s="45">
        <f t="shared" si="20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1"/>
        <v>#DIV/0!</v>
      </c>
      <c r="S11" s="43"/>
      <c r="T11" s="43"/>
      <c r="U11" s="40" t="e">
        <f t="shared" si="22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 t="e">
        <f t="shared" si="15"/>
        <v>#DIV/0!</v>
      </c>
      <c r="AH11" s="43"/>
      <c r="AI11" s="43"/>
      <c r="AJ11" s="40" t="e">
        <f t="shared" si="16"/>
        <v>#DIV/0!</v>
      </c>
      <c r="AK11" s="44">
        <f t="shared" si="23"/>
        <v>0</v>
      </c>
      <c r="AL11" s="44">
        <f t="shared" si="23"/>
        <v>0</v>
      </c>
      <c r="AM11" s="40" t="e">
        <f t="shared" si="17"/>
        <v>#DIV/0!</v>
      </c>
      <c r="AN11" s="43"/>
      <c r="AO11" s="43"/>
      <c r="AP11" s="43"/>
      <c r="AQ11" s="43"/>
      <c r="AR11" s="43"/>
      <c r="AS11" s="43"/>
      <c r="AT11" s="76">
        <f t="shared" si="25"/>
        <v>0</v>
      </c>
      <c r="AU11" s="76">
        <f t="shared" si="25"/>
        <v>0</v>
      </c>
      <c r="AV11" s="46" t="e">
        <f t="shared" si="19"/>
        <v>#DIV/0!</v>
      </c>
      <c r="AW11" s="44">
        <f t="shared" si="24"/>
        <v>0</v>
      </c>
      <c r="AX11" s="45">
        <f t="shared" si="20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21"/>
        <v>#DIV/0!</v>
      </c>
      <c r="S12" s="43"/>
      <c r="T12" s="43"/>
      <c r="U12" s="40" t="e">
        <f t="shared" si="22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 t="e">
        <f t="shared" si="14"/>
        <v>#DIV/0!</v>
      </c>
      <c r="AE12" s="43"/>
      <c r="AF12" s="43"/>
      <c r="AG12" s="40" t="e">
        <f t="shared" si="15"/>
        <v>#DIV/0!</v>
      </c>
      <c r="AH12" s="43"/>
      <c r="AI12" s="43"/>
      <c r="AJ12" s="40" t="e">
        <f t="shared" si="16"/>
        <v>#DIV/0!</v>
      </c>
      <c r="AK12" s="44">
        <f t="shared" si="23"/>
        <v>0</v>
      </c>
      <c r="AL12" s="44">
        <f t="shared" si="23"/>
        <v>0</v>
      </c>
      <c r="AM12" s="40" t="e">
        <f t="shared" si="17"/>
        <v>#DIV/0!</v>
      </c>
      <c r="AN12" s="43"/>
      <c r="AO12" s="43"/>
      <c r="AP12" s="43"/>
      <c r="AQ12" s="43"/>
      <c r="AR12" s="43"/>
      <c r="AS12" s="43"/>
      <c r="AT12" s="76">
        <f t="shared" si="25"/>
        <v>0</v>
      </c>
      <c r="AU12" s="76">
        <f t="shared" si="25"/>
        <v>0</v>
      </c>
      <c r="AV12" s="46" t="e">
        <f t="shared" si="19"/>
        <v>#DIV/0!</v>
      </c>
      <c r="AW12" s="44">
        <f t="shared" si="24"/>
        <v>0</v>
      </c>
      <c r="AX12" s="45">
        <f t="shared" si="20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21"/>
        <v>#DIV/0!</v>
      </c>
      <c r="S13" s="43"/>
      <c r="T13" s="43"/>
      <c r="U13" s="40" t="e">
        <f t="shared" si="22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 t="e">
        <f t="shared" si="14"/>
        <v>#DIV/0!</v>
      </c>
      <c r="AE13" s="43"/>
      <c r="AF13" s="43"/>
      <c r="AG13" s="40" t="e">
        <f t="shared" si="15"/>
        <v>#DIV/0!</v>
      </c>
      <c r="AH13" s="43"/>
      <c r="AI13" s="43"/>
      <c r="AJ13" s="40" t="e">
        <f t="shared" si="16"/>
        <v>#DIV/0!</v>
      </c>
      <c r="AK13" s="44">
        <f t="shared" si="23"/>
        <v>0</v>
      </c>
      <c r="AL13" s="44">
        <f t="shared" si="23"/>
        <v>0</v>
      </c>
      <c r="AM13" s="40" t="e">
        <f t="shared" si="17"/>
        <v>#DIV/0!</v>
      </c>
      <c r="AN13" s="43"/>
      <c r="AO13" s="43"/>
      <c r="AP13" s="43"/>
      <c r="AQ13" s="43"/>
      <c r="AR13" s="43"/>
      <c r="AS13" s="43"/>
      <c r="AT13" s="76">
        <f t="shared" si="25"/>
        <v>0</v>
      </c>
      <c r="AU13" s="76">
        <f t="shared" si="25"/>
        <v>0</v>
      </c>
      <c r="AV13" s="46" t="e">
        <f t="shared" si="19"/>
        <v>#DIV/0!</v>
      </c>
      <c r="AW13" s="44">
        <f t="shared" si="24"/>
        <v>0</v>
      </c>
      <c r="AX13" s="45">
        <f t="shared" si="20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6" ref="P14:W14">SUM(P15:P22)</f>
        <v>61.7</v>
      </c>
      <c r="Q14" s="57">
        <f t="shared" si="26"/>
        <v>16.299999999999997</v>
      </c>
      <c r="R14" s="57" t="e">
        <f t="shared" si="26"/>
        <v>#DIV/0!</v>
      </c>
      <c r="S14" s="57">
        <f t="shared" si="26"/>
        <v>59.699999999999996</v>
      </c>
      <c r="T14" s="57">
        <f t="shared" si="26"/>
        <v>24.4</v>
      </c>
      <c r="U14" s="57" t="e">
        <f t="shared" si="26"/>
        <v>#DIV/0!</v>
      </c>
      <c r="V14" s="57">
        <f t="shared" si="26"/>
        <v>30.1</v>
      </c>
      <c r="W14" s="57">
        <f t="shared" si="26"/>
        <v>104.7</v>
      </c>
      <c r="X14" s="40">
        <f t="shared" si="9"/>
        <v>347.8405315614618</v>
      </c>
      <c r="Y14" s="40">
        <f t="shared" si="10"/>
        <v>151.5</v>
      </c>
      <c r="Z14" s="40">
        <f t="shared" si="11"/>
        <v>145.4</v>
      </c>
      <c r="AA14" s="40">
        <f t="shared" si="12"/>
        <v>95.97359735973598</v>
      </c>
      <c r="AB14" s="57">
        <f aca="true" t="shared" si="27" ref="AB14:AI14">SUM(AB15:AB22)</f>
        <v>27.4</v>
      </c>
      <c r="AC14" s="57">
        <f t="shared" si="27"/>
        <v>29.8</v>
      </c>
      <c r="AD14" s="40">
        <f t="shared" si="14"/>
        <v>108.75912408759125</v>
      </c>
      <c r="AE14" s="57">
        <f t="shared" si="27"/>
        <v>15.6</v>
      </c>
      <c r="AF14" s="57">
        <f t="shared" si="27"/>
        <v>24.2</v>
      </c>
      <c r="AG14" s="40">
        <f t="shared" si="15"/>
        <v>155.12820512820514</v>
      </c>
      <c r="AH14" s="57">
        <f t="shared" si="27"/>
        <v>0</v>
      </c>
      <c r="AI14" s="57">
        <f t="shared" si="27"/>
        <v>0</v>
      </c>
      <c r="AJ14" s="40" t="e">
        <f t="shared" si="16"/>
        <v>#DIV/0!</v>
      </c>
      <c r="AK14" s="40">
        <f t="shared" si="23"/>
        <v>43</v>
      </c>
      <c r="AL14" s="40">
        <f t="shared" si="23"/>
        <v>54</v>
      </c>
      <c r="AM14" s="40">
        <f t="shared" si="17"/>
        <v>125.5813953488372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361.3</v>
      </c>
      <c r="AU14" s="39">
        <f t="shared" si="25"/>
        <v>343.5</v>
      </c>
      <c r="AV14" s="40">
        <f t="shared" si="19"/>
        <v>95.07334624965402</v>
      </c>
      <c r="AW14" s="40">
        <f t="shared" si="24"/>
        <v>17.80000000000001</v>
      </c>
      <c r="AX14" s="61">
        <f t="shared" si="20"/>
        <v>13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21"/>
        <v>14.42687747035573</v>
      </c>
      <c r="S15" s="43">
        <v>49.8</v>
      </c>
      <c r="T15" s="43">
        <v>4.6</v>
      </c>
      <c r="U15" s="40">
        <f t="shared" si="22"/>
        <v>9.236947791164658</v>
      </c>
      <c r="V15" s="43">
        <v>13.3</v>
      </c>
      <c r="W15" s="43">
        <v>95.8</v>
      </c>
      <c r="X15" s="40">
        <f t="shared" si="9"/>
        <v>720.3007518796992</v>
      </c>
      <c r="Y15" s="44">
        <f t="shared" si="10"/>
        <v>113.7</v>
      </c>
      <c r="Z15" s="44">
        <f t="shared" si="11"/>
        <v>107.69999999999999</v>
      </c>
      <c r="AA15" s="40">
        <f t="shared" si="12"/>
        <v>94.72295514511873</v>
      </c>
      <c r="AB15" s="43">
        <v>7.8</v>
      </c>
      <c r="AC15" s="43">
        <v>14.3</v>
      </c>
      <c r="AD15" s="40">
        <f t="shared" si="14"/>
        <v>183.33333333333334</v>
      </c>
      <c r="AE15" s="43">
        <v>8.1</v>
      </c>
      <c r="AF15" s="43">
        <v>6.6</v>
      </c>
      <c r="AG15" s="40">
        <f t="shared" si="15"/>
        <v>81.48148148148148</v>
      </c>
      <c r="AH15" s="43"/>
      <c r="AI15" s="43"/>
      <c r="AJ15" s="40" t="e">
        <f t="shared" si="16"/>
        <v>#DIV/0!</v>
      </c>
      <c r="AK15" s="44">
        <f t="shared" si="23"/>
        <v>15.899999999999999</v>
      </c>
      <c r="AL15" s="44">
        <f t="shared" si="23"/>
        <v>20.9</v>
      </c>
      <c r="AM15" s="40">
        <f t="shared" si="17"/>
        <v>131.44654088050314</v>
      </c>
      <c r="AN15" s="43"/>
      <c r="AO15" s="43"/>
      <c r="AP15" s="43"/>
      <c r="AQ15" s="43"/>
      <c r="AR15" s="43"/>
      <c r="AS15" s="43"/>
      <c r="AT15" s="76">
        <f t="shared" si="25"/>
        <v>250.1</v>
      </c>
      <c r="AU15" s="76">
        <f t="shared" si="25"/>
        <v>242</v>
      </c>
      <c r="AV15" s="40">
        <f t="shared" si="19"/>
        <v>96.76129548180728</v>
      </c>
      <c r="AW15" s="44">
        <f t="shared" si="24"/>
        <v>8.099999999999994</v>
      </c>
      <c r="AX15" s="45">
        <f t="shared" si="20"/>
        <v>7.400000000000006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21"/>
        <v>30</v>
      </c>
      <c r="S16" s="43">
        <v>0.5</v>
      </c>
      <c r="T16" s="43">
        <v>1</v>
      </c>
      <c r="U16" s="40">
        <f t="shared" si="22"/>
        <v>200</v>
      </c>
      <c r="V16" s="43">
        <v>0.9</v>
      </c>
      <c r="W16" s="43">
        <v>0.5</v>
      </c>
      <c r="X16" s="40">
        <f t="shared" si="9"/>
        <v>55.55555555555556</v>
      </c>
      <c r="Y16" s="44">
        <f t="shared" si="10"/>
        <v>2.4</v>
      </c>
      <c r="Z16" s="44">
        <f t="shared" si="11"/>
        <v>1.8</v>
      </c>
      <c r="AA16" s="40">
        <f t="shared" si="12"/>
        <v>75</v>
      </c>
      <c r="AB16" s="43">
        <v>0.1</v>
      </c>
      <c r="AC16" s="43">
        <v>0.8</v>
      </c>
      <c r="AD16" s="40">
        <f t="shared" si="14"/>
        <v>800</v>
      </c>
      <c r="AE16" s="43">
        <v>1</v>
      </c>
      <c r="AF16" s="43">
        <v>0.1</v>
      </c>
      <c r="AG16" s="40">
        <f t="shared" si="15"/>
        <v>10</v>
      </c>
      <c r="AH16" s="43"/>
      <c r="AI16" s="43"/>
      <c r="AJ16" s="40" t="e">
        <f t="shared" si="16"/>
        <v>#DIV/0!</v>
      </c>
      <c r="AK16" s="44">
        <f t="shared" si="23"/>
        <v>1.1</v>
      </c>
      <c r="AL16" s="44">
        <f t="shared" si="23"/>
        <v>0.9</v>
      </c>
      <c r="AM16" s="40">
        <f t="shared" si="17"/>
        <v>81.81818181818181</v>
      </c>
      <c r="AN16" s="43"/>
      <c r="AO16" s="43"/>
      <c r="AP16" s="43"/>
      <c r="AQ16" s="43"/>
      <c r="AR16" s="43"/>
      <c r="AS16" s="43"/>
      <c r="AT16" s="76">
        <f t="shared" si="25"/>
        <v>7.300000000000001</v>
      </c>
      <c r="AU16" s="76">
        <f t="shared" si="25"/>
        <v>6</v>
      </c>
      <c r="AV16" s="40">
        <f t="shared" si="19"/>
        <v>82.1917808219178</v>
      </c>
      <c r="AW16" s="44">
        <f t="shared" si="24"/>
        <v>1.3000000000000007</v>
      </c>
      <c r="AX16" s="45">
        <f t="shared" si="20"/>
        <v>1.1000000000000005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21"/>
        <v>#DIV/0!</v>
      </c>
      <c r="S17" s="43"/>
      <c r="T17" s="43"/>
      <c r="U17" s="40" t="e">
        <f t="shared" si="22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 t="e">
        <f t="shared" si="14"/>
        <v>#DIV/0!</v>
      </c>
      <c r="AE17" s="43"/>
      <c r="AF17" s="43"/>
      <c r="AG17" s="40" t="e">
        <f t="shared" si="15"/>
        <v>#DIV/0!</v>
      </c>
      <c r="AH17" s="43"/>
      <c r="AI17" s="43"/>
      <c r="AJ17" s="40" t="e">
        <f t="shared" si="16"/>
        <v>#DIV/0!</v>
      </c>
      <c r="AK17" s="44">
        <f t="shared" si="23"/>
        <v>0</v>
      </c>
      <c r="AL17" s="44">
        <f t="shared" si="23"/>
        <v>0</v>
      </c>
      <c r="AM17" s="40" t="e">
        <f t="shared" si="17"/>
        <v>#DIV/0!</v>
      </c>
      <c r="AN17" s="43"/>
      <c r="AO17" s="43"/>
      <c r="AP17" s="43"/>
      <c r="AQ17" s="43"/>
      <c r="AR17" s="43"/>
      <c r="AS17" s="43"/>
      <c r="AT17" s="76">
        <f t="shared" si="25"/>
        <v>0</v>
      </c>
      <c r="AU17" s="76">
        <f t="shared" si="25"/>
        <v>0</v>
      </c>
      <c r="AV17" s="46" t="e">
        <f t="shared" si="19"/>
        <v>#DIV/0!</v>
      </c>
      <c r="AW17" s="44">
        <f t="shared" si="24"/>
        <v>0</v>
      </c>
      <c r="AX17" s="45">
        <f t="shared" si="20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6" t="e">
        <f t="shared" si="19"/>
        <v>#DIV/0!</v>
      </c>
      <c r="AW18" s="44">
        <f t="shared" si="24"/>
        <v>0</v>
      </c>
      <c r="AX18" s="45">
        <f t="shared" si="20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21"/>
        <v>86.13861386138613</v>
      </c>
      <c r="S19" s="43">
        <v>9.4</v>
      </c>
      <c r="T19" s="43">
        <f>6.4+12.4</f>
        <v>18.8</v>
      </c>
      <c r="U19" s="40">
        <f t="shared" si="22"/>
        <v>200</v>
      </c>
      <c r="V19" s="43">
        <v>15.9</v>
      </c>
      <c r="W19" s="43">
        <v>8.4</v>
      </c>
      <c r="X19" s="48">
        <f t="shared" si="9"/>
        <v>52.83018867924528</v>
      </c>
      <c r="Y19" s="44">
        <f t="shared" si="10"/>
        <v>35.4</v>
      </c>
      <c r="Z19" s="44">
        <f t="shared" si="11"/>
        <v>35.9</v>
      </c>
      <c r="AA19" s="40">
        <f t="shared" si="12"/>
        <v>101.41242937853107</v>
      </c>
      <c r="AB19" s="43">
        <v>19.5</v>
      </c>
      <c r="AC19" s="43">
        <v>14.7</v>
      </c>
      <c r="AD19" s="40">
        <f t="shared" si="14"/>
        <v>75.38461538461539</v>
      </c>
      <c r="AE19" s="43">
        <v>6.5</v>
      </c>
      <c r="AF19" s="43">
        <v>17.5</v>
      </c>
      <c r="AG19" s="40">
        <f t="shared" si="15"/>
        <v>269.2307692307692</v>
      </c>
      <c r="AH19" s="43"/>
      <c r="AI19" s="43"/>
      <c r="AJ19" s="40" t="e">
        <f t="shared" si="16"/>
        <v>#DIV/0!</v>
      </c>
      <c r="AK19" s="44">
        <f t="shared" si="23"/>
        <v>26</v>
      </c>
      <c r="AL19" s="44">
        <f t="shared" si="23"/>
        <v>32.2</v>
      </c>
      <c r="AM19" s="40">
        <f t="shared" si="17"/>
        <v>123.84615384615385</v>
      </c>
      <c r="AN19" s="43"/>
      <c r="AO19" s="43"/>
      <c r="AP19" s="43"/>
      <c r="AQ19" s="43"/>
      <c r="AR19" s="43"/>
      <c r="AS19" s="43"/>
      <c r="AT19" s="76">
        <f t="shared" si="25"/>
        <v>103.9</v>
      </c>
      <c r="AU19" s="76">
        <f t="shared" si="25"/>
        <v>95.5</v>
      </c>
      <c r="AV19" s="40">
        <f t="shared" si="19"/>
        <v>91.91530317613089</v>
      </c>
      <c r="AW19" s="44">
        <f t="shared" si="24"/>
        <v>8.400000000000006</v>
      </c>
      <c r="AX19" s="45">
        <f t="shared" si="20"/>
        <v>4.5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116" t="e">
        <f t="shared" si="19"/>
        <v>#DIV/0!</v>
      </c>
      <c r="AW20" s="75">
        <f t="shared" si="24"/>
        <v>0</v>
      </c>
      <c r="AX20" s="77">
        <f t="shared" si="20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6" t="e">
        <f t="shared" si="19"/>
        <v>#DIV/0!</v>
      </c>
      <c r="AW21" s="44">
        <f t="shared" si="24"/>
        <v>0</v>
      </c>
      <c r="AX21" s="45">
        <f t="shared" si="20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0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</v>
      </c>
      <c r="AU22" s="76">
        <f t="shared" si="25"/>
        <v>0</v>
      </c>
      <c r="AV22" s="46" t="e">
        <f t="shared" si="19"/>
        <v>#DIV/0!</v>
      </c>
      <c r="AW22" s="44">
        <f t="shared" si="24"/>
        <v>0</v>
      </c>
      <c r="AX22" s="45">
        <f t="shared" si="20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9" ref="P23:W23">SUM(P24:P29)</f>
        <v>15.7</v>
      </c>
      <c r="Q23" s="57">
        <f t="shared" si="29"/>
        <v>18.5</v>
      </c>
      <c r="R23" s="57" t="e">
        <f t="shared" si="29"/>
        <v>#DIV/0!</v>
      </c>
      <c r="S23" s="57">
        <f t="shared" si="29"/>
        <v>6.7</v>
      </c>
      <c r="T23" s="57">
        <f t="shared" si="29"/>
        <v>8.6</v>
      </c>
      <c r="U23" s="57" t="e">
        <f t="shared" si="29"/>
        <v>#DIV/0!</v>
      </c>
      <c r="V23" s="57">
        <f t="shared" si="29"/>
        <v>5.5</v>
      </c>
      <c r="W23" s="57">
        <f t="shared" si="29"/>
        <v>3.3</v>
      </c>
      <c r="X23" s="54">
        <f t="shared" si="9"/>
        <v>60</v>
      </c>
      <c r="Y23" s="40">
        <f t="shared" si="10"/>
        <v>27.9</v>
      </c>
      <c r="Z23" s="40">
        <f t="shared" si="11"/>
        <v>30.400000000000002</v>
      </c>
      <c r="AA23" s="40">
        <f t="shared" si="12"/>
        <v>108.96057347670252</v>
      </c>
      <c r="AB23" s="57">
        <f aca="true" t="shared" si="30" ref="AB23:AI23">SUM(AB24:AB29)</f>
        <v>3.4</v>
      </c>
      <c r="AC23" s="57">
        <f t="shared" si="30"/>
        <v>5.9</v>
      </c>
      <c r="AD23" s="40">
        <f t="shared" si="14"/>
        <v>173.52941176470588</v>
      </c>
      <c r="AE23" s="57">
        <f t="shared" si="30"/>
        <v>4.8999999999999995</v>
      </c>
      <c r="AF23" s="57">
        <f t="shared" si="30"/>
        <v>3</v>
      </c>
      <c r="AG23" s="40">
        <f t="shared" si="15"/>
        <v>61.224489795918366</v>
      </c>
      <c r="AH23" s="57">
        <f t="shared" si="30"/>
        <v>0</v>
      </c>
      <c r="AI23" s="57">
        <f t="shared" si="30"/>
        <v>0</v>
      </c>
      <c r="AJ23" s="40" t="e">
        <f t="shared" si="16"/>
        <v>#DIV/0!</v>
      </c>
      <c r="AK23" s="40">
        <f t="shared" si="23"/>
        <v>8.299999999999999</v>
      </c>
      <c r="AL23" s="40">
        <f t="shared" si="23"/>
        <v>8.9</v>
      </c>
      <c r="AM23" s="40">
        <f t="shared" si="17"/>
        <v>107.22891566265062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79.89999999999999</v>
      </c>
      <c r="AU23" s="39">
        <f t="shared" si="25"/>
        <v>77.00000000000001</v>
      </c>
      <c r="AV23" s="40">
        <f t="shared" si="19"/>
        <v>96.37046307884859</v>
      </c>
      <c r="AW23" s="40">
        <f t="shared" si="24"/>
        <v>2.8999999999999773</v>
      </c>
      <c r="AX23" s="61">
        <f t="shared" si="20"/>
        <v>2.8999999999999773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21"/>
        <v>#DIV/0!</v>
      </c>
      <c r="S24" s="43"/>
      <c r="T24" s="43"/>
      <c r="U24" s="40" t="e">
        <f t="shared" si="22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 t="e">
        <f t="shared" si="14"/>
        <v>#DIV/0!</v>
      </c>
      <c r="AE24" s="43"/>
      <c r="AF24" s="43"/>
      <c r="AG24" s="40" t="e">
        <f t="shared" si="15"/>
        <v>#DIV/0!</v>
      </c>
      <c r="AH24" s="43"/>
      <c r="AI24" s="43"/>
      <c r="AJ24" s="40" t="e">
        <f t="shared" si="16"/>
        <v>#DIV/0!</v>
      </c>
      <c r="AK24" s="44">
        <f t="shared" si="23"/>
        <v>0</v>
      </c>
      <c r="AL24" s="44">
        <f t="shared" si="23"/>
        <v>0</v>
      </c>
      <c r="AM24" s="40" t="e">
        <f t="shared" si="17"/>
        <v>#DIV/0!</v>
      </c>
      <c r="AN24" s="43"/>
      <c r="AO24" s="43"/>
      <c r="AP24" s="43"/>
      <c r="AQ24" s="43"/>
      <c r="AR24" s="43"/>
      <c r="AS24" s="43"/>
      <c r="AT24" s="76">
        <f t="shared" si="25"/>
        <v>0</v>
      </c>
      <c r="AU24" s="76">
        <f t="shared" si="25"/>
        <v>0</v>
      </c>
      <c r="AV24" s="46" t="e">
        <f t="shared" si="19"/>
        <v>#DIV/0!</v>
      </c>
      <c r="AW24" s="44">
        <f t="shared" si="24"/>
        <v>0</v>
      </c>
      <c r="AX24" s="45">
        <f t="shared" si="20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21"/>
        <v>#DIV/0!</v>
      </c>
      <c r="S25" s="43"/>
      <c r="T25" s="43"/>
      <c r="U25" s="40" t="e">
        <f t="shared" si="22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 t="e">
        <f t="shared" si="14"/>
        <v>#DIV/0!</v>
      </c>
      <c r="AE25" s="43"/>
      <c r="AF25" s="43"/>
      <c r="AG25" s="40" t="e">
        <f t="shared" si="15"/>
        <v>#DIV/0!</v>
      </c>
      <c r="AH25" s="43"/>
      <c r="AI25" s="43"/>
      <c r="AJ25" s="40" t="e">
        <f t="shared" si="16"/>
        <v>#DIV/0!</v>
      </c>
      <c r="AK25" s="44">
        <f t="shared" si="23"/>
        <v>0</v>
      </c>
      <c r="AL25" s="44">
        <f t="shared" si="23"/>
        <v>0</v>
      </c>
      <c r="AM25" s="40" t="e">
        <f t="shared" si="17"/>
        <v>#DIV/0!</v>
      </c>
      <c r="AN25" s="43"/>
      <c r="AO25" s="43"/>
      <c r="AP25" s="43"/>
      <c r="AQ25" s="43"/>
      <c r="AR25" s="43"/>
      <c r="AS25" s="43"/>
      <c r="AT25" s="76">
        <f t="shared" si="25"/>
        <v>0</v>
      </c>
      <c r="AU25" s="76">
        <f t="shared" si="25"/>
        <v>0</v>
      </c>
      <c r="AV25" s="46" t="e">
        <f t="shared" si="19"/>
        <v>#DIV/0!</v>
      </c>
      <c r="AW25" s="44">
        <f t="shared" si="24"/>
        <v>0</v>
      </c>
      <c r="AX25" s="45">
        <f t="shared" si="20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21"/>
        <v>125</v>
      </c>
      <c r="S26" s="43">
        <v>3.2</v>
      </c>
      <c r="T26" s="43">
        <v>5.1</v>
      </c>
      <c r="U26" s="40">
        <f t="shared" si="22"/>
        <v>159.37499999999997</v>
      </c>
      <c r="V26" s="43">
        <v>3</v>
      </c>
      <c r="W26" s="43">
        <v>3.3</v>
      </c>
      <c r="X26" s="40">
        <f>W26/V26*100</f>
        <v>109.99999999999999</v>
      </c>
      <c r="Y26" s="44">
        <f t="shared" si="10"/>
        <v>17.4</v>
      </c>
      <c r="Z26" s="44">
        <f t="shared" si="11"/>
        <v>22.400000000000002</v>
      </c>
      <c r="AA26" s="40">
        <f t="shared" si="12"/>
        <v>128.73563218390808</v>
      </c>
      <c r="AB26" s="43">
        <v>3</v>
      </c>
      <c r="AC26" s="43">
        <v>3</v>
      </c>
      <c r="AD26" s="40">
        <f t="shared" si="14"/>
        <v>100</v>
      </c>
      <c r="AE26" s="43">
        <v>4.1</v>
      </c>
      <c r="AF26" s="43">
        <v>3</v>
      </c>
      <c r="AG26" s="40">
        <f t="shared" si="15"/>
        <v>73.17073170731709</v>
      </c>
      <c r="AH26" s="43"/>
      <c r="AI26" s="43"/>
      <c r="AJ26" s="40" t="e">
        <f t="shared" si="16"/>
        <v>#DIV/0!</v>
      </c>
      <c r="AK26" s="44">
        <f t="shared" si="23"/>
        <v>7.1</v>
      </c>
      <c r="AL26" s="44">
        <f t="shared" si="23"/>
        <v>6</v>
      </c>
      <c r="AM26" s="40">
        <f t="shared" si="17"/>
        <v>84.50704225352113</v>
      </c>
      <c r="AN26" s="43"/>
      <c r="AO26" s="43"/>
      <c r="AP26" s="43"/>
      <c r="AQ26" s="43"/>
      <c r="AR26" s="43"/>
      <c r="AS26" s="43"/>
      <c r="AT26" s="76">
        <f t="shared" si="25"/>
        <v>61.199999999999996</v>
      </c>
      <c r="AU26" s="76">
        <f t="shared" si="25"/>
        <v>59.1</v>
      </c>
      <c r="AV26" s="40">
        <f t="shared" si="19"/>
        <v>96.5686274509804</v>
      </c>
      <c r="AW26" s="44">
        <f t="shared" si="24"/>
        <v>2.0999999999999943</v>
      </c>
      <c r="AX26" s="45">
        <f t="shared" si="20"/>
        <v>2.0999999999999943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6" t="e">
        <f t="shared" si="19"/>
        <v>#DIV/0!</v>
      </c>
      <c r="AW27" s="44">
        <f t="shared" si="24"/>
        <v>0</v>
      </c>
      <c r="AX27" s="45">
        <f t="shared" si="20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21"/>
        <v>100</v>
      </c>
      <c r="S28" s="43">
        <v>3.5</v>
      </c>
      <c r="T28" s="55">
        <v>3.5</v>
      </c>
      <c r="U28" s="40">
        <f t="shared" si="22"/>
        <v>100</v>
      </c>
      <c r="V28" s="43">
        <v>2.5</v>
      </c>
      <c r="W28" s="55"/>
      <c r="X28" s="56">
        <f>W28/V28*100</f>
        <v>0</v>
      </c>
      <c r="Y28" s="44">
        <f t="shared" si="10"/>
        <v>10.5</v>
      </c>
      <c r="Z28" s="44">
        <f t="shared" si="11"/>
        <v>8</v>
      </c>
      <c r="AA28" s="40">
        <f t="shared" si="12"/>
        <v>76.19047619047619</v>
      </c>
      <c r="AB28" s="43">
        <v>0.4</v>
      </c>
      <c r="AC28" s="55">
        <v>2.9</v>
      </c>
      <c r="AD28" s="40">
        <f t="shared" si="14"/>
        <v>724.9999999999999</v>
      </c>
      <c r="AE28" s="43">
        <v>0.8</v>
      </c>
      <c r="AF28" s="55"/>
      <c r="AG28" s="40">
        <f t="shared" si="15"/>
        <v>0</v>
      </c>
      <c r="AH28" s="43"/>
      <c r="AI28" s="55"/>
      <c r="AJ28" s="40" t="e">
        <f t="shared" si="16"/>
        <v>#DIV/0!</v>
      </c>
      <c r="AK28" s="44">
        <f t="shared" si="23"/>
        <v>1.2000000000000002</v>
      </c>
      <c r="AL28" s="44">
        <f t="shared" si="23"/>
        <v>2.9</v>
      </c>
      <c r="AM28" s="40">
        <f t="shared" si="17"/>
        <v>241.6666666666666</v>
      </c>
      <c r="AN28" s="43"/>
      <c r="AO28" s="55"/>
      <c r="AP28" s="43"/>
      <c r="AQ28" s="55"/>
      <c r="AR28" s="43"/>
      <c r="AS28" s="55"/>
      <c r="AT28" s="76">
        <f t="shared" si="25"/>
        <v>18.7</v>
      </c>
      <c r="AU28" s="76">
        <f t="shared" si="25"/>
        <v>17.9</v>
      </c>
      <c r="AV28" s="40">
        <f t="shared" si="19"/>
        <v>95.72192513368984</v>
      </c>
      <c r="AW28" s="44">
        <f t="shared" si="24"/>
        <v>0.8000000000000007</v>
      </c>
      <c r="AX28" s="45">
        <f t="shared" si="20"/>
        <v>0.8000000000000007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6" t="e">
        <f t="shared" si="19"/>
        <v>#DIV/0!</v>
      </c>
      <c r="AW29" s="44">
        <f>AT29-AU29</f>
        <v>0</v>
      </c>
      <c r="AX29" s="45">
        <f t="shared" si="20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3" ref="P30:W30">SUM(P31:P38)</f>
        <v>74.5</v>
      </c>
      <c r="Q30" s="90">
        <f t="shared" si="33"/>
        <v>88</v>
      </c>
      <c r="R30" s="90" t="e">
        <f t="shared" si="33"/>
        <v>#DIV/0!</v>
      </c>
      <c r="S30" s="90">
        <f t="shared" si="33"/>
        <v>82</v>
      </c>
      <c r="T30" s="90">
        <f t="shared" si="33"/>
        <v>62.3</v>
      </c>
      <c r="U30" s="90" t="e">
        <f t="shared" si="33"/>
        <v>#DIV/0!</v>
      </c>
      <c r="V30" s="90">
        <f t="shared" si="33"/>
        <v>83.19999999999999</v>
      </c>
      <c r="W30" s="90">
        <f t="shared" si="33"/>
        <v>84.8</v>
      </c>
      <c r="X30" s="38">
        <f t="shared" si="32"/>
        <v>101.92307692307693</v>
      </c>
      <c r="Y30" s="38">
        <f t="shared" si="10"/>
        <v>239.7</v>
      </c>
      <c r="Z30" s="38">
        <f t="shared" si="11"/>
        <v>235.10000000000002</v>
      </c>
      <c r="AA30" s="38">
        <f t="shared" si="12"/>
        <v>98.08093450146018</v>
      </c>
      <c r="AB30" s="90">
        <f aca="true" t="shared" si="34" ref="AB30:AI30">SUM(AB31:AB38)</f>
        <v>99.5</v>
      </c>
      <c r="AC30" s="90">
        <f t="shared" si="34"/>
        <v>66.30000000000001</v>
      </c>
      <c r="AD30" s="40">
        <f t="shared" si="14"/>
        <v>66.63316582914574</v>
      </c>
      <c r="AE30" s="90">
        <f t="shared" si="34"/>
        <v>67.6</v>
      </c>
      <c r="AF30" s="90">
        <f t="shared" si="34"/>
        <v>77.6</v>
      </c>
      <c r="AG30" s="40">
        <f t="shared" si="15"/>
        <v>114.79289940828403</v>
      </c>
      <c r="AH30" s="90">
        <f t="shared" si="34"/>
        <v>0</v>
      </c>
      <c r="AI30" s="90">
        <f t="shared" si="34"/>
        <v>0</v>
      </c>
      <c r="AJ30" s="38" t="e">
        <f t="shared" si="16"/>
        <v>#DIV/0!</v>
      </c>
      <c r="AK30" s="38">
        <f aca="true" t="shared" si="35" ref="AK30:AL49">AB30+AE30+AH30</f>
        <v>167.1</v>
      </c>
      <c r="AL30" s="38">
        <f t="shared" si="35"/>
        <v>143.9</v>
      </c>
      <c r="AM30" s="38">
        <f t="shared" si="17"/>
        <v>86.11609814482347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613.4</v>
      </c>
      <c r="AU30" s="39">
        <f t="shared" si="25"/>
        <v>556</v>
      </c>
      <c r="AV30" s="38">
        <f t="shared" si="19"/>
        <v>90.64232148679491</v>
      </c>
      <c r="AW30" s="38">
        <f>AT30-AU30</f>
        <v>57.39999999999998</v>
      </c>
      <c r="AX30" s="37">
        <f t="shared" si="20"/>
        <v>57.60000000000002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21"/>
        <v>167.21311475409837</v>
      </c>
      <c r="S31" s="43">
        <v>15.4</v>
      </c>
      <c r="T31" s="43">
        <v>7.8</v>
      </c>
      <c r="U31" s="46">
        <f t="shared" si="22"/>
        <v>50.649350649350644</v>
      </c>
      <c r="V31" s="43">
        <v>14.1</v>
      </c>
      <c r="W31" s="43">
        <v>8.9</v>
      </c>
      <c r="X31" s="38">
        <f t="shared" si="32"/>
        <v>63.12056737588653</v>
      </c>
      <c r="Y31" s="44">
        <f t="shared" si="10"/>
        <v>41.7</v>
      </c>
      <c r="Z31" s="44">
        <f t="shared" si="11"/>
        <v>37.1</v>
      </c>
      <c r="AA31" s="40">
        <f t="shared" si="12"/>
        <v>88.96882494004797</v>
      </c>
      <c r="AB31" s="43">
        <v>13.3</v>
      </c>
      <c r="AC31" s="43">
        <v>7.3</v>
      </c>
      <c r="AD31" s="40">
        <f t="shared" si="14"/>
        <v>54.887218045112775</v>
      </c>
      <c r="AE31" s="43">
        <v>14.6</v>
      </c>
      <c r="AF31" s="43">
        <v>0.4</v>
      </c>
      <c r="AG31" s="40">
        <f t="shared" si="15"/>
        <v>2.7397260273972606</v>
      </c>
      <c r="AH31" s="43"/>
      <c r="AI31" s="43"/>
      <c r="AJ31" s="40" t="e">
        <f t="shared" si="16"/>
        <v>#DIV/0!</v>
      </c>
      <c r="AK31" s="44">
        <f t="shared" si="35"/>
        <v>27.9</v>
      </c>
      <c r="AL31" s="44">
        <f t="shared" si="35"/>
        <v>7.7</v>
      </c>
      <c r="AM31" s="40">
        <f t="shared" si="17"/>
        <v>27.598566308243726</v>
      </c>
      <c r="AN31" s="43"/>
      <c r="AO31" s="43"/>
      <c r="AP31" s="43"/>
      <c r="AQ31" s="43"/>
      <c r="AR31" s="43"/>
      <c r="AS31" s="43"/>
      <c r="AT31" s="76">
        <f t="shared" si="25"/>
        <v>96.70000000000002</v>
      </c>
      <c r="AU31" s="76">
        <f t="shared" si="25"/>
        <v>75</v>
      </c>
      <c r="AV31" s="46">
        <f>AU31/AT31*100</f>
        <v>77.55946225439502</v>
      </c>
      <c r="AW31" s="44">
        <f>AT31-AU31</f>
        <v>21.700000000000017</v>
      </c>
      <c r="AX31" s="45">
        <f t="shared" si="20"/>
        <v>21.700000000000017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7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21"/>
        <v>#DIV/0!</v>
      </c>
      <c r="S32" s="43"/>
      <c r="T32" s="43"/>
      <c r="U32" s="40" t="e">
        <f t="shared" si="22"/>
        <v>#DIV/0!</v>
      </c>
      <c r="V32" s="43"/>
      <c r="W32" s="43"/>
      <c r="X32" s="40" t="e">
        <f t="shared" si="32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 t="e">
        <f t="shared" si="15"/>
        <v>#DIV/0!</v>
      </c>
      <c r="AH32" s="43"/>
      <c r="AI32" s="43"/>
      <c r="AJ32" s="40" t="e">
        <f t="shared" si="16"/>
        <v>#DIV/0!</v>
      </c>
      <c r="AK32" s="44">
        <f t="shared" si="35"/>
        <v>0</v>
      </c>
      <c r="AL32" s="44">
        <f t="shared" si="35"/>
        <v>0</v>
      </c>
      <c r="AM32" s="40" t="e">
        <f t="shared" si="17"/>
        <v>#DIV/0!</v>
      </c>
      <c r="AN32" s="43"/>
      <c r="AO32" s="43"/>
      <c r="AP32" s="43"/>
      <c r="AQ32" s="43"/>
      <c r="AR32" s="43"/>
      <c r="AS32" s="43"/>
      <c r="AT32" s="76">
        <f t="shared" si="25"/>
        <v>0</v>
      </c>
      <c r="AU32" s="76">
        <f t="shared" si="25"/>
        <v>0</v>
      </c>
      <c r="AV32" s="46" t="e">
        <f aca="true" t="shared" si="38" ref="AV32:AV49">AU32/AT32*100</f>
        <v>#DIV/0!</v>
      </c>
      <c r="AW32" s="44">
        <f aca="true" t="shared" si="39" ref="AW32:AW49">AT32-AU32</f>
        <v>0</v>
      </c>
      <c r="AX32" s="45">
        <f t="shared" si="20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7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21"/>
        <v>#DIV/0!</v>
      </c>
      <c r="S33" s="43"/>
      <c r="T33" s="43"/>
      <c r="U33" s="40" t="e">
        <f t="shared" si="22"/>
        <v>#DIV/0!</v>
      </c>
      <c r="V33" s="43"/>
      <c r="W33" s="43"/>
      <c r="X33" s="48" t="e">
        <f t="shared" si="32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 t="e">
        <f t="shared" si="14"/>
        <v>#DIV/0!</v>
      </c>
      <c r="AE33" s="43"/>
      <c r="AF33" s="43"/>
      <c r="AG33" s="40" t="e">
        <f t="shared" si="15"/>
        <v>#DIV/0!</v>
      </c>
      <c r="AH33" s="43"/>
      <c r="AI33" s="43"/>
      <c r="AJ33" s="40" t="e">
        <f t="shared" si="16"/>
        <v>#DIV/0!</v>
      </c>
      <c r="AK33" s="44">
        <f t="shared" si="35"/>
        <v>0</v>
      </c>
      <c r="AL33" s="44">
        <f t="shared" si="35"/>
        <v>0</v>
      </c>
      <c r="AM33" s="40" t="e">
        <f t="shared" si="17"/>
        <v>#DIV/0!</v>
      </c>
      <c r="AN33" s="43"/>
      <c r="AO33" s="43"/>
      <c r="AP33" s="43"/>
      <c r="AQ33" s="43"/>
      <c r="AR33" s="43"/>
      <c r="AS33" s="43"/>
      <c r="AT33" s="76">
        <f t="shared" si="25"/>
        <v>0</v>
      </c>
      <c r="AU33" s="76">
        <f t="shared" si="25"/>
        <v>0</v>
      </c>
      <c r="AV33" s="46" t="e">
        <f t="shared" si="38"/>
        <v>#DIV/0!</v>
      </c>
      <c r="AW33" s="44">
        <f t="shared" si="39"/>
        <v>0</v>
      </c>
      <c r="AX33" s="45">
        <f t="shared" si="20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6" t="e">
        <f t="shared" si="38"/>
        <v>#DIV/0!</v>
      </c>
      <c r="AW34" s="44">
        <f t="shared" si="39"/>
        <v>0</v>
      </c>
      <c r="AX34" s="45">
        <f t="shared" si="20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7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21"/>
        <v>115.91591591591592</v>
      </c>
      <c r="S35" s="43">
        <v>25.2</v>
      </c>
      <c r="T35" s="43">
        <v>25.2</v>
      </c>
      <c r="U35" s="40">
        <f t="shared" si="22"/>
        <v>100</v>
      </c>
      <c r="V35" s="43">
        <v>29.8</v>
      </c>
      <c r="W35" s="43">
        <v>33.9</v>
      </c>
      <c r="X35" s="40">
        <f t="shared" si="32"/>
        <v>113.75838926174495</v>
      </c>
      <c r="Y35" s="44">
        <f t="shared" si="10"/>
        <v>88.3</v>
      </c>
      <c r="Z35" s="44">
        <f t="shared" si="11"/>
        <v>97.69999999999999</v>
      </c>
      <c r="AA35" s="40">
        <f t="shared" si="12"/>
        <v>110.64552661381653</v>
      </c>
      <c r="AB35" s="43">
        <v>48.7</v>
      </c>
      <c r="AC35" s="43">
        <v>21.3</v>
      </c>
      <c r="AD35" s="40">
        <f t="shared" si="14"/>
        <v>43.737166324435314</v>
      </c>
      <c r="AE35" s="43">
        <v>16.2</v>
      </c>
      <c r="AF35" s="43">
        <v>39.5</v>
      </c>
      <c r="AG35" s="40">
        <f t="shared" si="15"/>
        <v>243.82716049382717</v>
      </c>
      <c r="AH35" s="43"/>
      <c r="AI35" s="43"/>
      <c r="AJ35" s="40" t="e">
        <f t="shared" si="16"/>
        <v>#DIV/0!</v>
      </c>
      <c r="AK35" s="44">
        <f t="shared" si="35"/>
        <v>64.9</v>
      </c>
      <c r="AL35" s="44">
        <f t="shared" si="35"/>
        <v>60.8</v>
      </c>
      <c r="AM35" s="40">
        <f t="shared" si="17"/>
        <v>93.68258859784282</v>
      </c>
      <c r="AN35" s="43"/>
      <c r="AO35" s="43"/>
      <c r="AP35" s="43"/>
      <c r="AQ35" s="43"/>
      <c r="AR35" s="43"/>
      <c r="AS35" s="43"/>
      <c r="AT35" s="76">
        <f t="shared" si="25"/>
        <v>243.6</v>
      </c>
      <c r="AU35" s="76">
        <f t="shared" si="25"/>
        <v>243.8</v>
      </c>
      <c r="AV35" s="40">
        <f t="shared" si="38"/>
        <v>100.08210180623975</v>
      </c>
      <c r="AW35" s="44">
        <f t="shared" si="39"/>
        <v>-0.20000000000001705</v>
      </c>
      <c r="AX35" s="45">
        <f t="shared" si="20"/>
        <v>0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7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1"/>
        <v>#DIV/0!</v>
      </c>
      <c r="S36" s="43"/>
      <c r="T36" s="43"/>
      <c r="U36" s="40" t="e">
        <f t="shared" si="22"/>
        <v>#DIV/0!</v>
      </c>
      <c r="V36" s="43"/>
      <c r="W36" s="43"/>
      <c r="X36" s="40" t="e">
        <f t="shared" si="32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 t="e">
        <f t="shared" si="15"/>
        <v>#DIV/0!</v>
      </c>
      <c r="AH36" s="43"/>
      <c r="AI36" s="43"/>
      <c r="AJ36" s="40" t="e">
        <f t="shared" si="16"/>
        <v>#DIV/0!</v>
      </c>
      <c r="AK36" s="44">
        <f t="shared" si="35"/>
        <v>0</v>
      </c>
      <c r="AL36" s="44">
        <f t="shared" si="35"/>
        <v>0</v>
      </c>
      <c r="AM36" s="40" t="e">
        <f t="shared" si="17"/>
        <v>#DIV/0!</v>
      </c>
      <c r="AN36" s="43"/>
      <c r="AO36" s="43"/>
      <c r="AP36" s="43"/>
      <c r="AQ36" s="43"/>
      <c r="AR36" s="43"/>
      <c r="AS36" s="43"/>
      <c r="AT36" s="76">
        <f t="shared" si="25"/>
        <v>0</v>
      </c>
      <c r="AU36" s="76">
        <f t="shared" si="25"/>
        <v>0</v>
      </c>
      <c r="AV36" s="46" t="e">
        <f t="shared" si="38"/>
        <v>#DIV/0!</v>
      </c>
      <c r="AW36" s="44">
        <f t="shared" si="39"/>
        <v>0</v>
      </c>
      <c r="AX36" s="45">
        <f t="shared" si="20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7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1"/>
        <v>#DIV/0!</v>
      </c>
      <c r="S37" s="43"/>
      <c r="T37" s="43"/>
      <c r="U37" s="40" t="e">
        <f t="shared" si="22"/>
        <v>#DIV/0!</v>
      </c>
      <c r="V37" s="43"/>
      <c r="W37" s="43"/>
      <c r="X37" s="40" t="e">
        <f t="shared" si="32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0</v>
      </c>
      <c r="AU37" s="76">
        <f t="shared" si="25"/>
        <v>0</v>
      </c>
      <c r="AV37" s="46" t="e">
        <f t="shared" si="38"/>
        <v>#DIV/0!</v>
      </c>
      <c r="AW37" s="44">
        <f t="shared" si="39"/>
        <v>0</v>
      </c>
      <c r="AX37" s="45">
        <f t="shared" si="20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7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21"/>
        <v>100</v>
      </c>
      <c r="S38" s="43">
        <v>41.4</v>
      </c>
      <c r="T38" s="43">
        <v>29.3</v>
      </c>
      <c r="U38" s="40">
        <f t="shared" si="22"/>
        <v>70.77294685990339</v>
      </c>
      <c r="V38" s="43">
        <v>39.3</v>
      </c>
      <c r="W38" s="43">
        <v>42</v>
      </c>
      <c r="X38" s="40">
        <f t="shared" si="32"/>
        <v>106.87022900763358</v>
      </c>
      <c r="Y38" s="44">
        <f t="shared" si="10"/>
        <v>109.7</v>
      </c>
      <c r="Z38" s="44">
        <f t="shared" si="11"/>
        <v>100.3</v>
      </c>
      <c r="AA38" s="40">
        <f t="shared" si="12"/>
        <v>91.43117593436645</v>
      </c>
      <c r="AB38" s="43">
        <v>37.5</v>
      </c>
      <c r="AC38" s="43">
        <v>37.7</v>
      </c>
      <c r="AD38" s="40">
        <f t="shared" si="14"/>
        <v>100.53333333333335</v>
      </c>
      <c r="AE38" s="43">
        <v>36.8</v>
      </c>
      <c r="AF38" s="43">
        <v>37.7</v>
      </c>
      <c r="AG38" s="40">
        <f t="shared" si="15"/>
        <v>102.44565217391306</v>
      </c>
      <c r="AH38" s="43"/>
      <c r="AI38" s="43"/>
      <c r="AJ38" s="40" t="e">
        <f t="shared" si="16"/>
        <v>#DIV/0!</v>
      </c>
      <c r="AK38" s="44">
        <f t="shared" si="35"/>
        <v>74.3</v>
      </c>
      <c r="AL38" s="44">
        <f t="shared" si="35"/>
        <v>75.4</v>
      </c>
      <c r="AM38" s="40">
        <f t="shared" si="17"/>
        <v>101.48048452220728</v>
      </c>
      <c r="AN38" s="43"/>
      <c r="AO38" s="43"/>
      <c r="AP38" s="43"/>
      <c r="AQ38" s="43"/>
      <c r="AR38" s="43"/>
      <c r="AS38" s="43"/>
      <c r="AT38" s="76">
        <f t="shared" si="25"/>
        <v>273.1</v>
      </c>
      <c r="AU38" s="76">
        <f t="shared" si="25"/>
        <v>237.20000000000002</v>
      </c>
      <c r="AV38" s="40">
        <f t="shared" si="38"/>
        <v>86.85463200292934</v>
      </c>
      <c r="AW38" s="44">
        <f t="shared" si="39"/>
        <v>35.900000000000006</v>
      </c>
      <c r="AX38" s="45">
        <f t="shared" si="20"/>
        <v>35.900000000000006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7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40" ref="P39:W39">SUM(P40:P44)</f>
        <v>5.6</v>
      </c>
      <c r="Q39" s="57">
        <f t="shared" si="40"/>
        <v>14.4</v>
      </c>
      <c r="R39" s="57" t="e">
        <f t="shared" si="40"/>
        <v>#DIV/0!</v>
      </c>
      <c r="S39" s="57">
        <f t="shared" si="40"/>
        <v>15.2</v>
      </c>
      <c r="T39" s="57">
        <f t="shared" si="40"/>
        <v>4.5</v>
      </c>
      <c r="U39" s="57" t="e">
        <f t="shared" si="40"/>
        <v>#DIV/0!</v>
      </c>
      <c r="V39" s="57">
        <f t="shared" si="40"/>
        <v>19.2</v>
      </c>
      <c r="W39" s="57">
        <f t="shared" si="40"/>
        <v>15.2</v>
      </c>
      <c r="X39" s="40">
        <f t="shared" si="32"/>
        <v>79.16666666666666</v>
      </c>
      <c r="Y39" s="40">
        <f t="shared" si="10"/>
        <v>40</v>
      </c>
      <c r="Z39" s="40">
        <f t="shared" si="11"/>
        <v>34.099999999999994</v>
      </c>
      <c r="AA39" s="40">
        <f t="shared" si="12"/>
        <v>85.24999999999999</v>
      </c>
      <c r="AB39" s="57">
        <f aca="true" t="shared" si="41" ref="AB39:AI39">SUM(AB40:AB44)</f>
        <v>10.4</v>
      </c>
      <c r="AC39" s="57">
        <f t="shared" si="41"/>
        <v>19.2</v>
      </c>
      <c r="AD39" s="40">
        <f t="shared" si="14"/>
        <v>184.6153846153846</v>
      </c>
      <c r="AE39" s="57">
        <f t="shared" si="41"/>
        <v>2.8</v>
      </c>
      <c r="AF39" s="57">
        <f t="shared" si="41"/>
        <v>10.4</v>
      </c>
      <c r="AG39" s="40">
        <f t="shared" si="15"/>
        <v>371.4285714285715</v>
      </c>
      <c r="AH39" s="57">
        <f t="shared" si="41"/>
        <v>0</v>
      </c>
      <c r="AI39" s="57">
        <f t="shared" si="41"/>
        <v>0</v>
      </c>
      <c r="AJ39" s="40" t="e">
        <f t="shared" si="16"/>
        <v>#DIV/0!</v>
      </c>
      <c r="AK39" s="40">
        <f t="shared" si="35"/>
        <v>13.2</v>
      </c>
      <c r="AL39" s="40">
        <f t="shared" si="35"/>
        <v>29.6</v>
      </c>
      <c r="AM39" s="40">
        <f t="shared" si="17"/>
        <v>224.24242424242428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95.9</v>
      </c>
      <c r="AU39" s="39">
        <f t="shared" si="25"/>
        <v>93.1</v>
      </c>
      <c r="AV39" s="40">
        <f t="shared" si="38"/>
        <v>97.08029197080292</v>
      </c>
      <c r="AW39" s="40">
        <f t="shared" si="39"/>
        <v>2.8000000000000114</v>
      </c>
      <c r="AX39" s="61">
        <f t="shared" si="20"/>
        <v>1.4000000000000057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6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7"/>
        <v>#DIV/0!</v>
      </c>
      <c r="M41" s="75">
        <f t="shared" si="43"/>
        <v>0</v>
      </c>
      <c r="N41" s="75">
        <f t="shared" si="44"/>
        <v>0</v>
      </c>
      <c r="O41" s="38" t="e">
        <f t="shared" si="7"/>
        <v>#DIV/0!</v>
      </c>
      <c r="P41" s="73"/>
      <c r="Q41" s="73"/>
      <c r="R41" s="38" t="e">
        <f t="shared" si="21"/>
        <v>#DIV/0!</v>
      </c>
      <c r="S41" s="73"/>
      <c r="T41" s="73"/>
      <c r="U41" s="38" t="e">
        <f t="shared" si="22"/>
        <v>#DIV/0!</v>
      </c>
      <c r="V41" s="73"/>
      <c r="W41" s="73"/>
      <c r="X41" s="38" t="e">
        <f t="shared" si="32"/>
        <v>#DIV/0!</v>
      </c>
      <c r="Y41" s="75">
        <f t="shared" si="45"/>
        <v>0</v>
      </c>
      <c r="Z41" s="75">
        <f t="shared" si="46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40" t="e">
        <f t="shared" si="15"/>
        <v>#DIV/0!</v>
      </c>
      <c r="AH41" s="73"/>
      <c r="AI41" s="73"/>
      <c r="AJ41" s="38" t="e">
        <f t="shared" si="16"/>
        <v>#DIV/0!</v>
      </c>
      <c r="AK41" s="75">
        <f t="shared" si="35"/>
        <v>0</v>
      </c>
      <c r="AL41" s="75">
        <f t="shared" si="35"/>
        <v>0</v>
      </c>
      <c r="AM41" s="38" t="e">
        <f t="shared" si="17"/>
        <v>#DIV/0!</v>
      </c>
      <c r="AN41" s="73"/>
      <c r="AO41" s="73"/>
      <c r="AP41" s="73"/>
      <c r="AQ41" s="73"/>
      <c r="AR41" s="73"/>
      <c r="AS41" s="73"/>
      <c r="AT41" s="76">
        <f t="shared" si="25"/>
        <v>0</v>
      </c>
      <c r="AU41" s="76">
        <f t="shared" si="25"/>
        <v>0</v>
      </c>
      <c r="AV41" s="116" t="e">
        <f t="shared" si="38"/>
        <v>#DIV/0!</v>
      </c>
      <c r="AW41" s="75">
        <f t="shared" si="39"/>
        <v>0</v>
      </c>
      <c r="AX41" s="77">
        <f t="shared" si="47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7"/>
        <v>144.92753623188406</v>
      </c>
      <c r="M42" s="44">
        <f t="shared" si="43"/>
        <v>42.7</v>
      </c>
      <c r="N42" s="44">
        <f t="shared" si="44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21"/>
        <v>257.14285714285717</v>
      </c>
      <c r="S42" s="43">
        <f>15.2</f>
        <v>15.2</v>
      </c>
      <c r="T42" s="43">
        <f>4.5</f>
        <v>4.5</v>
      </c>
      <c r="U42" s="40">
        <f t="shared" si="22"/>
        <v>29.60526315789474</v>
      </c>
      <c r="V42" s="43">
        <v>19.2</v>
      </c>
      <c r="W42" s="43">
        <v>15.2</v>
      </c>
      <c r="X42" s="40">
        <f t="shared" si="32"/>
        <v>79.16666666666666</v>
      </c>
      <c r="Y42" s="44">
        <f t="shared" si="45"/>
        <v>40</v>
      </c>
      <c r="Z42" s="44">
        <f t="shared" si="46"/>
        <v>34.099999999999994</v>
      </c>
      <c r="AA42" s="40">
        <f t="shared" si="12"/>
        <v>85.24999999999999</v>
      </c>
      <c r="AB42" s="43">
        <f>10.4</f>
        <v>10.4</v>
      </c>
      <c r="AC42" s="43">
        <f>19.2</f>
        <v>19.2</v>
      </c>
      <c r="AD42" s="40">
        <f t="shared" si="14"/>
        <v>184.6153846153846</v>
      </c>
      <c r="AE42" s="43">
        <v>2.8</v>
      </c>
      <c r="AF42" s="43">
        <v>10.4</v>
      </c>
      <c r="AG42" s="40">
        <f t="shared" si="15"/>
        <v>371.4285714285715</v>
      </c>
      <c r="AH42" s="43"/>
      <c r="AI42" s="43"/>
      <c r="AJ42" s="40" t="e">
        <f t="shared" si="16"/>
        <v>#DIV/0!</v>
      </c>
      <c r="AK42" s="44">
        <f t="shared" si="35"/>
        <v>13.2</v>
      </c>
      <c r="AL42" s="44">
        <f t="shared" si="35"/>
        <v>29.6</v>
      </c>
      <c r="AM42" s="40">
        <f t="shared" si="17"/>
        <v>224.24242424242428</v>
      </c>
      <c r="AN42" s="43"/>
      <c r="AO42" s="43"/>
      <c r="AP42" s="43"/>
      <c r="AQ42" s="43"/>
      <c r="AR42" s="43"/>
      <c r="AS42" s="43"/>
      <c r="AT42" s="76">
        <f t="shared" si="25"/>
        <v>95.9</v>
      </c>
      <c r="AU42" s="76">
        <f t="shared" si="25"/>
        <v>93.1</v>
      </c>
      <c r="AV42" s="40">
        <f t="shared" si="38"/>
        <v>97.08029197080292</v>
      </c>
      <c r="AW42" s="44">
        <f t="shared" si="39"/>
        <v>2.8000000000000114</v>
      </c>
      <c r="AX42" s="45">
        <f t="shared" si="47"/>
        <v>1.4000000000000057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5"/>
        <v>0</v>
      </c>
      <c r="AL43" s="44">
        <f t="shared" si="35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6" t="e">
        <f t="shared" si="38"/>
        <v>#DIV/0!</v>
      </c>
      <c r="AW43" s="44">
        <f t="shared" si="39"/>
        <v>0</v>
      </c>
      <c r="AX43" s="45">
        <f t="shared" si="47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7"/>
        <v>#DIV/0!</v>
      </c>
      <c r="M44" s="44">
        <f t="shared" si="43"/>
        <v>0</v>
      </c>
      <c r="N44" s="44">
        <f t="shared" si="44"/>
        <v>0</v>
      </c>
      <c r="O44" s="40" t="e">
        <f t="shared" si="7"/>
        <v>#DIV/0!</v>
      </c>
      <c r="P44" s="43"/>
      <c r="Q44" s="43"/>
      <c r="R44" s="40" t="e">
        <f t="shared" si="21"/>
        <v>#DIV/0!</v>
      </c>
      <c r="S44" s="43"/>
      <c r="T44" s="43"/>
      <c r="U44" s="40" t="e">
        <f t="shared" si="22"/>
        <v>#DIV/0!</v>
      </c>
      <c r="V44" s="43"/>
      <c r="W44" s="43"/>
      <c r="X44" s="54" t="e">
        <f t="shared" si="32"/>
        <v>#DIV/0!</v>
      </c>
      <c r="Y44" s="44">
        <f t="shared" si="45"/>
        <v>0</v>
      </c>
      <c r="Z44" s="44">
        <f t="shared" si="46"/>
        <v>0</v>
      </c>
      <c r="AA44" s="40" t="e">
        <f t="shared" si="12"/>
        <v>#DIV/0!</v>
      </c>
      <c r="AB44" s="43"/>
      <c r="AC44" s="43"/>
      <c r="AD44" s="40" t="e">
        <f t="shared" si="14"/>
        <v>#DIV/0!</v>
      </c>
      <c r="AE44" s="43"/>
      <c r="AF44" s="43"/>
      <c r="AG44" s="40" t="e">
        <f t="shared" si="15"/>
        <v>#DIV/0!</v>
      </c>
      <c r="AH44" s="43"/>
      <c r="AI44" s="43"/>
      <c r="AJ44" s="40" t="e">
        <f t="shared" si="16"/>
        <v>#DIV/0!</v>
      </c>
      <c r="AK44" s="44">
        <f t="shared" si="35"/>
        <v>0</v>
      </c>
      <c r="AL44" s="44">
        <f t="shared" si="35"/>
        <v>0</v>
      </c>
      <c r="AM44" s="40" t="e">
        <f t="shared" si="17"/>
        <v>#DIV/0!</v>
      </c>
      <c r="AN44" s="43"/>
      <c r="AO44" s="43"/>
      <c r="AP44" s="43"/>
      <c r="AQ44" s="43"/>
      <c r="AR44" s="43"/>
      <c r="AS44" s="43"/>
      <c r="AT44" s="76">
        <f t="shared" si="25"/>
        <v>0</v>
      </c>
      <c r="AU44" s="76">
        <f t="shared" si="25"/>
        <v>0</v>
      </c>
      <c r="AV44" s="46" t="e">
        <f t="shared" si="38"/>
        <v>#DIV/0!</v>
      </c>
      <c r="AW44" s="44">
        <f t="shared" si="39"/>
        <v>0</v>
      </c>
      <c r="AX44" s="45">
        <f t="shared" si="47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7"/>
        <v>#DIV/0!</v>
      </c>
      <c r="M45" s="40">
        <f t="shared" si="43"/>
        <v>0</v>
      </c>
      <c r="N45" s="40">
        <f t="shared" si="44"/>
        <v>0</v>
      </c>
      <c r="O45" s="40" t="e">
        <f t="shared" si="7"/>
        <v>#DIV/0!</v>
      </c>
      <c r="P45" s="57">
        <f aca="true" t="shared" si="48" ref="P45:W45">SUM(P46:P50)</f>
        <v>0</v>
      </c>
      <c r="Q45" s="57">
        <f t="shared" si="48"/>
        <v>0</v>
      </c>
      <c r="R45" s="57" t="e">
        <f t="shared" si="48"/>
        <v>#DIV/0!</v>
      </c>
      <c r="S45" s="57">
        <f t="shared" si="48"/>
        <v>0</v>
      </c>
      <c r="T45" s="57">
        <f t="shared" si="48"/>
        <v>0</v>
      </c>
      <c r="U45" s="57" t="e">
        <f t="shared" si="48"/>
        <v>#DIV/0!</v>
      </c>
      <c r="V45" s="57">
        <f t="shared" si="48"/>
        <v>0</v>
      </c>
      <c r="W45" s="57">
        <f t="shared" si="48"/>
        <v>0</v>
      </c>
      <c r="X45" s="54" t="e">
        <f t="shared" si="32"/>
        <v>#DIV/0!</v>
      </c>
      <c r="Y45" s="40">
        <f t="shared" si="45"/>
        <v>0</v>
      </c>
      <c r="Z45" s="40">
        <f t="shared" si="46"/>
        <v>0</v>
      </c>
      <c r="AA45" s="40" t="e">
        <f t="shared" si="12"/>
        <v>#DIV/0!</v>
      </c>
      <c r="AB45" s="57">
        <f aca="true" t="shared" si="49" ref="AB45:AI45">SUM(AB46:AB50)</f>
        <v>0</v>
      </c>
      <c r="AC45" s="57">
        <f t="shared" si="49"/>
        <v>0</v>
      </c>
      <c r="AD45" s="40" t="e">
        <f t="shared" si="14"/>
        <v>#DIV/0!</v>
      </c>
      <c r="AE45" s="57">
        <f t="shared" si="49"/>
        <v>0</v>
      </c>
      <c r="AF45" s="57">
        <f t="shared" si="49"/>
        <v>0</v>
      </c>
      <c r="AG45" s="40" t="e">
        <f t="shared" si="15"/>
        <v>#DIV/0!</v>
      </c>
      <c r="AH45" s="57">
        <f t="shared" si="49"/>
        <v>0</v>
      </c>
      <c r="AI45" s="57">
        <f t="shared" si="49"/>
        <v>0</v>
      </c>
      <c r="AJ45" s="40" t="e">
        <f t="shared" si="16"/>
        <v>#DIV/0!</v>
      </c>
      <c r="AK45" s="40">
        <f t="shared" si="35"/>
        <v>0</v>
      </c>
      <c r="AL45" s="40">
        <f t="shared" si="35"/>
        <v>0</v>
      </c>
      <c r="AM45" s="40" t="e">
        <f t="shared" si="17"/>
        <v>#DIV/0!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0</v>
      </c>
      <c r="AU45" s="39">
        <f t="shared" si="25"/>
        <v>0</v>
      </c>
      <c r="AV45" s="46" t="e">
        <f t="shared" si="38"/>
        <v>#DIV/0!</v>
      </c>
      <c r="AW45" s="40">
        <f t="shared" si="39"/>
        <v>0</v>
      </c>
      <c r="AX45" s="61">
        <f t="shared" si="47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6" t="e">
        <f t="shared" si="38"/>
        <v>#DIV/0!</v>
      </c>
      <c r="AW46" s="44">
        <f t="shared" si="39"/>
        <v>0</v>
      </c>
      <c r="AX46" s="45">
        <f t="shared" si="47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3"/>
        <v>0</v>
      </c>
      <c r="N47" s="44">
        <f t="shared" si="44"/>
        <v>0</v>
      </c>
      <c r="O47" s="40" t="e">
        <f t="shared" si="7"/>
        <v>#DIV/0!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5"/>
        <v>0</v>
      </c>
      <c r="Z47" s="44">
        <f t="shared" si="46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0</v>
      </c>
      <c r="AU47" s="76">
        <f t="shared" si="25"/>
        <v>0</v>
      </c>
      <c r="AV47" s="46" t="e">
        <f t="shared" si="38"/>
        <v>#DIV/0!</v>
      </c>
      <c r="AW47" s="44">
        <f t="shared" si="39"/>
        <v>0</v>
      </c>
      <c r="AX47" s="45">
        <f t="shared" si="47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6" t="e">
        <f t="shared" si="38"/>
        <v>#DIV/0!</v>
      </c>
      <c r="AW48" s="44">
        <f t="shared" si="39"/>
        <v>0</v>
      </c>
      <c r="AX48" s="45">
        <f t="shared" si="47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3"/>
        <v>0</v>
      </c>
      <c r="N49" s="44">
        <f t="shared" si="44"/>
        <v>0</v>
      </c>
      <c r="O49" s="40" t="e">
        <f t="shared" si="7"/>
        <v>#DIV/0!</v>
      </c>
      <c r="P49" s="43"/>
      <c r="Q49" s="55"/>
      <c r="R49" s="40" t="e">
        <f t="shared" si="21"/>
        <v>#DIV/0!</v>
      </c>
      <c r="S49" s="43"/>
      <c r="T49" s="55"/>
      <c r="U49" s="40" t="e">
        <f t="shared" si="22"/>
        <v>#DIV/0!</v>
      </c>
      <c r="V49" s="43"/>
      <c r="W49" s="55"/>
      <c r="X49" s="56" t="e">
        <f>W49/V49*100</f>
        <v>#DIV/0!</v>
      </c>
      <c r="Y49" s="44">
        <f t="shared" si="45"/>
        <v>0</v>
      </c>
      <c r="Z49" s="44">
        <f t="shared" si="46"/>
        <v>0</v>
      </c>
      <c r="AA49" s="40" t="e">
        <f t="shared" si="12"/>
        <v>#DIV/0!</v>
      </c>
      <c r="AB49" s="43"/>
      <c r="AC49" s="55"/>
      <c r="AD49" s="40" t="e">
        <f t="shared" si="14"/>
        <v>#DIV/0!</v>
      </c>
      <c r="AE49" s="43"/>
      <c r="AF49" s="55"/>
      <c r="AG49" s="40" t="e">
        <f t="shared" si="15"/>
        <v>#DIV/0!</v>
      </c>
      <c r="AH49" s="43"/>
      <c r="AI49" s="55"/>
      <c r="AJ49" s="40" t="e">
        <f t="shared" si="16"/>
        <v>#DIV/0!</v>
      </c>
      <c r="AK49" s="44">
        <f t="shared" si="35"/>
        <v>0</v>
      </c>
      <c r="AL49" s="44">
        <f t="shared" si="35"/>
        <v>0</v>
      </c>
      <c r="AM49" s="40" t="e">
        <f t="shared" si="17"/>
        <v>#DIV/0!</v>
      </c>
      <c r="AN49" s="43"/>
      <c r="AO49" s="55"/>
      <c r="AP49" s="43"/>
      <c r="AQ49" s="55"/>
      <c r="AR49" s="43"/>
      <c r="AS49" s="55"/>
      <c r="AT49" s="76">
        <f t="shared" si="25"/>
        <v>0</v>
      </c>
      <c r="AU49" s="76">
        <f t="shared" si="25"/>
        <v>0</v>
      </c>
      <c r="AV49" s="46" t="e">
        <f t="shared" si="38"/>
        <v>#DIV/0!</v>
      </c>
      <c r="AW49" s="44">
        <f t="shared" si="39"/>
        <v>0</v>
      </c>
      <c r="AX49" s="45">
        <f t="shared" si="47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6" t="e">
        <f t="shared" si="19"/>
        <v>#DIV/0!</v>
      </c>
      <c r="AW50" s="44">
        <f t="shared" si="24"/>
        <v>0</v>
      </c>
      <c r="AX50" s="45">
        <f t="shared" si="47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51"/>
        <v>#DIV/0!</v>
      </c>
      <c r="M51" s="44">
        <f t="shared" si="43"/>
        <v>0</v>
      </c>
      <c r="N51" s="44">
        <f t="shared" si="44"/>
        <v>0</v>
      </c>
      <c r="O51" s="40" t="e">
        <f t="shared" si="7"/>
        <v>#DIV/0!</v>
      </c>
      <c r="P51" s="43"/>
      <c r="Q51" s="43"/>
      <c r="R51" s="40" t="e">
        <f t="shared" si="21"/>
        <v>#DIV/0!</v>
      </c>
      <c r="S51" s="43"/>
      <c r="T51" s="43"/>
      <c r="U51" s="40" t="e">
        <f t="shared" si="22"/>
        <v>#DIV/0!</v>
      </c>
      <c r="V51" s="43"/>
      <c r="W51" s="43"/>
      <c r="X51" s="48" t="e">
        <f t="shared" si="52"/>
        <v>#DIV/0!</v>
      </c>
      <c r="Y51" s="44">
        <f t="shared" si="45"/>
        <v>0</v>
      </c>
      <c r="Z51" s="44">
        <f t="shared" si="46"/>
        <v>0</v>
      </c>
      <c r="AA51" s="40" t="e">
        <f t="shared" si="12"/>
        <v>#DIV/0!</v>
      </c>
      <c r="AB51" s="43"/>
      <c r="AC51" s="43"/>
      <c r="AD51" s="40" t="e">
        <f t="shared" si="14"/>
        <v>#DIV/0!</v>
      </c>
      <c r="AE51" s="43"/>
      <c r="AF51" s="43"/>
      <c r="AG51" s="40" t="e">
        <f t="shared" si="15"/>
        <v>#DIV/0!</v>
      </c>
      <c r="AH51" s="43"/>
      <c r="AI51" s="43"/>
      <c r="AJ51" s="40" t="e">
        <f t="shared" si="16"/>
        <v>#DIV/0!</v>
      </c>
      <c r="AK51" s="44">
        <f t="shared" si="23"/>
        <v>0</v>
      </c>
      <c r="AL51" s="44">
        <f t="shared" si="23"/>
        <v>0</v>
      </c>
      <c r="AM51" s="40" t="e">
        <f t="shared" si="17"/>
        <v>#DIV/0!</v>
      </c>
      <c r="AN51" s="43"/>
      <c r="AO51" s="43"/>
      <c r="AP51" s="43"/>
      <c r="AQ51" s="43"/>
      <c r="AR51" s="43"/>
      <c r="AS51" s="43"/>
      <c r="AT51" s="76">
        <f t="shared" si="25"/>
        <v>0</v>
      </c>
      <c r="AU51" s="76">
        <f t="shared" si="25"/>
        <v>0</v>
      </c>
      <c r="AV51" s="46" t="e">
        <f t="shared" si="19"/>
        <v>#DIV/0!</v>
      </c>
      <c r="AW51" s="44">
        <f t="shared" si="24"/>
        <v>0</v>
      </c>
      <c r="AX51" s="45">
        <f t="shared" si="47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3"/>
        <v>0</v>
      </c>
      <c r="N52" s="44">
        <f t="shared" si="44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5"/>
        <v>0</v>
      </c>
      <c r="Z52" s="44">
        <f t="shared" si="46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57">
        <f>SUM(AJ53:AJ54)</f>
        <v>0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6" t="e">
        <f t="shared" si="19"/>
        <v>#DIV/0!</v>
      </c>
      <c r="AW52" s="44">
        <f t="shared" si="24"/>
        <v>0</v>
      </c>
      <c r="AX52" s="45">
        <f t="shared" si="47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2"/>
        <v>#DIV/0!</v>
      </c>
      <c r="Y53" s="44">
        <f t="shared" si="45"/>
        <v>0</v>
      </c>
      <c r="Z53" s="44">
        <f t="shared" si="46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 t="e">
        <f t="shared" si="15"/>
        <v>#DIV/0!</v>
      </c>
      <c r="AH53" s="43"/>
      <c r="AI53" s="43"/>
      <c r="AJ53" s="40"/>
      <c r="AK53" s="44">
        <f t="shared" si="23"/>
        <v>0</v>
      </c>
      <c r="AL53" s="44">
        <f t="shared" si="23"/>
        <v>0</v>
      </c>
      <c r="AM53" s="40" t="e">
        <f t="shared" si="17"/>
        <v>#DIV/0!</v>
      </c>
      <c r="AN53" s="43"/>
      <c r="AO53" s="43"/>
      <c r="AP53" s="43"/>
      <c r="AQ53" s="43"/>
      <c r="AR53" s="43"/>
      <c r="AS53" s="43"/>
      <c r="AT53" s="76">
        <f t="shared" si="25"/>
        <v>0</v>
      </c>
      <c r="AU53" s="76">
        <f t="shared" si="25"/>
        <v>0</v>
      </c>
      <c r="AV53" s="46" t="e">
        <f t="shared" si="19"/>
        <v>#DIV/0!</v>
      </c>
      <c r="AW53" s="44">
        <f t="shared" si="24"/>
        <v>0</v>
      </c>
      <c r="AX53" s="45">
        <f t="shared" si="47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3"/>
        <v>#DIV/0!</v>
      </c>
      <c r="G54" s="55">
        <v>20</v>
      </c>
      <c r="H54" s="43">
        <v>20</v>
      </c>
      <c r="I54" s="41">
        <f t="shared" si="54"/>
        <v>100</v>
      </c>
      <c r="J54" s="43"/>
      <c r="K54" s="43"/>
      <c r="L54" s="40" t="e">
        <f t="shared" si="51"/>
        <v>#DIV/0!</v>
      </c>
      <c r="M54" s="44">
        <f t="shared" si="43"/>
        <v>20</v>
      </c>
      <c r="N54" s="44">
        <f t="shared" si="44"/>
        <v>20</v>
      </c>
      <c r="O54" s="40">
        <f t="shared" si="7"/>
        <v>100</v>
      </c>
      <c r="P54" s="43"/>
      <c r="Q54" s="43"/>
      <c r="R54" s="40" t="e">
        <f t="shared" si="21"/>
        <v>#DIV/0!</v>
      </c>
      <c r="S54" s="43">
        <v>9.9</v>
      </c>
      <c r="T54" s="43">
        <v>9.9</v>
      </c>
      <c r="U54" s="40">
        <f t="shared" si="22"/>
        <v>100</v>
      </c>
      <c r="V54" s="43">
        <v>10</v>
      </c>
      <c r="W54" s="43">
        <v>10</v>
      </c>
      <c r="X54" s="40">
        <f t="shared" si="52"/>
        <v>100</v>
      </c>
      <c r="Y54" s="44">
        <f t="shared" si="45"/>
        <v>19.9</v>
      </c>
      <c r="Z54" s="44">
        <f t="shared" si="46"/>
        <v>19.9</v>
      </c>
      <c r="AA54" s="40">
        <f t="shared" si="12"/>
        <v>100</v>
      </c>
      <c r="AB54" s="43">
        <v>57.6</v>
      </c>
      <c r="AC54" s="43">
        <v>57.6</v>
      </c>
      <c r="AD54" s="40">
        <f t="shared" si="14"/>
        <v>100</v>
      </c>
      <c r="AE54" s="43">
        <v>57.6</v>
      </c>
      <c r="AF54" s="43">
        <v>57.6</v>
      </c>
      <c r="AG54" s="40">
        <f t="shared" si="15"/>
        <v>100</v>
      </c>
      <c r="AH54" s="43"/>
      <c r="AI54" s="43"/>
      <c r="AJ54" s="40"/>
      <c r="AK54" s="44">
        <f t="shared" si="23"/>
        <v>115.2</v>
      </c>
      <c r="AL54" s="44">
        <f t="shared" si="23"/>
        <v>115.2</v>
      </c>
      <c r="AM54" s="40">
        <f>AL54/AK54*100</f>
        <v>100</v>
      </c>
      <c r="AN54" s="43"/>
      <c r="AO54" s="43"/>
      <c r="AP54" s="43"/>
      <c r="AQ54" s="43"/>
      <c r="AR54" s="43"/>
      <c r="AS54" s="43"/>
      <c r="AT54" s="76">
        <f t="shared" si="25"/>
        <v>155.1</v>
      </c>
      <c r="AU54" s="76">
        <f t="shared" si="25"/>
        <v>155.1</v>
      </c>
      <c r="AV54" s="40">
        <f t="shared" si="19"/>
        <v>100</v>
      </c>
      <c r="AW54" s="44">
        <f t="shared" si="24"/>
        <v>0</v>
      </c>
      <c r="AX54" s="45">
        <f t="shared" si="47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3"/>
        <v>#DIV/0!</v>
      </c>
      <c r="G55" s="60"/>
      <c r="H55" s="60"/>
      <c r="I55" s="41" t="e">
        <f t="shared" si="54"/>
        <v>#DIV/0!</v>
      </c>
      <c r="J55" s="43"/>
      <c r="K55" s="43"/>
      <c r="L55" s="40" t="e">
        <f t="shared" si="51"/>
        <v>#DIV/0!</v>
      </c>
      <c r="M55" s="44">
        <f t="shared" si="43"/>
        <v>0</v>
      </c>
      <c r="N55" s="44">
        <f t="shared" si="44"/>
        <v>0</v>
      </c>
      <c r="O55" s="40" t="e">
        <f t="shared" si="7"/>
        <v>#DIV/0!</v>
      </c>
      <c r="P55" s="43"/>
      <c r="Q55" s="43"/>
      <c r="R55" s="40" t="e">
        <f t="shared" si="21"/>
        <v>#DIV/0!</v>
      </c>
      <c r="S55" s="43"/>
      <c r="T55" s="43"/>
      <c r="U55" s="40" t="e">
        <f t="shared" si="22"/>
        <v>#DIV/0!</v>
      </c>
      <c r="V55" s="43"/>
      <c r="W55" s="43"/>
      <c r="X55" s="40" t="e">
        <f t="shared" si="52"/>
        <v>#DIV/0!</v>
      </c>
      <c r="Y55" s="44">
        <f t="shared" si="45"/>
        <v>0</v>
      </c>
      <c r="Z55" s="44">
        <f t="shared" si="46"/>
        <v>0</v>
      </c>
      <c r="AA55" s="40" t="e">
        <f t="shared" si="12"/>
        <v>#DIV/0!</v>
      </c>
      <c r="AB55" s="43"/>
      <c r="AC55" s="43"/>
      <c r="AD55" s="40" t="e">
        <f t="shared" si="14"/>
        <v>#DIV/0!</v>
      </c>
      <c r="AE55" s="43"/>
      <c r="AF55" s="43"/>
      <c r="AG55" s="40" t="e">
        <f t="shared" si="15"/>
        <v>#DIV/0!</v>
      </c>
      <c r="AH55" s="43"/>
      <c r="AI55" s="43"/>
      <c r="AJ55" s="40"/>
      <c r="AK55" s="44">
        <f t="shared" si="23"/>
        <v>0</v>
      </c>
      <c r="AL55" s="44">
        <f t="shared" si="23"/>
        <v>0</v>
      </c>
      <c r="AM55" s="40" t="e">
        <f t="shared" si="17"/>
        <v>#DIV/0!</v>
      </c>
      <c r="AN55" s="43"/>
      <c r="AO55" s="43"/>
      <c r="AP55" s="43"/>
      <c r="AQ55" s="43"/>
      <c r="AR55" s="43"/>
      <c r="AS55" s="43"/>
      <c r="AT55" s="76">
        <f t="shared" si="25"/>
        <v>0</v>
      </c>
      <c r="AU55" s="76">
        <f t="shared" si="25"/>
        <v>0</v>
      </c>
      <c r="AV55" s="46" t="e">
        <f t="shared" si="19"/>
        <v>#DIV/0!</v>
      </c>
      <c r="AW55" s="44">
        <f t="shared" si="24"/>
        <v>0</v>
      </c>
      <c r="AX55" s="45">
        <f t="shared" si="47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3"/>
        <v>#DIV/0!</v>
      </c>
      <c r="G56" s="52"/>
      <c r="H56" s="52"/>
      <c r="I56" s="41" t="e">
        <f t="shared" si="54"/>
        <v>#DIV/0!</v>
      </c>
      <c r="J56" s="43"/>
      <c r="K56" s="43"/>
      <c r="L56" s="40" t="e">
        <f t="shared" si="51"/>
        <v>#DIV/0!</v>
      </c>
      <c r="M56" s="44">
        <f t="shared" si="43"/>
        <v>0</v>
      </c>
      <c r="N56" s="44">
        <f t="shared" si="44"/>
        <v>0</v>
      </c>
      <c r="O56" s="40" t="e">
        <f t="shared" si="7"/>
        <v>#DIV/0!</v>
      </c>
      <c r="P56" s="43"/>
      <c r="Q56" s="43"/>
      <c r="R56" s="40" t="e">
        <f t="shared" si="21"/>
        <v>#DIV/0!</v>
      </c>
      <c r="S56" s="43"/>
      <c r="T56" s="43"/>
      <c r="U56" s="40" t="e">
        <f t="shared" si="22"/>
        <v>#DIV/0!</v>
      </c>
      <c r="V56" s="43"/>
      <c r="W56" s="43"/>
      <c r="X56" s="40" t="e">
        <f t="shared" si="52"/>
        <v>#DIV/0!</v>
      </c>
      <c r="Y56" s="44">
        <f t="shared" si="45"/>
        <v>0</v>
      </c>
      <c r="Z56" s="44">
        <f t="shared" si="46"/>
        <v>0</v>
      </c>
      <c r="AA56" s="40" t="e">
        <f t="shared" si="12"/>
        <v>#DIV/0!</v>
      </c>
      <c r="AB56" s="43"/>
      <c r="AC56" s="43"/>
      <c r="AD56" s="40" t="e">
        <f t="shared" si="14"/>
        <v>#DIV/0!</v>
      </c>
      <c r="AE56" s="43"/>
      <c r="AF56" s="43"/>
      <c r="AG56" s="40" t="e">
        <f t="shared" si="15"/>
        <v>#DIV/0!</v>
      </c>
      <c r="AH56" s="43"/>
      <c r="AI56" s="43"/>
      <c r="AJ56" s="40"/>
      <c r="AK56" s="44">
        <f t="shared" si="23"/>
        <v>0</v>
      </c>
      <c r="AL56" s="44">
        <f t="shared" si="23"/>
        <v>0</v>
      </c>
      <c r="AM56" s="40" t="e">
        <f t="shared" si="17"/>
        <v>#DIV/0!</v>
      </c>
      <c r="AN56" s="43"/>
      <c r="AO56" s="43"/>
      <c r="AP56" s="43"/>
      <c r="AQ56" s="43"/>
      <c r="AR56" s="43"/>
      <c r="AS56" s="43"/>
      <c r="AT56" s="76">
        <f t="shared" si="25"/>
        <v>0</v>
      </c>
      <c r="AU56" s="76">
        <f t="shared" si="25"/>
        <v>0</v>
      </c>
      <c r="AV56" s="46" t="e">
        <f t="shared" si="19"/>
        <v>#DIV/0!</v>
      </c>
      <c r="AW56" s="44">
        <f t="shared" si="24"/>
        <v>0</v>
      </c>
      <c r="AX56" s="45">
        <f t="shared" si="47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3"/>
        <v>#DIV/0!</v>
      </c>
      <c r="G57" s="43"/>
      <c r="H57" s="43"/>
      <c r="I57" s="41" t="e">
        <f t="shared" si="54"/>
        <v>#DIV/0!</v>
      </c>
      <c r="J57" s="43"/>
      <c r="K57" s="43"/>
      <c r="L57" s="40" t="e">
        <f t="shared" si="51"/>
        <v>#DIV/0!</v>
      </c>
      <c r="M57" s="44">
        <f t="shared" si="43"/>
        <v>0</v>
      </c>
      <c r="N57" s="44">
        <f t="shared" si="44"/>
        <v>0</v>
      </c>
      <c r="O57" s="40" t="e">
        <f t="shared" si="7"/>
        <v>#DIV/0!</v>
      </c>
      <c r="P57" s="43"/>
      <c r="Q57" s="43"/>
      <c r="R57" s="40" t="e">
        <f t="shared" si="21"/>
        <v>#DIV/0!</v>
      </c>
      <c r="S57" s="43"/>
      <c r="T57" s="43"/>
      <c r="U57" s="40" t="e">
        <f t="shared" si="22"/>
        <v>#DIV/0!</v>
      </c>
      <c r="V57" s="43"/>
      <c r="W57" s="43"/>
      <c r="X57" s="40" t="e">
        <f t="shared" si="52"/>
        <v>#DIV/0!</v>
      </c>
      <c r="Y57" s="44">
        <f t="shared" si="45"/>
        <v>0</v>
      </c>
      <c r="Z57" s="44">
        <f t="shared" si="46"/>
        <v>0</v>
      </c>
      <c r="AA57" s="40" t="e">
        <f t="shared" si="12"/>
        <v>#DIV/0!</v>
      </c>
      <c r="AB57" s="43"/>
      <c r="AC57" s="43"/>
      <c r="AD57" s="40" t="e">
        <f t="shared" si="14"/>
        <v>#DIV/0!</v>
      </c>
      <c r="AE57" s="43"/>
      <c r="AF57" s="43"/>
      <c r="AG57" s="40" t="e">
        <f t="shared" si="15"/>
        <v>#DIV/0!</v>
      </c>
      <c r="AH57" s="43"/>
      <c r="AI57" s="43"/>
      <c r="AJ57" s="40"/>
      <c r="AK57" s="44">
        <f t="shared" si="23"/>
        <v>0</v>
      </c>
      <c r="AL57" s="44">
        <f t="shared" si="23"/>
        <v>0</v>
      </c>
      <c r="AM57" s="40" t="e">
        <f t="shared" si="17"/>
        <v>#DIV/0!</v>
      </c>
      <c r="AN57" s="43"/>
      <c r="AO57" s="43"/>
      <c r="AP57" s="43"/>
      <c r="AQ57" s="43"/>
      <c r="AR57" s="43"/>
      <c r="AS57" s="43"/>
      <c r="AT57" s="76">
        <f t="shared" si="25"/>
        <v>0</v>
      </c>
      <c r="AU57" s="76">
        <f t="shared" si="25"/>
        <v>0</v>
      </c>
      <c r="AV57" s="46" t="e">
        <f t="shared" si="19"/>
        <v>#DIV/0!</v>
      </c>
      <c r="AW57" s="44">
        <f t="shared" si="24"/>
        <v>0</v>
      </c>
      <c r="AX57" s="45">
        <f t="shared" si="47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3"/>
        <v>#DIV/0!</v>
      </c>
      <c r="G58" s="43"/>
      <c r="H58" s="43"/>
      <c r="I58" s="41" t="e">
        <f t="shared" si="54"/>
        <v>#DIV/0!</v>
      </c>
      <c r="J58" s="43"/>
      <c r="K58" s="43"/>
      <c r="L58" s="40" t="e">
        <f t="shared" si="51"/>
        <v>#DIV/0!</v>
      </c>
      <c r="M58" s="44">
        <f t="shared" si="43"/>
        <v>0</v>
      </c>
      <c r="N58" s="44">
        <f t="shared" si="44"/>
        <v>0</v>
      </c>
      <c r="O58" s="40" t="e">
        <f t="shared" si="7"/>
        <v>#DIV/0!</v>
      </c>
      <c r="P58" s="43"/>
      <c r="Q58" s="43"/>
      <c r="R58" s="40" t="e">
        <f t="shared" si="21"/>
        <v>#DIV/0!</v>
      </c>
      <c r="S58" s="43"/>
      <c r="T58" s="43"/>
      <c r="U58" s="40" t="e">
        <f t="shared" si="22"/>
        <v>#DIV/0!</v>
      </c>
      <c r="V58" s="43"/>
      <c r="W58" s="43"/>
      <c r="X58" s="40" t="e">
        <f t="shared" si="52"/>
        <v>#DIV/0!</v>
      </c>
      <c r="Y58" s="44">
        <f t="shared" si="45"/>
        <v>0</v>
      </c>
      <c r="Z58" s="44">
        <f t="shared" si="46"/>
        <v>0</v>
      </c>
      <c r="AA58" s="40" t="e">
        <f t="shared" si="12"/>
        <v>#DIV/0!</v>
      </c>
      <c r="AB58" s="43"/>
      <c r="AC58" s="43"/>
      <c r="AD58" s="40" t="e">
        <f t="shared" si="14"/>
        <v>#DIV/0!</v>
      </c>
      <c r="AE58" s="43"/>
      <c r="AF58" s="43"/>
      <c r="AG58" s="40" t="e">
        <f t="shared" si="15"/>
        <v>#DIV/0!</v>
      </c>
      <c r="AH58" s="43"/>
      <c r="AI58" s="43"/>
      <c r="AJ58" s="40"/>
      <c r="AK58" s="44">
        <f t="shared" si="23"/>
        <v>0</v>
      </c>
      <c r="AL58" s="44">
        <f t="shared" si="23"/>
        <v>0</v>
      </c>
      <c r="AM58" s="40" t="e">
        <f t="shared" si="17"/>
        <v>#DIV/0!</v>
      </c>
      <c r="AN58" s="43"/>
      <c r="AO58" s="43"/>
      <c r="AP58" s="43"/>
      <c r="AQ58" s="43"/>
      <c r="AR58" s="43"/>
      <c r="AS58" s="43"/>
      <c r="AT58" s="76">
        <f t="shared" si="25"/>
        <v>0</v>
      </c>
      <c r="AU58" s="76">
        <f t="shared" si="25"/>
        <v>0</v>
      </c>
      <c r="AV58" s="46" t="e">
        <f t="shared" si="19"/>
        <v>#DIV/0!</v>
      </c>
      <c r="AW58" s="44">
        <f t="shared" si="24"/>
        <v>0</v>
      </c>
      <c r="AX58" s="45">
        <f t="shared" si="47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3"/>
        <v>#DIV/0!</v>
      </c>
      <c r="G60" s="43"/>
      <c r="H60" s="43"/>
      <c r="I60" s="41" t="e">
        <f t="shared" si="54"/>
        <v>#DIV/0!</v>
      </c>
      <c r="J60" s="43"/>
      <c r="K60" s="43"/>
      <c r="L60" s="40" t="e">
        <f t="shared" si="51"/>
        <v>#DIV/0!</v>
      </c>
      <c r="M60" s="44">
        <f t="shared" si="43"/>
        <v>0</v>
      </c>
      <c r="N60" s="44">
        <f t="shared" si="44"/>
        <v>0</v>
      </c>
      <c r="O60" s="40" t="e">
        <f t="shared" si="7"/>
        <v>#DIV/0!</v>
      </c>
      <c r="P60" s="43"/>
      <c r="Q60" s="43"/>
      <c r="R60" s="40" t="e">
        <f t="shared" si="21"/>
        <v>#DIV/0!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0</v>
      </c>
      <c r="Z60" s="44">
        <f t="shared" si="46"/>
        <v>0</v>
      </c>
      <c r="AA60" s="40" t="e">
        <f t="shared" si="12"/>
        <v>#DIV/0!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/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0</v>
      </c>
      <c r="AU60" s="76">
        <f t="shared" si="25"/>
        <v>0</v>
      </c>
      <c r="AV60" s="46" t="e">
        <f t="shared" si="19"/>
        <v>#DIV/0!</v>
      </c>
      <c r="AW60" s="44">
        <f t="shared" si="24"/>
        <v>0</v>
      </c>
      <c r="AX60" s="45">
        <f t="shared" si="47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3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4"/>
        <v>76.74008810572688</v>
      </c>
      <c r="J61" s="91">
        <f>SUM(J62:J71)</f>
        <v>107.7</v>
      </c>
      <c r="K61" s="91">
        <f>SUM(K62:K71)</f>
        <v>87.3</v>
      </c>
      <c r="L61" s="40">
        <f t="shared" si="51"/>
        <v>81.05849582172702</v>
      </c>
      <c r="M61" s="40">
        <f t="shared" si="43"/>
        <v>278.6</v>
      </c>
      <c r="N61" s="40">
        <f t="shared" si="44"/>
        <v>175.2</v>
      </c>
      <c r="O61" s="40">
        <f t="shared" si="7"/>
        <v>62.885857860732216</v>
      </c>
      <c r="P61" s="91">
        <f aca="true" t="shared" si="55" ref="P61:W61">SUM(P62:P71)</f>
        <v>75.1</v>
      </c>
      <c r="Q61" s="91">
        <f t="shared" si="55"/>
        <v>117.19999999999999</v>
      </c>
      <c r="R61" s="91" t="e">
        <f t="shared" si="55"/>
        <v>#DIV/0!</v>
      </c>
      <c r="S61" s="91">
        <f t="shared" si="55"/>
        <v>92.60000000000001</v>
      </c>
      <c r="T61" s="91">
        <f t="shared" si="55"/>
        <v>91.2</v>
      </c>
      <c r="U61" s="91" t="e">
        <f t="shared" si="55"/>
        <v>#DIV/0!</v>
      </c>
      <c r="V61" s="91">
        <f t="shared" si="55"/>
        <v>114.60000000000005</v>
      </c>
      <c r="W61" s="91">
        <f t="shared" si="55"/>
        <v>107.00000000000003</v>
      </c>
      <c r="X61" s="40">
        <f t="shared" si="52"/>
        <v>93.36823734729492</v>
      </c>
      <c r="Y61" s="40">
        <f t="shared" si="45"/>
        <v>282.30000000000007</v>
      </c>
      <c r="Z61" s="40">
        <f t="shared" si="46"/>
        <v>315.4</v>
      </c>
      <c r="AA61" s="40">
        <f t="shared" si="12"/>
        <v>111.72511512575272</v>
      </c>
      <c r="AB61" s="91">
        <f aca="true" t="shared" si="56" ref="AB61:AI61">SUM(AB62:AB71)</f>
        <v>87.2</v>
      </c>
      <c r="AC61" s="91">
        <f t="shared" si="56"/>
        <v>77.1</v>
      </c>
      <c r="AD61" s="40">
        <f t="shared" si="14"/>
        <v>88.41743119266054</v>
      </c>
      <c r="AE61" s="91">
        <f t="shared" si="56"/>
        <v>66.9</v>
      </c>
      <c r="AF61" s="91">
        <f t="shared" si="56"/>
        <v>81.3</v>
      </c>
      <c r="AG61" s="40">
        <f t="shared" si="15"/>
        <v>121.52466367713004</v>
      </c>
      <c r="AH61" s="91">
        <f t="shared" si="56"/>
        <v>0</v>
      </c>
      <c r="AI61" s="91">
        <f t="shared" si="56"/>
        <v>0</v>
      </c>
      <c r="AJ61" s="40"/>
      <c r="AK61" s="40">
        <f t="shared" si="23"/>
        <v>154.10000000000002</v>
      </c>
      <c r="AL61" s="40">
        <f t="shared" si="23"/>
        <v>158.39999999999998</v>
      </c>
      <c r="AM61" s="40">
        <f t="shared" si="17"/>
        <v>102.79039584685266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715.0000000000001</v>
      </c>
      <c r="AU61" s="39">
        <f t="shared" si="25"/>
        <v>649</v>
      </c>
      <c r="AV61" s="40">
        <f t="shared" si="19"/>
        <v>90.76923076923076</v>
      </c>
      <c r="AW61" s="40">
        <f t="shared" si="24"/>
        <v>66.00000000000011</v>
      </c>
      <c r="AX61" s="61">
        <f t="shared" si="47"/>
        <v>66.00000000000011</v>
      </c>
      <c r="AY61" s="12"/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3"/>
        <v>1.6129032258064515</v>
      </c>
      <c r="G62" s="43">
        <v>52</v>
      </c>
      <c r="H62" s="43">
        <v>49.7</v>
      </c>
      <c r="I62" s="41">
        <f t="shared" si="54"/>
        <v>95.57692307692308</v>
      </c>
      <c r="J62" s="43">
        <v>55.3</v>
      </c>
      <c r="K62" s="43">
        <v>52.1</v>
      </c>
      <c r="L62" s="40">
        <f t="shared" si="51"/>
        <v>94.21338155515372</v>
      </c>
      <c r="M62" s="44">
        <f t="shared" si="43"/>
        <v>156.89999999999998</v>
      </c>
      <c r="N62" s="44">
        <f t="shared" si="44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21"/>
        <v>97.52650176678446</v>
      </c>
      <c r="S62" s="43">
        <v>55.9</v>
      </c>
      <c r="T62" s="43">
        <v>56.3</v>
      </c>
      <c r="U62" s="40">
        <f t="shared" si="22"/>
        <v>100.71556350626119</v>
      </c>
      <c r="V62" s="43">
        <f>326.1-269.4</f>
        <v>56.700000000000045</v>
      </c>
      <c r="W62" s="43">
        <f>269.3-214.1</f>
        <v>55.20000000000002</v>
      </c>
      <c r="X62" s="40">
        <f t="shared" si="52"/>
        <v>97.35449735449731</v>
      </c>
      <c r="Y62" s="44">
        <f t="shared" si="45"/>
        <v>169.20000000000005</v>
      </c>
      <c r="Z62" s="44">
        <f t="shared" si="46"/>
        <v>166.70000000000002</v>
      </c>
      <c r="AA62" s="40">
        <f t="shared" si="12"/>
        <v>98.52245862884159</v>
      </c>
      <c r="AB62" s="43">
        <v>69.7</v>
      </c>
      <c r="AC62" s="43">
        <v>56.7</v>
      </c>
      <c r="AD62" s="40">
        <f t="shared" si="14"/>
        <v>81.34863701578192</v>
      </c>
      <c r="AE62" s="43">
        <v>58</v>
      </c>
      <c r="AF62" s="43">
        <v>69.7</v>
      </c>
      <c r="AG62" s="40">
        <f t="shared" si="15"/>
        <v>120.17241379310346</v>
      </c>
      <c r="AH62" s="43"/>
      <c r="AI62" s="43"/>
      <c r="AJ62" s="40"/>
      <c r="AK62" s="44">
        <f t="shared" si="23"/>
        <v>127.7</v>
      </c>
      <c r="AL62" s="44">
        <f t="shared" si="23"/>
        <v>126.4</v>
      </c>
      <c r="AM62" s="40">
        <f t="shared" si="17"/>
        <v>98.98198903680502</v>
      </c>
      <c r="AN62" s="43"/>
      <c r="AO62" s="43"/>
      <c r="AP62" s="43"/>
      <c r="AQ62" s="43"/>
      <c r="AR62" s="43"/>
      <c r="AS62" s="43"/>
      <c r="AT62" s="76">
        <f t="shared" si="25"/>
        <v>453.8</v>
      </c>
      <c r="AU62" s="76">
        <f t="shared" si="25"/>
        <v>395.70000000000005</v>
      </c>
      <c r="AV62" s="40">
        <f t="shared" si="19"/>
        <v>87.1970030850595</v>
      </c>
      <c r="AW62" s="44">
        <f t="shared" si="24"/>
        <v>58.099999999999966</v>
      </c>
      <c r="AX62" s="45">
        <f t="shared" si="47"/>
        <v>58.099999999999966</v>
      </c>
      <c r="AY62" s="12"/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3"/>
        <v>#DIV/0!</v>
      </c>
      <c r="G63" s="52"/>
      <c r="H63" s="52"/>
      <c r="I63" s="41" t="e">
        <f t="shared" si="54"/>
        <v>#DIV/0!</v>
      </c>
      <c r="J63" s="43"/>
      <c r="K63" s="43"/>
      <c r="L63" s="40" t="e">
        <f t="shared" si="51"/>
        <v>#DIV/0!</v>
      </c>
      <c r="M63" s="44">
        <f t="shared" si="43"/>
        <v>0</v>
      </c>
      <c r="N63" s="44">
        <f t="shared" si="44"/>
        <v>0</v>
      </c>
      <c r="O63" s="40" t="e">
        <f t="shared" si="7"/>
        <v>#DIV/0!</v>
      </c>
      <c r="P63" s="43"/>
      <c r="Q63" s="43"/>
      <c r="R63" s="40" t="e">
        <f t="shared" si="21"/>
        <v>#DIV/0!</v>
      </c>
      <c r="S63" s="43"/>
      <c r="T63" s="43"/>
      <c r="U63" s="40" t="e">
        <f t="shared" si="22"/>
        <v>#DIV/0!</v>
      </c>
      <c r="V63" s="43"/>
      <c r="W63" s="43"/>
      <c r="X63" s="40" t="e">
        <f t="shared" si="52"/>
        <v>#DIV/0!</v>
      </c>
      <c r="Y63" s="44">
        <f t="shared" si="45"/>
        <v>0</v>
      </c>
      <c r="Z63" s="44">
        <f t="shared" si="46"/>
        <v>0</v>
      </c>
      <c r="AA63" s="40" t="e">
        <f t="shared" si="12"/>
        <v>#DIV/0!</v>
      </c>
      <c r="AB63" s="43"/>
      <c r="AC63" s="43"/>
      <c r="AD63" s="40" t="e">
        <f t="shared" si="14"/>
        <v>#DIV/0!</v>
      </c>
      <c r="AE63" s="43"/>
      <c r="AF63" s="43"/>
      <c r="AG63" s="40" t="e">
        <f t="shared" si="15"/>
        <v>#DIV/0!</v>
      </c>
      <c r="AH63" s="43"/>
      <c r="AI63" s="43"/>
      <c r="AJ63" s="40"/>
      <c r="AK63" s="44">
        <f aca="true" t="shared" si="58" ref="AK63:AL71">AB63+AE63+AH63</f>
        <v>0</v>
      </c>
      <c r="AL63" s="44">
        <f t="shared" si="58"/>
        <v>0</v>
      </c>
      <c r="AM63" s="40" t="e">
        <f t="shared" si="17"/>
        <v>#DIV/0!</v>
      </c>
      <c r="AN63" s="43"/>
      <c r="AO63" s="43"/>
      <c r="AP63" s="43"/>
      <c r="AQ63" s="43"/>
      <c r="AR63" s="43"/>
      <c r="AS63" s="43"/>
      <c r="AT63" s="76">
        <f t="shared" si="25"/>
        <v>0</v>
      </c>
      <c r="AU63" s="76">
        <f t="shared" si="25"/>
        <v>0</v>
      </c>
      <c r="AV63" s="46" t="e">
        <f t="shared" si="19"/>
        <v>#DIV/0!</v>
      </c>
      <c r="AW63" s="44">
        <f t="shared" si="24"/>
        <v>0</v>
      </c>
      <c r="AX63" s="45">
        <f t="shared" si="47"/>
        <v>0</v>
      </c>
      <c r="AY63" s="12"/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1"/>
        <v>#DIV/0!</v>
      </c>
      <c r="M64" s="44">
        <f t="shared" si="43"/>
        <v>0</v>
      </c>
      <c r="N64" s="44">
        <f t="shared" si="44"/>
        <v>0</v>
      </c>
      <c r="O64" s="40" t="e">
        <f t="shared" si="7"/>
        <v>#DIV/0!</v>
      </c>
      <c r="P64" s="43"/>
      <c r="Q64" s="43"/>
      <c r="R64" s="40" t="e">
        <f t="shared" si="21"/>
        <v>#DIV/0!</v>
      </c>
      <c r="S64" s="43"/>
      <c r="T64" s="43"/>
      <c r="U64" s="40" t="e">
        <f t="shared" si="22"/>
        <v>#DIV/0!</v>
      </c>
      <c r="V64" s="43"/>
      <c r="W64" s="43"/>
      <c r="X64" s="40" t="e">
        <f t="shared" si="52"/>
        <v>#DIV/0!</v>
      </c>
      <c r="Y64" s="44">
        <f t="shared" si="45"/>
        <v>0</v>
      </c>
      <c r="Z64" s="44">
        <f t="shared" si="46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0</v>
      </c>
      <c r="AU64" s="76">
        <f t="shared" si="25"/>
        <v>0</v>
      </c>
      <c r="AV64" s="46" t="e">
        <f t="shared" si="19"/>
        <v>#DIV/0!</v>
      </c>
      <c r="AW64" s="44">
        <f t="shared" si="24"/>
        <v>0</v>
      </c>
      <c r="AX64" s="45">
        <f t="shared" si="47"/>
        <v>0</v>
      </c>
      <c r="AY64" s="12"/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9"/>
        <v>0</v>
      </c>
      <c r="G65" s="43">
        <v>54.2</v>
      </c>
      <c r="H65" s="43">
        <v>34.2</v>
      </c>
      <c r="I65" s="41">
        <f t="shared" si="60"/>
        <v>63.09963099630996</v>
      </c>
      <c r="J65" s="43">
        <v>43.2</v>
      </c>
      <c r="K65" s="43">
        <v>26.5</v>
      </c>
      <c r="L65" s="40">
        <f t="shared" si="51"/>
        <v>61.342592592592595</v>
      </c>
      <c r="M65" s="44">
        <f t="shared" si="43"/>
        <v>102</v>
      </c>
      <c r="N65" s="44">
        <f t="shared" si="44"/>
        <v>60.7</v>
      </c>
      <c r="O65" s="40">
        <f t="shared" si="7"/>
        <v>59.509803921568626</v>
      </c>
      <c r="P65" s="43">
        <v>12.1</v>
      </c>
      <c r="Q65" s="43">
        <v>53.4</v>
      </c>
      <c r="R65" s="40">
        <f t="shared" si="21"/>
        <v>441.3223140495868</v>
      </c>
      <c r="S65" s="43">
        <v>28.6</v>
      </c>
      <c r="T65" s="43">
        <v>28.6</v>
      </c>
      <c r="U65" s="40">
        <f t="shared" si="22"/>
        <v>100</v>
      </c>
      <c r="V65" s="43">
        <v>42.7</v>
      </c>
      <c r="W65" s="43">
        <v>42.7</v>
      </c>
      <c r="X65" s="40">
        <f t="shared" si="52"/>
        <v>100</v>
      </c>
      <c r="Y65" s="44">
        <f t="shared" si="45"/>
        <v>83.4</v>
      </c>
      <c r="Z65" s="44">
        <f t="shared" si="46"/>
        <v>124.7</v>
      </c>
      <c r="AA65" s="40">
        <f t="shared" si="12"/>
        <v>149.52038369304557</v>
      </c>
      <c r="AB65" s="43">
        <v>5.5</v>
      </c>
      <c r="AC65" s="43">
        <v>5.5</v>
      </c>
      <c r="AD65" s="40">
        <f t="shared" si="14"/>
        <v>100</v>
      </c>
      <c r="AE65" s="43"/>
      <c r="AF65" s="43"/>
      <c r="AG65" s="40" t="e">
        <f t="shared" si="15"/>
        <v>#DIV/0!</v>
      </c>
      <c r="AH65" s="43"/>
      <c r="AI65" s="43"/>
      <c r="AJ65" s="40"/>
      <c r="AK65" s="44">
        <f t="shared" si="58"/>
        <v>5.5</v>
      </c>
      <c r="AL65" s="44">
        <f t="shared" si="58"/>
        <v>5.5</v>
      </c>
      <c r="AM65" s="40">
        <f t="shared" si="17"/>
        <v>100</v>
      </c>
      <c r="AN65" s="43"/>
      <c r="AO65" s="43"/>
      <c r="AP65" s="43"/>
      <c r="AQ65" s="43"/>
      <c r="AR65" s="43"/>
      <c r="AS65" s="43"/>
      <c r="AT65" s="76">
        <f t="shared" si="25"/>
        <v>190.9</v>
      </c>
      <c r="AU65" s="76">
        <f t="shared" si="25"/>
        <v>190.9</v>
      </c>
      <c r="AV65" s="40">
        <f t="shared" si="19"/>
        <v>100</v>
      </c>
      <c r="AW65" s="44">
        <f t="shared" si="24"/>
        <v>0</v>
      </c>
      <c r="AX65" s="45">
        <f t="shared" si="47"/>
        <v>0</v>
      </c>
      <c r="AY65" s="12"/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9"/>
        <v>#DIV/0!</v>
      </c>
      <c r="G66" s="43"/>
      <c r="H66" s="43"/>
      <c r="I66" s="41" t="e">
        <f t="shared" si="60"/>
        <v>#DIV/0!</v>
      </c>
      <c r="J66" s="43"/>
      <c r="K66" s="43"/>
      <c r="L66" s="40" t="e">
        <f t="shared" si="51"/>
        <v>#DIV/0!</v>
      </c>
      <c r="M66" s="44">
        <f t="shared" si="43"/>
        <v>0</v>
      </c>
      <c r="N66" s="44">
        <f t="shared" si="44"/>
        <v>0</v>
      </c>
      <c r="O66" s="40" t="e">
        <f t="shared" si="7"/>
        <v>#DIV/0!</v>
      </c>
      <c r="P66" s="43"/>
      <c r="Q66" s="43"/>
      <c r="R66" s="40" t="e">
        <f t="shared" si="21"/>
        <v>#DIV/0!</v>
      </c>
      <c r="S66" s="43"/>
      <c r="T66" s="43"/>
      <c r="U66" s="40" t="e">
        <f t="shared" si="22"/>
        <v>#DIV/0!</v>
      </c>
      <c r="V66" s="43"/>
      <c r="W66" s="43"/>
      <c r="X66" s="40" t="e">
        <f t="shared" si="52"/>
        <v>#DIV/0!</v>
      </c>
      <c r="Y66" s="44">
        <f t="shared" si="45"/>
        <v>0</v>
      </c>
      <c r="Z66" s="44">
        <f t="shared" si="46"/>
        <v>0</v>
      </c>
      <c r="AA66" s="40" t="e">
        <f t="shared" si="12"/>
        <v>#DIV/0!</v>
      </c>
      <c r="AB66" s="43"/>
      <c r="AC66" s="43"/>
      <c r="AD66" s="40" t="e">
        <f t="shared" si="14"/>
        <v>#DIV/0!</v>
      </c>
      <c r="AE66" s="43"/>
      <c r="AF66" s="43"/>
      <c r="AG66" s="40" t="e">
        <f t="shared" si="15"/>
        <v>#DIV/0!</v>
      </c>
      <c r="AH66" s="43"/>
      <c r="AI66" s="43"/>
      <c r="AJ66" s="40"/>
      <c r="AK66" s="44">
        <f t="shared" si="58"/>
        <v>0</v>
      </c>
      <c r="AL66" s="44">
        <f t="shared" si="58"/>
        <v>0</v>
      </c>
      <c r="AM66" s="40" t="e">
        <f t="shared" si="17"/>
        <v>#DIV/0!</v>
      </c>
      <c r="AN66" s="43"/>
      <c r="AO66" s="43"/>
      <c r="AP66" s="43"/>
      <c r="AQ66" s="43"/>
      <c r="AR66" s="43"/>
      <c r="AS66" s="43"/>
      <c r="AT66" s="76">
        <f t="shared" si="25"/>
        <v>0</v>
      </c>
      <c r="AU66" s="76">
        <f t="shared" si="25"/>
        <v>0</v>
      </c>
      <c r="AV66" s="46" t="e">
        <f t="shared" si="19"/>
        <v>#DIV/0!</v>
      </c>
      <c r="AW66" s="44">
        <f t="shared" si="24"/>
        <v>0</v>
      </c>
      <c r="AX66" s="45">
        <f t="shared" si="47"/>
        <v>0</v>
      </c>
      <c r="AY66" s="12"/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9"/>
        <v>#DIV/0!</v>
      </c>
      <c r="G67" s="43">
        <v>1.3</v>
      </c>
      <c r="H67" s="43">
        <v>0</v>
      </c>
      <c r="I67" s="41">
        <f t="shared" si="60"/>
        <v>0</v>
      </c>
      <c r="J67" s="43">
        <v>1.4</v>
      </c>
      <c r="K67" s="43">
        <v>2.7</v>
      </c>
      <c r="L67" s="40">
        <f t="shared" si="51"/>
        <v>192.8571428571429</v>
      </c>
      <c r="M67" s="44">
        <f t="shared" si="43"/>
        <v>2.7</v>
      </c>
      <c r="N67" s="44">
        <f t="shared" si="44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21"/>
        <v>100</v>
      </c>
      <c r="S67" s="43">
        <v>0.7</v>
      </c>
      <c r="T67" s="43">
        <v>0.7</v>
      </c>
      <c r="U67" s="40">
        <f t="shared" si="22"/>
        <v>100</v>
      </c>
      <c r="V67" s="43">
        <v>1.7</v>
      </c>
      <c r="W67" s="43">
        <v>1.7</v>
      </c>
      <c r="X67" s="40">
        <f t="shared" si="52"/>
        <v>100</v>
      </c>
      <c r="Y67" s="44">
        <f t="shared" si="45"/>
        <v>3.2</v>
      </c>
      <c r="Z67" s="44">
        <f t="shared" si="46"/>
        <v>3.2</v>
      </c>
      <c r="AA67" s="40">
        <f t="shared" si="12"/>
        <v>100</v>
      </c>
      <c r="AB67" s="43">
        <v>1.4</v>
      </c>
      <c r="AC67" s="43">
        <v>1.4</v>
      </c>
      <c r="AD67" s="40">
        <f t="shared" si="14"/>
        <v>100</v>
      </c>
      <c r="AE67" s="43">
        <v>1</v>
      </c>
      <c r="AF67" s="43">
        <v>1</v>
      </c>
      <c r="AG67" s="40">
        <f t="shared" si="15"/>
        <v>100</v>
      </c>
      <c r="AH67" s="43"/>
      <c r="AI67" s="43"/>
      <c r="AJ67" s="40"/>
      <c r="AK67" s="44">
        <f t="shared" si="58"/>
        <v>2.4</v>
      </c>
      <c r="AL67" s="44">
        <f t="shared" si="58"/>
        <v>2.4</v>
      </c>
      <c r="AM67" s="40">
        <f t="shared" si="17"/>
        <v>100</v>
      </c>
      <c r="AN67" s="43"/>
      <c r="AO67" s="43"/>
      <c r="AP67" s="43"/>
      <c r="AQ67" s="43"/>
      <c r="AR67" s="43"/>
      <c r="AS67" s="43"/>
      <c r="AT67" s="76">
        <f t="shared" si="25"/>
        <v>8.3</v>
      </c>
      <c r="AU67" s="76">
        <f t="shared" si="25"/>
        <v>8.3</v>
      </c>
      <c r="AV67" s="40">
        <f t="shared" si="19"/>
        <v>100</v>
      </c>
      <c r="AW67" s="44">
        <f t="shared" si="24"/>
        <v>0</v>
      </c>
      <c r="AX67" s="45">
        <f t="shared" si="47"/>
        <v>0</v>
      </c>
      <c r="AY67" s="12"/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9"/>
        <v>#DIV/0!</v>
      </c>
      <c r="G68" s="43"/>
      <c r="H68" s="43"/>
      <c r="I68" s="41" t="e">
        <f t="shared" si="60"/>
        <v>#DIV/0!</v>
      </c>
      <c r="J68" s="43"/>
      <c r="K68" s="43"/>
      <c r="L68" s="40" t="e">
        <f t="shared" si="51"/>
        <v>#DIV/0!</v>
      </c>
      <c r="M68" s="44">
        <f t="shared" si="43"/>
        <v>0</v>
      </c>
      <c r="N68" s="44">
        <f t="shared" si="44"/>
        <v>0</v>
      </c>
      <c r="O68" s="40" t="e">
        <f t="shared" si="7"/>
        <v>#DIV/0!</v>
      </c>
      <c r="P68" s="43"/>
      <c r="Q68" s="43"/>
      <c r="R68" s="40" t="e">
        <f t="shared" si="21"/>
        <v>#DIV/0!</v>
      </c>
      <c r="S68" s="43"/>
      <c r="T68" s="43"/>
      <c r="U68" s="40" t="e">
        <f t="shared" si="22"/>
        <v>#DIV/0!</v>
      </c>
      <c r="V68" s="43"/>
      <c r="W68" s="43"/>
      <c r="X68" s="40" t="e">
        <f t="shared" si="52"/>
        <v>#DIV/0!</v>
      </c>
      <c r="Y68" s="44">
        <f t="shared" si="45"/>
        <v>0</v>
      </c>
      <c r="Z68" s="44">
        <f t="shared" si="46"/>
        <v>0</v>
      </c>
      <c r="AA68" s="40" t="e">
        <f t="shared" si="12"/>
        <v>#DIV/0!</v>
      </c>
      <c r="AB68" s="43"/>
      <c r="AC68" s="43"/>
      <c r="AD68" s="40" t="e">
        <f t="shared" si="14"/>
        <v>#DIV/0!</v>
      </c>
      <c r="AE68" s="43"/>
      <c r="AF68" s="43"/>
      <c r="AG68" s="40" t="e">
        <f t="shared" si="15"/>
        <v>#DIV/0!</v>
      </c>
      <c r="AH68" s="43"/>
      <c r="AI68" s="43"/>
      <c r="AJ68" s="40"/>
      <c r="AK68" s="44">
        <f t="shared" si="58"/>
        <v>0</v>
      </c>
      <c r="AL68" s="44">
        <f t="shared" si="58"/>
        <v>0</v>
      </c>
      <c r="AM68" s="40" t="e">
        <f t="shared" si="17"/>
        <v>#DIV/0!</v>
      </c>
      <c r="AN68" s="43"/>
      <c r="AO68" s="43"/>
      <c r="AP68" s="43"/>
      <c r="AQ68" s="43"/>
      <c r="AR68" s="43"/>
      <c r="AS68" s="43"/>
      <c r="AT68" s="76">
        <f t="shared" si="25"/>
        <v>0</v>
      </c>
      <c r="AU68" s="76">
        <f t="shared" si="25"/>
        <v>0</v>
      </c>
      <c r="AV68" s="46" t="e">
        <f t="shared" si="19"/>
        <v>#DIV/0!</v>
      </c>
      <c r="AW68" s="44">
        <f t="shared" si="24"/>
        <v>0</v>
      </c>
      <c r="AX68" s="45">
        <f t="shared" si="47"/>
        <v>0</v>
      </c>
      <c r="AY68" s="12"/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9"/>
        <v>#DIV/0!</v>
      </c>
      <c r="G69" s="43"/>
      <c r="H69" s="43">
        <v>0</v>
      </c>
      <c r="I69" s="41" t="e">
        <f t="shared" si="60"/>
        <v>#DIV/0!</v>
      </c>
      <c r="J69" s="43"/>
      <c r="K69" s="43"/>
      <c r="L69" s="40" t="e">
        <f t="shared" si="51"/>
        <v>#DIV/0!</v>
      </c>
      <c r="M69" s="44">
        <f t="shared" si="43"/>
        <v>0</v>
      </c>
      <c r="N69" s="44">
        <f t="shared" si="44"/>
        <v>0</v>
      </c>
      <c r="O69" s="40" t="e">
        <f t="shared" si="7"/>
        <v>#DIV/0!</v>
      </c>
      <c r="P69" s="43"/>
      <c r="Q69" s="43">
        <v>0</v>
      </c>
      <c r="R69" s="40" t="e">
        <f t="shared" si="21"/>
        <v>#DIV/0!</v>
      </c>
      <c r="S69" s="43">
        <v>0</v>
      </c>
      <c r="T69" s="43">
        <v>0</v>
      </c>
      <c r="U69" s="40" t="e">
        <f t="shared" si="22"/>
        <v>#DIV/0!</v>
      </c>
      <c r="V69" s="43">
        <v>0</v>
      </c>
      <c r="W69" s="43">
        <v>0</v>
      </c>
      <c r="X69" s="40" t="e">
        <f t="shared" si="52"/>
        <v>#DIV/0!</v>
      </c>
      <c r="Y69" s="44">
        <f t="shared" si="45"/>
        <v>0</v>
      </c>
      <c r="Z69" s="44">
        <f t="shared" si="46"/>
        <v>0</v>
      </c>
      <c r="AA69" s="40" t="e">
        <f t="shared" si="12"/>
        <v>#DIV/0!</v>
      </c>
      <c r="AB69" s="43"/>
      <c r="AC69" s="43"/>
      <c r="AD69" s="40" t="e">
        <f t="shared" si="14"/>
        <v>#DIV/0!</v>
      </c>
      <c r="AE69" s="43"/>
      <c r="AF69" s="43"/>
      <c r="AG69" s="40" t="e">
        <f t="shared" si="15"/>
        <v>#DIV/0!</v>
      </c>
      <c r="AH69" s="43"/>
      <c r="AI69" s="43"/>
      <c r="AJ69" s="40"/>
      <c r="AK69" s="44">
        <f t="shared" si="58"/>
        <v>0</v>
      </c>
      <c r="AL69" s="44">
        <f t="shared" si="58"/>
        <v>0</v>
      </c>
      <c r="AM69" s="40" t="e">
        <f t="shared" si="17"/>
        <v>#DIV/0!</v>
      </c>
      <c r="AN69" s="43"/>
      <c r="AO69" s="43"/>
      <c r="AP69" s="43"/>
      <c r="AQ69" s="43"/>
      <c r="AR69" s="43"/>
      <c r="AS69" s="43"/>
      <c r="AT69" s="76">
        <f t="shared" si="25"/>
        <v>0</v>
      </c>
      <c r="AU69" s="76">
        <f t="shared" si="25"/>
        <v>0</v>
      </c>
      <c r="AV69" s="46" t="e">
        <f t="shared" si="19"/>
        <v>#DIV/0!</v>
      </c>
      <c r="AW69" s="44">
        <f t="shared" si="24"/>
        <v>0</v>
      </c>
      <c r="AX69" s="45">
        <f t="shared" si="47"/>
        <v>0</v>
      </c>
      <c r="AY69" s="12"/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>
        <v>7.4</v>
      </c>
      <c r="T70" s="43">
        <v>5.6</v>
      </c>
      <c r="U70" s="40">
        <f>T70/S70*100</f>
        <v>75.67567567567566</v>
      </c>
      <c r="V70" s="43">
        <v>13.5</v>
      </c>
      <c r="W70" s="43">
        <v>7.4</v>
      </c>
      <c r="X70" s="40">
        <f>W70/V70*100</f>
        <v>54.81481481481482</v>
      </c>
      <c r="Y70" s="44">
        <f>P70+S70+V70</f>
        <v>26.5</v>
      </c>
      <c r="Z70" s="44">
        <f>Q70+T70+W70</f>
        <v>20.799999999999997</v>
      </c>
      <c r="AA70" s="40">
        <f>Z70/Y70*100</f>
        <v>78.49056603773585</v>
      </c>
      <c r="AB70" s="43">
        <v>10.6</v>
      </c>
      <c r="AC70" s="43">
        <v>13.5</v>
      </c>
      <c r="AD70" s="40">
        <f t="shared" si="14"/>
        <v>127.35849056603774</v>
      </c>
      <c r="AE70" s="43">
        <v>7.9</v>
      </c>
      <c r="AF70" s="43">
        <v>10.6</v>
      </c>
      <c r="AG70" s="40">
        <f t="shared" si="15"/>
        <v>134.1772151898734</v>
      </c>
      <c r="AH70" s="43"/>
      <c r="AI70" s="43"/>
      <c r="AJ70" s="40"/>
      <c r="AK70" s="44">
        <f>AB70+AE70+AH70</f>
        <v>18.5</v>
      </c>
      <c r="AL70" s="44">
        <f>AC70+AF70+AI70</f>
        <v>24.1</v>
      </c>
      <c r="AM70" s="40">
        <f>AL70/AK70*100</f>
        <v>130.27027027027026</v>
      </c>
      <c r="AN70" s="43"/>
      <c r="AO70" s="43"/>
      <c r="AP70" s="43"/>
      <c r="AQ70" s="43"/>
      <c r="AR70" s="43"/>
      <c r="AS70" s="43"/>
      <c r="AT70" s="76">
        <f>M70+Y70+AK70+AN70+AP70+AR70</f>
        <v>62</v>
      </c>
      <c r="AU70" s="76">
        <f>N70+Z70+AL70+AO70+AQ70+AS70</f>
        <v>54.099999999999994</v>
      </c>
      <c r="AV70" s="40">
        <f>AU70/AT70*100</f>
        <v>87.25806451612902</v>
      </c>
      <c r="AW70" s="44">
        <f>AT70-AU70</f>
        <v>7.900000000000006</v>
      </c>
      <c r="AX70" s="45">
        <f>C70+AT70-AU70</f>
        <v>7.900000000000006</v>
      </c>
      <c r="AY70" s="12"/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9"/>
        <v>#DIV/0!</v>
      </c>
      <c r="G71" s="43"/>
      <c r="H71" s="43"/>
      <c r="I71" s="41" t="e">
        <f t="shared" si="60"/>
        <v>#DIV/0!</v>
      </c>
      <c r="J71" s="43"/>
      <c r="K71" s="43"/>
      <c r="L71" s="40" t="e">
        <f t="shared" si="51"/>
        <v>#DIV/0!</v>
      </c>
      <c r="M71" s="44">
        <f t="shared" si="43"/>
        <v>0</v>
      </c>
      <c r="N71" s="44">
        <f t="shared" si="44"/>
        <v>0</v>
      </c>
      <c r="O71" s="40" t="e">
        <f t="shared" si="7"/>
        <v>#DIV/0!</v>
      </c>
      <c r="P71" s="43"/>
      <c r="Q71" s="43"/>
      <c r="R71" s="40" t="e">
        <f t="shared" si="21"/>
        <v>#DIV/0!</v>
      </c>
      <c r="S71" s="43"/>
      <c r="T71" s="43"/>
      <c r="U71" s="40" t="e">
        <f t="shared" si="22"/>
        <v>#DIV/0!</v>
      </c>
      <c r="V71" s="43"/>
      <c r="W71" s="43"/>
      <c r="X71" s="40" t="e">
        <f t="shared" si="52"/>
        <v>#DIV/0!</v>
      </c>
      <c r="Y71" s="44">
        <f t="shared" si="45"/>
        <v>0</v>
      </c>
      <c r="Z71" s="44">
        <f t="shared" si="46"/>
        <v>0</v>
      </c>
      <c r="AA71" s="40" t="e">
        <f t="shared" si="12"/>
        <v>#DIV/0!</v>
      </c>
      <c r="AB71" s="43"/>
      <c r="AC71" s="43"/>
      <c r="AD71" s="40" t="e">
        <f t="shared" si="14"/>
        <v>#DIV/0!</v>
      </c>
      <c r="AE71" s="43"/>
      <c r="AF71" s="43"/>
      <c r="AG71" s="40" t="e">
        <f t="shared" si="15"/>
        <v>#DIV/0!</v>
      </c>
      <c r="AH71" s="43"/>
      <c r="AI71" s="43"/>
      <c r="AJ71" s="40"/>
      <c r="AK71" s="44">
        <f t="shared" si="58"/>
        <v>0</v>
      </c>
      <c r="AL71" s="44">
        <f t="shared" si="58"/>
        <v>0</v>
      </c>
      <c r="AM71" s="40" t="e">
        <f t="shared" si="17"/>
        <v>#DIV/0!</v>
      </c>
      <c r="AN71" s="43"/>
      <c r="AO71" s="43"/>
      <c r="AP71" s="43"/>
      <c r="AQ71" s="43"/>
      <c r="AR71" s="43"/>
      <c r="AS71" s="43"/>
      <c r="AT71" s="76">
        <f t="shared" si="25"/>
        <v>0</v>
      </c>
      <c r="AU71" s="76">
        <f t="shared" si="25"/>
        <v>0</v>
      </c>
      <c r="AV71" s="46" t="e">
        <f t="shared" si="19"/>
        <v>#DIV/0!</v>
      </c>
      <c r="AW71" s="44">
        <f t="shared" si="24"/>
        <v>0</v>
      </c>
      <c r="AX71" s="45">
        <f t="shared" si="47"/>
        <v>0</v>
      </c>
      <c r="AY71" s="12"/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60"/>
        <v>59.39595515262057</v>
      </c>
      <c r="J72" s="61">
        <f>SUM(J73:J73)</f>
        <v>1786</v>
      </c>
      <c r="K72" s="61">
        <f>SUM(K73:K73)</f>
        <v>2465.4</v>
      </c>
      <c r="L72" s="40">
        <f t="shared" si="51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21"/>
        <v>82.02599731062304</v>
      </c>
      <c r="S72" s="61">
        <f>SUM(S73:S73)</f>
        <v>1777.2</v>
      </c>
      <c r="T72" s="61">
        <f>SUM(T73:T73)</f>
        <v>1900.1</v>
      </c>
      <c r="U72" s="40">
        <f t="shared" si="22"/>
        <v>106.91537249606122</v>
      </c>
      <c r="V72" s="61">
        <f>SUM(V73:V73)</f>
        <v>1877.8</v>
      </c>
      <c r="W72" s="61">
        <f>SUM(W73:W73)</f>
        <v>1843.6</v>
      </c>
      <c r="X72" s="40">
        <f t="shared" si="52"/>
        <v>98.17871977846416</v>
      </c>
      <c r="Y72" s="61">
        <f>SUM(Y73:Y73)</f>
        <v>5439.8</v>
      </c>
      <c r="Z72" s="61">
        <f>SUM(Z73:Z73)</f>
        <v>5207.7</v>
      </c>
      <c r="AA72" s="40">
        <f t="shared" si="12"/>
        <v>95.73329901834626</v>
      </c>
      <c r="AB72" s="61">
        <f>SUM(AB73:AB73)</f>
        <v>1636.9</v>
      </c>
      <c r="AC72" s="61">
        <f>SUM(AC73:AC73)</f>
        <v>1907.5</v>
      </c>
      <c r="AD72" s="40">
        <f>AC72/AB72*100</f>
        <v>116.53124809090355</v>
      </c>
      <c r="AE72" s="61">
        <f>SUM(AE73:AE73)</f>
        <v>1534.5</v>
      </c>
      <c r="AF72" s="61">
        <f>SUM(AF73:AF73)</f>
        <v>1451.8</v>
      </c>
      <c r="AG72" s="40">
        <f>AF72/AE72*100</f>
        <v>94.61062235255784</v>
      </c>
      <c r="AH72" s="61">
        <f>SUM(AH73:AH73)</f>
        <v>0</v>
      </c>
      <c r="AI72" s="61">
        <f>SUM(AI73:AI73)</f>
        <v>0</v>
      </c>
      <c r="AJ72" s="40" t="e">
        <f t="shared" si="16"/>
        <v>#DIV/0!</v>
      </c>
      <c r="AK72" s="61">
        <f>SUM(AK73:AK73)</f>
        <v>3171.4</v>
      </c>
      <c r="AL72" s="61">
        <f>SUM(AL73:AL73)</f>
        <v>3359.3</v>
      </c>
      <c r="AM72" s="40">
        <f t="shared" si="17"/>
        <v>105.92482815160497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13992.699999999999</v>
      </c>
      <c r="AU72" s="39">
        <f t="shared" si="25"/>
        <v>12165.599999999999</v>
      </c>
      <c r="AV72" s="40">
        <f t="shared" si="19"/>
        <v>86.94247714879901</v>
      </c>
      <c r="AW72" s="61">
        <f>AW73</f>
        <v>1827.1000000000004</v>
      </c>
      <c r="AX72" s="61">
        <f>AX73</f>
        <v>1402.6000000000004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51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21"/>
        <v>82.02599731062304</v>
      </c>
      <c r="S73" s="43">
        <v>1777.2</v>
      </c>
      <c r="T73" s="43">
        <v>1900.1</v>
      </c>
      <c r="U73" s="40">
        <f t="shared" si="22"/>
        <v>106.91537249606122</v>
      </c>
      <c r="V73" s="43">
        <v>1877.8</v>
      </c>
      <c r="W73" s="43">
        <v>1843.6</v>
      </c>
      <c r="X73" s="40">
        <f>W73/V73*100</f>
        <v>98.17871977846416</v>
      </c>
      <c r="Y73" s="44">
        <f>P73+S73+V73</f>
        <v>5439.8</v>
      </c>
      <c r="Z73" s="44">
        <f>Q73+T73+W73</f>
        <v>5207.7</v>
      </c>
      <c r="AA73" s="40">
        <f t="shared" si="12"/>
        <v>95.73329901834626</v>
      </c>
      <c r="AB73" s="43">
        <v>1636.9</v>
      </c>
      <c r="AC73" s="43">
        <v>1907.5</v>
      </c>
      <c r="AD73" s="40">
        <f>AC73/AB73*100</f>
        <v>116.53124809090355</v>
      </c>
      <c r="AE73" s="43">
        <v>1534.5</v>
      </c>
      <c r="AF73" s="43">
        <v>1451.8</v>
      </c>
      <c r="AG73" s="40">
        <f>AF73/AE73*100</f>
        <v>94.61062235255784</v>
      </c>
      <c r="AH73" s="43"/>
      <c r="AI73" s="43"/>
      <c r="AJ73" s="40"/>
      <c r="AK73" s="44">
        <f>AB73+AE73+AH73</f>
        <v>3171.4</v>
      </c>
      <c r="AL73" s="44">
        <f>AC73+AF73+AI73</f>
        <v>3359.3</v>
      </c>
      <c r="AM73" s="40">
        <f t="shared" si="17"/>
        <v>105.92482815160497</v>
      </c>
      <c r="AN73" s="43"/>
      <c r="AO73" s="43"/>
      <c r="AP73" s="43"/>
      <c r="AQ73" s="43"/>
      <c r="AR73" s="43"/>
      <c r="AS73" s="43"/>
      <c r="AT73" s="76">
        <f t="shared" si="25"/>
        <v>13992.699999999999</v>
      </c>
      <c r="AU73" s="76">
        <f t="shared" si="25"/>
        <v>12165.599999999999</v>
      </c>
      <c r="AV73" s="40">
        <f t="shared" si="19"/>
        <v>86.94247714879901</v>
      </c>
      <c r="AW73" s="44">
        <f t="shared" si="24"/>
        <v>1827.1000000000004</v>
      </c>
      <c r="AX73" s="45">
        <f>C73+AT73-AU73</f>
        <v>1402.6000000000004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51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1727.5</v>
      </c>
      <c r="R74" s="40">
        <f t="shared" si="21"/>
        <v>85.23287941582791</v>
      </c>
      <c r="S74" s="61">
        <f>S72+S7</f>
        <v>2053.2</v>
      </c>
      <c r="T74" s="61">
        <f>T72+T7</f>
        <v>2110</v>
      </c>
      <c r="U74" s="40">
        <f t="shared" si="22"/>
        <v>102.76641340346777</v>
      </c>
      <c r="V74" s="61">
        <f>V72+V7</f>
        <v>2148.2000000000003</v>
      </c>
      <c r="W74" s="61">
        <f>W72+W7</f>
        <v>2178.4</v>
      </c>
      <c r="X74" s="40">
        <f>W74/V74*100</f>
        <v>101.40582813518293</v>
      </c>
      <c r="Y74" s="61">
        <f>Y72+Y7</f>
        <v>6228.2</v>
      </c>
      <c r="Z74" s="61">
        <f>Z72+Z7</f>
        <v>6015.9</v>
      </c>
      <c r="AA74" s="40">
        <f>Z74/Y74*100</f>
        <v>96.59131049099258</v>
      </c>
      <c r="AB74" s="61">
        <f>AB72+AB7</f>
        <v>1934.8000000000002</v>
      </c>
      <c r="AC74" s="61">
        <f>AC72+AC7</f>
        <v>2171.2</v>
      </c>
      <c r="AD74" s="40">
        <f>AC74/AB74*100</f>
        <v>112.21831713872233</v>
      </c>
      <c r="AE74" s="61">
        <f>AE72+AE7</f>
        <v>1767</v>
      </c>
      <c r="AF74" s="61">
        <f>AF72+AF7</f>
        <v>1718.3000000000002</v>
      </c>
      <c r="AG74" s="40">
        <f>AF74/AE74*100</f>
        <v>97.24391624221846</v>
      </c>
      <c r="AH74" s="61">
        <f>AH72+AH7</f>
        <v>0</v>
      </c>
      <c r="AI74" s="61">
        <f>AI72+AI7</f>
        <v>0</v>
      </c>
      <c r="AJ74" s="40" t="e">
        <f t="shared" si="16"/>
        <v>#DIV/0!</v>
      </c>
      <c r="AK74" s="61">
        <f>AK72+AK7</f>
        <v>3701.8</v>
      </c>
      <c r="AL74" s="61">
        <f>AL72+AL7</f>
        <v>3889.5</v>
      </c>
      <c r="AM74" s="40">
        <f>AL74/AK74*100</f>
        <v>105.07050624020746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5"/>
        <v>16099.900000000001</v>
      </c>
      <c r="AU74" s="39">
        <f t="shared" si="25"/>
        <v>14098.6</v>
      </c>
      <c r="AV74" s="40">
        <f>AU74/AT74*100</f>
        <v>87.56948800924229</v>
      </c>
      <c r="AW74" s="61">
        <f>AW72+AW7</f>
        <v>2001.3000000000004</v>
      </c>
      <c r="AX74" s="61">
        <f>AX72+AX7</f>
        <v>1555.1000000000004</v>
      </c>
      <c r="AY74" s="21"/>
      <c r="AZ74" s="20"/>
      <c r="BA74" s="20"/>
      <c r="BB74" s="17"/>
      <c r="BC74" s="17"/>
      <c r="BD74" s="17"/>
      <c r="BE74" s="17"/>
    </row>
    <row r="75" spans="1:50" ht="73.5" customHeight="1" hidden="1">
      <c r="A75" s="150" t="s">
        <v>45</v>
      </c>
      <c r="B75" s="150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M5:O5"/>
    <mergeCell ref="AB5:AD5"/>
    <mergeCell ref="AH5:AJ5"/>
    <mergeCell ref="D5:F5"/>
    <mergeCell ref="G5:I5"/>
    <mergeCell ref="A75:B7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AP5:AQ5"/>
    <mergeCell ref="V5:X5"/>
    <mergeCell ref="AE5:AG5"/>
    <mergeCell ref="Y5:AA5"/>
    <mergeCell ref="P5:R5"/>
    <mergeCell ref="AR5:AS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tabSelected="1" view="pageBreakPreview" zoomScale="50" zoomScaleNormal="50" zoomScaleSheetLayoutView="50" zoomScalePageLayoutView="0" workbookViewId="0" topLeftCell="A3">
      <pane xSplit="6" ySplit="5" topLeftCell="AB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B4" sqref="AB1:AD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2" t="s">
        <v>174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26" customFormat="1" ht="60" customHeight="1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43" t="s">
        <v>56</v>
      </c>
      <c r="K5" s="145"/>
      <c r="L5" s="144"/>
      <c r="M5" s="143" t="s">
        <v>67</v>
      </c>
      <c r="N5" s="145"/>
      <c r="O5" s="144"/>
      <c r="P5" s="143" t="s">
        <v>57</v>
      </c>
      <c r="Q5" s="145"/>
      <c r="R5" s="144"/>
      <c r="S5" s="139" t="s">
        <v>58</v>
      </c>
      <c r="T5" s="140"/>
      <c r="U5" s="141"/>
      <c r="V5" s="139" t="s">
        <v>59</v>
      </c>
      <c r="W5" s="140"/>
      <c r="X5" s="141"/>
      <c r="Y5" s="143" t="s">
        <v>68</v>
      </c>
      <c r="Z5" s="145"/>
      <c r="AA5" s="144"/>
      <c r="AB5" s="143" t="s">
        <v>60</v>
      </c>
      <c r="AC5" s="145"/>
      <c r="AD5" s="144"/>
      <c r="AE5" s="143" t="s">
        <v>61</v>
      </c>
      <c r="AF5" s="145"/>
      <c r="AG5" s="144"/>
      <c r="AH5" s="143" t="s">
        <v>62</v>
      </c>
      <c r="AI5" s="145"/>
      <c r="AJ5" s="144"/>
      <c r="AK5" s="143" t="s">
        <v>63</v>
      </c>
      <c r="AL5" s="145"/>
      <c r="AM5" s="144"/>
      <c r="AN5" s="143" t="s">
        <v>64</v>
      </c>
      <c r="AO5" s="144"/>
      <c r="AP5" s="143" t="s">
        <v>65</v>
      </c>
      <c r="AQ5" s="144"/>
      <c r="AR5" s="143" t="s">
        <v>66</v>
      </c>
      <c r="AS5" s="144"/>
      <c r="AT5" s="134" t="s">
        <v>125</v>
      </c>
      <c r="AU5" s="135"/>
      <c r="AV5" s="136"/>
      <c r="AW5" s="147" t="s">
        <v>175</v>
      </c>
      <c r="AX5" s="137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38"/>
    </row>
    <row r="7" spans="1:59" s="9" customFormat="1" ht="34.5" customHeight="1">
      <c r="A7" s="8"/>
      <c r="B7" s="89" t="s">
        <v>127</v>
      </c>
      <c r="C7" s="40">
        <f>SUM(C8:C71)-C8-C14-C23-C30-C39-C45-C61</f>
        <v>8067.4000000000015</v>
      </c>
      <c r="D7" s="40">
        <f aca="true" t="shared" si="0" ref="D7:AX7">SUM(D8:D71)-D8-D14-D23-D30-D39-D45-D61</f>
        <v>4540.700000000003</v>
      </c>
      <c r="E7" s="40">
        <f t="shared" si="0"/>
        <v>3634.500000000001</v>
      </c>
      <c r="F7" s="41">
        <f aca="true" t="shared" si="1" ref="F7:F51">E7/D7*100</f>
        <v>80.04272469002575</v>
      </c>
      <c r="G7" s="40">
        <f t="shared" si="0"/>
        <v>4733.999999999999</v>
      </c>
      <c r="H7" s="40">
        <f t="shared" si="0"/>
        <v>4317.700000000002</v>
      </c>
      <c r="I7" s="41">
        <f>H7/G7*100</f>
        <v>91.2061681453317</v>
      </c>
      <c r="J7" s="40">
        <f t="shared" si="0"/>
        <v>5224.200000000003</v>
      </c>
      <c r="K7" s="40">
        <f t="shared" si="0"/>
        <v>5040.9000000000015</v>
      </c>
      <c r="L7" s="40">
        <f>K7/J7*100</f>
        <v>96.49132881589524</v>
      </c>
      <c r="M7" s="40">
        <f t="shared" si="0"/>
        <v>14498.900000000001</v>
      </c>
      <c r="N7" s="40">
        <f t="shared" si="0"/>
        <v>12993.100000000006</v>
      </c>
      <c r="O7" s="40">
        <f>N7/M7*100</f>
        <v>89.61438453951682</v>
      </c>
      <c r="P7" s="40">
        <f t="shared" si="0"/>
        <v>4818.199999999999</v>
      </c>
      <c r="Q7" s="40">
        <f t="shared" si="0"/>
        <v>4331</v>
      </c>
      <c r="R7" s="40">
        <f>Q7/P7*100</f>
        <v>89.88834004399986</v>
      </c>
      <c r="S7" s="40">
        <f t="shared" si="0"/>
        <v>4578.0999999999985</v>
      </c>
      <c r="T7" s="40">
        <f t="shared" si="0"/>
        <v>4367.200000000002</v>
      </c>
      <c r="U7" s="40">
        <f>T7/S7*100</f>
        <v>95.3932854240843</v>
      </c>
      <c r="V7" s="40">
        <f t="shared" si="0"/>
        <v>5002.199999999998</v>
      </c>
      <c r="W7" s="40">
        <f t="shared" si="0"/>
        <v>4637.100000000001</v>
      </c>
      <c r="X7" s="40">
        <f>W7/V7*100</f>
        <v>92.7012114669546</v>
      </c>
      <c r="Y7" s="40">
        <f t="shared" si="0"/>
        <v>14398.5</v>
      </c>
      <c r="Z7" s="40">
        <f t="shared" si="0"/>
        <v>13335.299999999996</v>
      </c>
      <c r="AA7" s="40">
        <f>Z7/Y7*100</f>
        <v>92.61589748932178</v>
      </c>
      <c r="AB7" s="40">
        <f t="shared" si="0"/>
        <v>5003.299999999997</v>
      </c>
      <c r="AC7" s="40">
        <f t="shared" si="0"/>
        <v>4304.399999999999</v>
      </c>
      <c r="AD7" s="40">
        <f>AC7/AB7*100</f>
        <v>86.03121939519919</v>
      </c>
      <c r="AE7" s="40">
        <f t="shared" si="0"/>
        <v>4630.419999999999</v>
      </c>
      <c r="AF7" s="40">
        <f t="shared" si="0"/>
        <v>4874</v>
      </c>
      <c r="AG7" s="40">
        <f>AF7/AE7*100</f>
        <v>105.26042993940077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9633.719999999994</v>
      </c>
      <c r="AL7" s="40">
        <f t="shared" si="0"/>
        <v>9178.4</v>
      </c>
      <c r="AM7" s="40">
        <f>AL7/AK7*100</f>
        <v>95.27368451646929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242.7</v>
      </c>
      <c r="AS7" s="40">
        <f t="shared" si="0"/>
        <v>246.5</v>
      </c>
      <c r="AT7" s="39">
        <f aca="true" t="shared" si="2" ref="AT7:AU9">M7+Y7+AK7+AN7+AP7+AR7</f>
        <v>38773.81999999999</v>
      </c>
      <c r="AU7" s="39">
        <f t="shared" si="2"/>
        <v>35753.3</v>
      </c>
      <c r="AV7" s="40">
        <f>AU7/AT7*100</f>
        <v>92.20989832830504</v>
      </c>
      <c r="AW7" s="40">
        <f t="shared" si="0"/>
        <v>3020.5199999999995</v>
      </c>
      <c r="AX7" s="40">
        <f t="shared" si="0"/>
        <v>11087.920000000011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227.20000000000002</v>
      </c>
      <c r="T8" s="57">
        <f t="shared" si="8"/>
        <v>198.10000000000002</v>
      </c>
      <c r="U8" s="57">
        <f t="shared" si="8"/>
        <v>409.0418105011681</v>
      </c>
      <c r="V8" s="57">
        <f t="shared" si="8"/>
        <v>257.9</v>
      </c>
      <c r="W8" s="57">
        <f t="shared" si="8"/>
        <v>250.2</v>
      </c>
      <c r="X8" s="40">
        <f aca="true" t="shared" si="9" ref="X8:X24">W8/V8*100</f>
        <v>97.01434664598682</v>
      </c>
      <c r="Y8" s="40">
        <f aca="true" t="shared" si="10" ref="Y8:Y39">P8+S8+V8</f>
        <v>722.1</v>
      </c>
      <c r="Z8" s="40">
        <f aca="true" t="shared" si="11" ref="Z8:Z39">Q8+T8+W8</f>
        <v>670.8</v>
      </c>
      <c r="AA8" s="40">
        <f aca="true" t="shared" si="12" ref="AA8:AA73">Z8/Y8*100</f>
        <v>92.89572081429164</v>
      </c>
      <c r="AB8" s="57">
        <f aca="true" t="shared" si="13" ref="AB8:AI8">SUM(AB9:AB13)</f>
        <v>255.70000000000002</v>
      </c>
      <c r="AC8" s="57">
        <f t="shared" si="13"/>
        <v>250.3</v>
      </c>
      <c r="AD8" s="40">
        <f aca="true" t="shared" si="14" ref="AD8:AD71">AC8/AB8*100</f>
        <v>97.88815017598749</v>
      </c>
      <c r="AE8" s="57">
        <f t="shared" si="13"/>
        <v>297.20000000000005</v>
      </c>
      <c r="AF8" s="57">
        <f t="shared" si="13"/>
        <v>283.50000000000006</v>
      </c>
      <c r="AG8" s="40">
        <f aca="true" t="shared" si="15" ref="AG8:AG71">AF8/AE8*100</f>
        <v>95.39030955585464</v>
      </c>
      <c r="AH8" s="57">
        <f t="shared" si="13"/>
        <v>0</v>
      </c>
      <c r="AI8" s="57">
        <f t="shared" si="13"/>
        <v>0</v>
      </c>
      <c r="AJ8" s="40" t="e">
        <f aca="true" t="shared" si="16" ref="AJ8:AJ74">AI8/AH8*100</f>
        <v>#DIV/0!</v>
      </c>
      <c r="AK8" s="40">
        <f>AB8+AE8+AH8</f>
        <v>552.9000000000001</v>
      </c>
      <c r="AL8" s="40">
        <f>AC8+AF8+AI8</f>
        <v>533.8000000000001</v>
      </c>
      <c r="AM8" s="40">
        <f aca="true" t="shared" si="17" ref="AM8:AM73">AL8/AK8*100</f>
        <v>96.54548742991499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1974.3000000000002</v>
      </c>
      <c r="AU8" s="39">
        <f t="shared" si="2"/>
        <v>1858.4</v>
      </c>
      <c r="AV8" s="40">
        <f aca="true" t="shared" si="19" ref="AV8:AV73">AU8/AT8*100</f>
        <v>94.1295649090817</v>
      </c>
      <c r="AW8" s="40">
        <f>AT8-AU8</f>
        <v>115.90000000000009</v>
      </c>
      <c r="AX8" s="61">
        <f aca="true" t="shared" si="20" ref="AX8:AX39">C8+AT8-AU8</f>
        <v>146.9000000000001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21" ref="R9:R74">Q9/P9*100</f>
        <v>86.25180897250362</v>
      </c>
      <c r="S9" s="73">
        <v>61.6</v>
      </c>
      <c r="T9" s="73">
        <v>40.7</v>
      </c>
      <c r="U9" s="38">
        <f aca="true" t="shared" si="22" ref="U9:U74">T9/S9*100</f>
        <v>66.07142857142857</v>
      </c>
      <c r="V9" s="73">
        <v>77.6</v>
      </c>
      <c r="W9" s="73">
        <v>71.5</v>
      </c>
      <c r="X9" s="38">
        <f t="shared" si="9"/>
        <v>92.13917525773196</v>
      </c>
      <c r="Y9" s="75">
        <f t="shared" si="10"/>
        <v>208.29999999999998</v>
      </c>
      <c r="Z9" s="75">
        <f t="shared" si="11"/>
        <v>171.8</v>
      </c>
      <c r="AA9" s="38">
        <f t="shared" si="12"/>
        <v>82.47719635141624</v>
      </c>
      <c r="AB9" s="73">
        <v>84.1</v>
      </c>
      <c r="AC9" s="73">
        <v>78</v>
      </c>
      <c r="AD9" s="40">
        <f t="shared" si="14"/>
        <v>92.74673008323425</v>
      </c>
      <c r="AE9" s="73">
        <v>94.8</v>
      </c>
      <c r="AF9" s="73">
        <v>93.7</v>
      </c>
      <c r="AG9" s="40">
        <f t="shared" si="15"/>
        <v>98.8396624472574</v>
      </c>
      <c r="AH9" s="73"/>
      <c r="AI9" s="73"/>
      <c r="AJ9" s="38" t="e">
        <f t="shared" si="16"/>
        <v>#DIV/0!</v>
      </c>
      <c r="AK9" s="75">
        <f aca="true" t="shared" si="23" ref="AK9:AL62">AB9+AE9+AH9</f>
        <v>178.89999999999998</v>
      </c>
      <c r="AL9" s="75">
        <f t="shared" si="23"/>
        <v>171.7</v>
      </c>
      <c r="AM9" s="38">
        <f t="shared" si="17"/>
        <v>95.97540525433203</v>
      </c>
      <c r="AN9" s="73"/>
      <c r="AO9" s="73"/>
      <c r="AP9" s="73"/>
      <c r="AQ9" s="73"/>
      <c r="AR9" s="73"/>
      <c r="AS9" s="73"/>
      <c r="AT9" s="76">
        <f t="shared" si="2"/>
        <v>584.4</v>
      </c>
      <c r="AU9" s="76">
        <f t="shared" si="2"/>
        <v>521.5999999999999</v>
      </c>
      <c r="AV9" s="38">
        <f t="shared" si="19"/>
        <v>89.25393566050649</v>
      </c>
      <c r="AW9" s="75">
        <f aca="true" t="shared" si="24" ref="AW9:AW73">AT9-AU9</f>
        <v>62.80000000000007</v>
      </c>
      <c r="AX9" s="77">
        <f t="shared" si="20"/>
        <v>42.60000000000002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21"/>
        <v>88.75562218890555</v>
      </c>
      <c r="S10" s="43">
        <f>123.7+2.6</f>
        <v>126.3</v>
      </c>
      <c r="T10" s="43">
        <f>130+2.4</f>
        <v>132.4</v>
      </c>
      <c r="U10" s="46">
        <f t="shared" si="22"/>
        <v>104.82977038796517</v>
      </c>
      <c r="V10" s="43">
        <v>129.2</v>
      </c>
      <c r="W10" s="43">
        <v>125.9</v>
      </c>
      <c r="X10" s="46">
        <f t="shared" si="9"/>
        <v>97.44582043343655</v>
      </c>
      <c r="Y10" s="44">
        <f t="shared" si="10"/>
        <v>388.9</v>
      </c>
      <c r="Z10" s="44">
        <f t="shared" si="11"/>
        <v>376.70000000000005</v>
      </c>
      <c r="AA10" s="40">
        <f t="shared" si="12"/>
        <v>96.86294677294937</v>
      </c>
      <c r="AB10" s="43">
        <f>122.9+3.2</f>
        <v>126.10000000000001</v>
      </c>
      <c r="AC10" s="43">
        <f>133.2+6.3</f>
        <v>139.5</v>
      </c>
      <c r="AD10" s="40">
        <f t="shared" si="14"/>
        <v>110.6264869151467</v>
      </c>
      <c r="AE10" s="43">
        <v>126.2</v>
      </c>
      <c r="AF10" s="43">
        <v>128.1</v>
      </c>
      <c r="AG10" s="40">
        <f t="shared" si="15"/>
        <v>101.50554675118859</v>
      </c>
      <c r="AH10" s="43"/>
      <c r="AI10" s="43"/>
      <c r="AJ10" s="40" t="e">
        <f t="shared" si="16"/>
        <v>#DIV/0!</v>
      </c>
      <c r="AK10" s="44">
        <f t="shared" si="23"/>
        <v>252.3</v>
      </c>
      <c r="AL10" s="44">
        <f t="shared" si="23"/>
        <v>267.6</v>
      </c>
      <c r="AM10" s="40">
        <f t="shared" si="17"/>
        <v>106.06420927467302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1020.5999999999999</v>
      </c>
      <c r="AU10" s="76">
        <f t="shared" si="25"/>
        <v>1020.3000000000001</v>
      </c>
      <c r="AV10" s="40">
        <f>AU10/AT10*100</f>
        <v>99.9706055261611</v>
      </c>
      <c r="AW10" s="44">
        <f>AT10-AU10</f>
        <v>0.29999999999984084</v>
      </c>
      <c r="AX10" s="45">
        <f t="shared" si="20"/>
        <v>55.89999999999975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21"/>
        <v>110.71428571428572</v>
      </c>
      <c r="S11" s="43">
        <v>8</v>
      </c>
      <c r="T11" s="43">
        <v>8.1</v>
      </c>
      <c r="U11" s="40">
        <f t="shared" si="22"/>
        <v>101.25</v>
      </c>
      <c r="V11" s="43">
        <v>17.6</v>
      </c>
      <c r="W11" s="43">
        <v>13.6</v>
      </c>
      <c r="X11" s="40">
        <f t="shared" si="9"/>
        <v>77.27272727272727</v>
      </c>
      <c r="Y11" s="44">
        <f t="shared" si="10"/>
        <v>31.200000000000003</v>
      </c>
      <c r="Z11" s="44">
        <f t="shared" si="11"/>
        <v>27.9</v>
      </c>
      <c r="AA11" s="40">
        <f t="shared" si="12"/>
        <v>89.4230769230769</v>
      </c>
      <c r="AB11" s="43">
        <v>10.4</v>
      </c>
      <c r="AC11" s="43">
        <v>6.8</v>
      </c>
      <c r="AD11" s="40">
        <f t="shared" si="14"/>
        <v>65.38461538461539</v>
      </c>
      <c r="AE11" s="43">
        <v>33.4</v>
      </c>
      <c r="AF11" s="43">
        <v>30.5</v>
      </c>
      <c r="AG11" s="40">
        <f t="shared" si="15"/>
        <v>91.31736526946108</v>
      </c>
      <c r="AH11" s="43"/>
      <c r="AI11" s="43"/>
      <c r="AJ11" s="40" t="e">
        <f t="shared" si="16"/>
        <v>#DIV/0!</v>
      </c>
      <c r="AK11" s="44">
        <f t="shared" si="23"/>
        <v>43.8</v>
      </c>
      <c r="AL11" s="44">
        <f t="shared" si="23"/>
        <v>37.3</v>
      </c>
      <c r="AM11" s="40">
        <f t="shared" si="17"/>
        <v>85.15981735159818</v>
      </c>
      <c r="AN11" s="43"/>
      <c r="AO11" s="43"/>
      <c r="AP11" s="43"/>
      <c r="AQ11" s="43"/>
      <c r="AR11" s="43"/>
      <c r="AS11" s="43"/>
      <c r="AT11" s="76">
        <f t="shared" si="25"/>
        <v>103</v>
      </c>
      <c r="AU11" s="76">
        <f t="shared" si="25"/>
        <v>91.69999999999999</v>
      </c>
      <c r="AV11" s="40">
        <f t="shared" si="19"/>
        <v>89.02912621359222</v>
      </c>
      <c r="AW11" s="44">
        <f t="shared" si="24"/>
        <v>11.300000000000011</v>
      </c>
      <c r="AX11" s="45">
        <f t="shared" si="20"/>
        <v>-19.299999999999983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21"/>
        <v>158.33333333333331</v>
      </c>
      <c r="S12" s="43">
        <v>4.3</v>
      </c>
      <c r="T12" s="43">
        <v>3.8</v>
      </c>
      <c r="U12" s="40">
        <f t="shared" si="22"/>
        <v>88.37209302325581</v>
      </c>
      <c r="V12" s="43">
        <v>2.7</v>
      </c>
      <c r="W12" s="43">
        <v>3.4</v>
      </c>
      <c r="X12" s="48">
        <f t="shared" si="9"/>
        <v>125.92592592592591</v>
      </c>
      <c r="Y12" s="44">
        <f t="shared" si="10"/>
        <v>9.399999999999999</v>
      </c>
      <c r="Z12" s="44">
        <f t="shared" si="11"/>
        <v>11</v>
      </c>
      <c r="AA12" s="40">
        <f t="shared" si="12"/>
        <v>117.02127659574471</v>
      </c>
      <c r="AB12" s="43">
        <v>6.8</v>
      </c>
      <c r="AC12" s="43">
        <v>2.5</v>
      </c>
      <c r="AD12" s="40">
        <f t="shared" si="14"/>
        <v>36.76470588235294</v>
      </c>
      <c r="AE12" s="43">
        <v>13.2</v>
      </c>
      <c r="AF12" s="43">
        <v>8.1</v>
      </c>
      <c r="AG12" s="40">
        <f t="shared" si="15"/>
        <v>61.36363636363637</v>
      </c>
      <c r="AH12" s="43"/>
      <c r="AI12" s="43"/>
      <c r="AJ12" s="40" t="e">
        <f t="shared" si="16"/>
        <v>#DIV/0!</v>
      </c>
      <c r="AK12" s="44">
        <f t="shared" si="23"/>
        <v>20</v>
      </c>
      <c r="AL12" s="44">
        <f t="shared" si="23"/>
        <v>10.6</v>
      </c>
      <c r="AM12" s="40">
        <f t="shared" si="17"/>
        <v>53</v>
      </c>
      <c r="AN12" s="43"/>
      <c r="AO12" s="43"/>
      <c r="AP12" s="43"/>
      <c r="AQ12" s="43"/>
      <c r="AR12" s="43"/>
      <c r="AS12" s="43"/>
      <c r="AT12" s="76">
        <f t="shared" si="25"/>
        <v>40.5</v>
      </c>
      <c r="AU12" s="76">
        <f t="shared" si="25"/>
        <v>33</v>
      </c>
      <c r="AV12" s="40">
        <f t="shared" si="19"/>
        <v>81.48148148148148</v>
      </c>
      <c r="AW12" s="44">
        <f t="shared" si="24"/>
        <v>7.5</v>
      </c>
      <c r="AX12" s="45">
        <f t="shared" si="20"/>
        <v>13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21"/>
        <v>130.18867924528303</v>
      </c>
      <c r="S13" s="43">
        <v>27</v>
      </c>
      <c r="T13" s="43">
        <v>13.1</v>
      </c>
      <c r="U13" s="40">
        <f t="shared" si="22"/>
        <v>48.51851851851852</v>
      </c>
      <c r="V13" s="43">
        <v>30.8</v>
      </c>
      <c r="W13" s="43">
        <v>35.8</v>
      </c>
      <c r="X13" s="40">
        <f t="shared" si="9"/>
        <v>116.23376623376622</v>
      </c>
      <c r="Y13" s="44">
        <f t="shared" si="10"/>
        <v>84.3</v>
      </c>
      <c r="Z13" s="44">
        <f t="shared" si="11"/>
        <v>83.4</v>
      </c>
      <c r="AA13" s="40">
        <f t="shared" si="12"/>
        <v>98.93238434163703</v>
      </c>
      <c r="AB13" s="43">
        <v>28.3</v>
      </c>
      <c r="AC13" s="43">
        <v>23.5</v>
      </c>
      <c r="AD13" s="40">
        <f t="shared" si="14"/>
        <v>83.03886925795054</v>
      </c>
      <c r="AE13" s="43">
        <v>29.6</v>
      </c>
      <c r="AF13" s="43">
        <v>23.1</v>
      </c>
      <c r="AG13" s="40">
        <f t="shared" si="15"/>
        <v>78.04054054054053</v>
      </c>
      <c r="AH13" s="43"/>
      <c r="AI13" s="43"/>
      <c r="AJ13" s="40" t="e">
        <f t="shared" si="16"/>
        <v>#DIV/0!</v>
      </c>
      <c r="AK13" s="44">
        <f t="shared" si="23"/>
        <v>57.900000000000006</v>
      </c>
      <c r="AL13" s="44">
        <f t="shared" si="23"/>
        <v>46.6</v>
      </c>
      <c r="AM13" s="40">
        <f t="shared" si="17"/>
        <v>80.48359240069084</v>
      </c>
      <c r="AN13" s="43"/>
      <c r="AO13" s="43"/>
      <c r="AP13" s="43"/>
      <c r="AQ13" s="43"/>
      <c r="AR13" s="43"/>
      <c r="AS13" s="43"/>
      <c r="AT13" s="76">
        <f t="shared" si="25"/>
        <v>225.79999999999998</v>
      </c>
      <c r="AU13" s="76">
        <f t="shared" si="25"/>
        <v>191.79999999999998</v>
      </c>
      <c r="AV13" s="40">
        <f t="shared" si="19"/>
        <v>84.94242692648362</v>
      </c>
      <c r="AW13" s="44">
        <f t="shared" si="24"/>
        <v>34</v>
      </c>
      <c r="AX13" s="45">
        <f t="shared" si="20"/>
        <v>54.69999999999999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392.4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6" ref="P14:W14">SUM(P15:P22)</f>
        <v>878.3000000000002</v>
      </c>
      <c r="Q14" s="57">
        <f t="shared" si="26"/>
        <v>731.2</v>
      </c>
      <c r="R14" s="57" t="e">
        <f t="shared" si="26"/>
        <v>#DIV/0!</v>
      </c>
      <c r="S14" s="57">
        <f t="shared" si="26"/>
        <v>909.5</v>
      </c>
      <c r="T14" s="57">
        <f t="shared" si="26"/>
        <v>978.7</v>
      </c>
      <c r="U14" s="57" t="e">
        <f t="shared" si="26"/>
        <v>#DIV/0!</v>
      </c>
      <c r="V14" s="57">
        <f t="shared" si="26"/>
        <v>991.2</v>
      </c>
      <c r="W14" s="57">
        <f t="shared" si="26"/>
        <v>833</v>
      </c>
      <c r="X14" s="40">
        <f t="shared" si="9"/>
        <v>84.03954802259886</v>
      </c>
      <c r="Y14" s="40">
        <f t="shared" si="10"/>
        <v>2779</v>
      </c>
      <c r="Z14" s="40">
        <f t="shared" si="11"/>
        <v>2542.9</v>
      </c>
      <c r="AA14" s="40">
        <f t="shared" si="12"/>
        <v>91.50413817920115</v>
      </c>
      <c r="AB14" s="57">
        <f aca="true" t="shared" si="27" ref="AB14:AI14">SUM(AB15:AB22)</f>
        <v>1161.1</v>
      </c>
      <c r="AC14" s="57">
        <f t="shared" si="27"/>
        <v>1175.3</v>
      </c>
      <c r="AD14" s="40">
        <f t="shared" si="14"/>
        <v>101.2229782103178</v>
      </c>
      <c r="AE14" s="57">
        <f t="shared" si="27"/>
        <v>1026.8000000000002</v>
      </c>
      <c r="AF14" s="57">
        <f t="shared" si="27"/>
        <v>1182.9999999999998</v>
      </c>
      <c r="AG14" s="40">
        <f t="shared" si="15"/>
        <v>115.21231008959872</v>
      </c>
      <c r="AH14" s="57">
        <f t="shared" si="27"/>
        <v>0</v>
      </c>
      <c r="AI14" s="57">
        <f t="shared" si="27"/>
        <v>0</v>
      </c>
      <c r="AJ14" s="40" t="e">
        <f t="shared" si="16"/>
        <v>#DIV/0!</v>
      </c>
      <c r="AK14" s="40">
        <f t="shared" si="23"/>
        <v>2187.9</v>
      </c>
      <c r="AL14" s="40">
        <f t="shared" si="23"/>
        <v>2358.2999999999997</v>
      </c>
      <c r="AM14" s="40">
        <f t="shared" si="17"/>
        <v>107.7882901412313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7465.699999999999</v>
      </c>
      <c r="AU14" s="39">
        <f t="shared" si="25"/>
        <v>7532.299999999999</v>
      </c>
      <c r="AV14" s="40">
        <f t="shared" si="19"/>
        <v>100.89207977818558</v>
      </c>
      <c r="AW14" s="40">
        <f t="shared" si="24"/>
        <v>-66.60000000000036</v>
      </c>
      <c r="AX14" s="61">
        <f t="shared" si="20"/>
        <v>325.7999999999993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21"/>
        <v>75.8871989860583</v>
      </c>
      <c r="S15" s="43">
        <v>645.9</v>
      </c>
      <c r="T15" s="43">
        <v>725</v>
      </c>
      <c r="U15" s="40">
        <f t="shared" si="22"/>
        <v>112.24647778293854</v>
      </c>
      <c r="V15" s="43">
        <v>679.4</v>
      </c>
      <c r="W15" s="43">
        <v>567.9</v>
      </c>
      <c r="X15" s="40">
        <f t="shared" si="9"/>
        <v>83.5884604062408</v>
      </c>
      <c r="Y15" s="44">
        <f t="shared" si="10"/>
        <v>1956.5</v>
      </c>
      <c r="Z15" s="44">
        <f t="shared" si="11"/>
        <v>1771.9</v>
      </c>
      <c r="AA15" s="40">
        <f t="shared" si="12"/>
        <v>90.56478405315616</v>
      </c>
      <c r="AB15" s="43">
        <v>801.2</v>
      </c>
      <c r="AC15" s="43">
        <v>805.3</v>
      </c>
      <c r="AD15" s="40">
        <f t="shared" si="14"/>
        <v>100.51173240139791</v>
      </c>
      <c r="AE15" s="43">
        <v>699.1</v>
      </c>
      <c r="AF15" s="43">
        <v>819.3</v>
      </c>
      <c r="AG15" s="40">
        <f t="shared" si="15"/>
        <v>117.19353454441423</v>
      </c>
      <c r="AH15" s="43"/>
      <c r="AI15" s="43"/>
      <c r="AJ15" s="40" t="e">
        <f t="shared" si="16"/>
        <v>#DIV/0!</v>
      </c>
      <c r="AK15" s="44">
        <f t="shared" si="23"/>
        <v>1500.3000000000002</v>
      </c>
      <c r="AL15" s="44">
        <f t="shared" si="23"/>
        <v>1624.6</v>
      </c>
      <c r="AM15" s="40">
        <f t="shared" si="17"/>
        <v>108.2850096647337</v>
      </c>
      <c r="AN15" s="43"/>
      <c r="AO15" s="43"/>
      <c r="AP15" s="43"/>
      <c r="AQ15" s="43"/>
      <c r="AR15" s="43"/>
      <c r="AS15" s="43"/>
      <c r="AT15" s="76">
        <f t="shared" si="25"/>
        <v>5268.5</v>
      </c>
      <c r="AU15" s="76">
        <f t="shared" si="25"/>
        <v>5402.700000000001</v>
      </c>
      <c r="AV15" s="40">
        <f t="shared" si="19"/>
        <v>102.54721457720414</v>
      </c>
      <c r="AW15" s="44">
        <f t="shared" si="24"/>
        <v>-134.20000000000073</v>
      </c>
      <c r="AX15" s="45">
        <f t="shared" si="20"/>
        <v>176.4999999999991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21"/>
        <v>68.68131868131869</v>
      </c>
      <c r="S16" s="43">
        <v>13.6</v>
      </c>
      <c r="T16" s="43">
        <v>18.3</v>
      </c>
      <c r="U16" s="40">
        <f t="shared" si="22"/>
        <v>134.55882352941177</v>
      </c>
      <c r="V16" s="43">
        <v>17</v>
      </c>
      <c r="W16" s="43">
        <v>12.3</v>
      </c>
      <c r="X16" s="40">
        <f t="shared" si="9"/>
        <v>72.3529411764706</v>
      </c>
      <c r="Y16" s="44">
        <f t="shared" si="10"/>
        <v>48.8</v>
      </c>
      <c r="Z16" s="44">
        <f t="shared" si="11"/>
        <v>43.1</v>
      </c>
      <c r="AA16" s="40">
        <f t="shared" si="12"/>
        <v>88.31967213114756</v>
      </c>
      <c r="AB16" s="43">
        <v>14.5</v>
      </c>
      <c r="AC16" s="43">
        <v>19.8</v>
      </c>
      <c r="AD16" s="40">
        <f t="shared" si="14"/>
        <v>136.55172413793105</v>
      </c>
      <c r="AE16" s="43">
        <v>14.7</v>
      </c>
      <c r="AF16" s="43">
        <v>14</v>
      </c>
      <c r="AG16" s="40">
        <f t="shared" si="15"/>
        <v>95.23809523809524</v>
      </c>
      <c r="AH16" s="43"/>
      <c r="AI16" s="43"/>
      <c r="AJ16" s="40" t="e">
        <f t="shared" si="16"/>
        <v>#DIV/0!</v>
      </c>
      <c r="AK16" s="44">
        <f t="shared" si="23"/>
        <v>29.2</v>
      </c>
      <c r="AL16" s="44">
        <f t="shared" si="23"/>
        <v>33.8</v>
      </c>
      <c r="AM16" s="40">
        <f t="shared" si="17"/>
        <v>115.75342465753424</v>
      </c>
      <c r="AN16" s="43"/>
      <c r="AO16" s="43"/>
      <c r="AP16" s="43"/>
      <c r="AQ16" s="43"/>
      <c r="AR16" s="43"/>
      <c r="AS16" s="43"/>
      <c r="AT16" s="76">
        <f t="shared" si="25"/>
        <v>123.7</v>
      </c>
      <c r="AU16" s="76">
        <f t="shared" si="25"/>
        <v>116.5</v>
      </c>
      <c r="AV16" s="40">
        <f t="shared" si="19"/>
        <v>94.17946645109134</v>
      </c>
      <c r="AW16" s="44">
        <f t="shared" si="24"/>
        <v>7.200000000000003</v>
      </c>
      <c r="AX16" s="45">
        <f t="shared" si="20"/>
        <v>26.69999999999999</v>
      </c>
      <c r="AY16" s="21">
        <f>8.6+17.8</f>
        <v>26.4</v>
      </c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21"/>
        <v>159.82905982905984</v>
      </c>
      <c r="S17" s="43">
        <v>8.7</v>
      </c>
      <c r="T17" s="43">
        <v>5.7</v>
      </c>
      <c r="U17" s="40">
        <f t="shared" si="22"/>
        <v>65.51724137931035</v>
      </c>
      <c r="V17" s="43">
        <v>15.9</v>
      </c>
      <c r="W17" s="43">
        <v>14.8</v>
      </c>
      <c r="X17" s="40">
        <f t="shared" si="9"/>
        <v>93.08176100628931</v>
      </c>
      <c r="Y17" s="44">
        <f t="shared" si="10"/>
        <v>36.3</v>
      </c>
      <c r="Z17" s="44">
        <f t="shared" si="11"/>
        <v>39.2</v>
      </c>
      <c r="AA17" s="40">
        <f t="shared" si="12"/>
        <v>107.98898071625347</v>
      </c>
      <c r="AB17" s="43">
        <v>14.4</v>
      </c>
      <c r="AC17" s="43">
        <v>18</v>
      </c>
      <c r="AD17" s="40">
        <f t="shared" si="14"/>
        <v>125</v>
      </c>
      <c r="AE17" s="43">
        <v>13.6</v>
      </c>
      <c r="AF17" s="43">
        <v>11.3</v>
      </c>
      <c r="AG17" s="40">
        <f t="shared" si="15"/>
        <v>83.08823529411765</v>
      </c>
      <c r="AH17" s="43"/>
      <c r="AI17" s="43"/>
      <c r="AJ17" s="40" t="e">
        <f t="shared" si="16"/>
        <v>#DIV/0!</v>
      </c>
      <c r="AK17" s="44">
        <f t="shared" si="23"/>
        <v>28</v>
      </c>
      <c r="AL17" s="44">
        <f t="shared" si="23"/>
        <v>29.3</v>
      </c>
      <c r="AM17" s="40">
        <f t="shared" si="17"/>
        <v>104.64285714285715</v>
      </c>
      <c r="AN17" s="43"/>
      <c r="AO17" s="43"/>
      <c r="AP17" s="43"/>
      <c r="AQ17" s="43"/>
      <c r="AR17" s="43"/>
      <c r="AS17" s="43"/>
      <c r="AT17" s="76">
        <f t="shared" si="25"/>
        <v>104.8</v>
      </c>
      <c r="AU17" s="76">
        <f t="shared" si="25"/>
        <v>104.2</v>
      </c>
      <c r="AV17" s="40">
        <f t="shared" si="19"/>
        <v>99.42748091603055</v>
      </c>
      <c r="AW17" s="44">
        <f t="shared" si="24"/>
        <v>0.5999999999999943</v>
      </c>
      <c r="AX17" s="45">
        <f t="shared" si="20"/>
        <v>7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21"/>
        <v>101.74953959484347</v>
      </c>
      <c r="S19" s="43">
        <v>241.3</v>
      </c>
      <c r="T19" s="43">
        <v>229.7</v>
      </c>
      <c r="U19" s="40">
        <f t="shared" si="22"/>
        <v>95.19270617488603</v>
      </c>
      <c r="V19" s="43">
        <v>278.7</v>
      </c>
      <c r="W19" s="43">
        <v>237.8</v>
      </c>
      <c r="X19" s="48">
        <f t="shared" si="9"/>
        <v>85.32472192321492</v>
      </c>
      <c r="Y19" s="44">
        <f t="shared" si="10"/>
        <v>737.2</v>
      </c>
      <c r="Z19" s="44">
        <f t="shared" si="11"/>
        <v>688.5</v>
      </c>
      <c r="AA19" s="40">
        <f t="shared" si="12"/>
        <v>93.39392295170916</v>
      </c>
      <c r="AB19" s="43">
        <v>331</v>
      </c>
      <c r="AC19" s="43">
        <v>332.2</v>
      </c>
      <c r="AD19" s="40">
        <f t="shared" si="14"/>
        <v>100.36253776435045</v>
      </c>
      <c r="AE19" s="43">
        <v>299.4</v>
      </c>
      <c r="AF19" s="43">
        <v>331.1</v>
      </c>
      <c r="AG19" s="40">
        <f t="shared" si="15"/>
        <v>110.58784235136943</v>
      </c>
      <c r="AH19" s="43"/>
      <c r="AI19" s="43"/>
      <c r="AJ19" s="40" t="e">
        <f t="shared" si="16"/>
        <v>#DIV/0!</v>
      </c>
      <c r="AK19" s="44">
        <f t="shared" si="23"/>
        <v>630.4</v>
      </c>
      <c r="AL19" s="44">
        <f t="shared" si="23"/>
        <v>663.3</v>
      </c>
      <c r="AM19" s="40">
        <f t="shared" si="17"/>
        <v>105.21890862944163</v>
      </c>
      <c r="AN19" s="43"/>
      <c r="AO19" s="43"/>
      <c r="AP19" s="43"/>
      <c r="AQ19" s="43"/>
      <c r="AR19" s="43"/>
      <c r="AS19" s="43"/>
      <c r="AT19" s="76">
        <f t="shared" si="25"/>
        <v>1968.2000000000003</v>
      </c>
      <c r="AU19" s="76">
        <f t="shared" si="25"/>
        <v>1901.1</v>
      </c>
      <c r="AV19" s="40">
        <f t="shared" si="19"/>
        <v>96.59079361853469</v>
      </c>
      <c r="AW19" s="44">
        <f t="shared" si="24"/>
        <v>67.10000000000036</v>
      </c>
      <c r="AX19" s="45">
        <f t="shared" si="20"/>
        <v>115.60000000000036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0" t="e">
        <f t="shared" si="19"/>
        <v>#DIV/0!</v>
      </c>
      <c r="AW21" s="44">
        <f t="shared" si="24"/>
        <v>0</v>
      </c>
      <c r="AX21" s="45">
        <f t="shared" si="20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>
        <v>7.3</v>
      </c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>
        <v>0.2</v>
      </c>
      <c r="W22" s="43">
        <v>0.2</v>
      </c>
      <c r="X22" s="54">
        <f t="shared" si="9"/>
        <v>100</v>
      </c>
      <c r="Y22" s="44">
        <f t="shared" si="10"/>
        <v>0.2</v>
      </c>
      <c r="Z22" s="44">
        <f t="shared" si="11"/>
        <v>0.2</v>
      </c>
      <c r="AA22" s="40">
        <f t="shared" si="12"/>
        <v>100</v>
      </c>
      <c r="AB22" s="43"/>
      <c r="AC22" s="43"/>
      <c r="AD22" s="40" t="e">
        <f t="shared" si="14"/>
        <v>#DIV/0!</v>
      </c>
      <c r="AE22" s="43"/>
      <c r="AF22" s="43">
        <f>7.3</f>
        <v>7.3</v>
      </c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7.3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0.5</v>
      </c>
      <c r="AU22" s="76">
        <f t="shared" si="25"/>
        <v>7.8</v>
      </c>
      <c r="AV22" s="40">
        <f t="shared" si="19"/>
        <v>1560</v>
      </c>
      <c r="AW22" s="44">
        <f t="shared" si="24"/>
        <v>-7.3</v>
      </c>
      <c r="AX22" s="45">
        <f>C22+AT22-AU22</f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9" ref="P23:W23">SUM(P24:P29)</f>
        <v>225.9</v>
      </c>
      <c r="Q23" s="57">
        <f t="shared" si="29"/>
        <v>208.4</v>
      </c>
      <c r="R23" s="57" t="e">
        <f t="shared" si="29"/>
        <v>#DIV/0!</v>
      </c>
      <c r="S23" s="57">
        <f t="shared" si="29"/>
        <v>235.6</v>
      </c>
      <c r="T23" s="57">
        <f t="shared" si="29"/>
        <v>218</v>
      </c>
      <c r="U23" s="57" t="e">
        <f t="shared" si="29"/>
        <v>#DIV/0!</v>
      </c>
      <c r="V23" s="57">
        <f t="shared" si="29"/>
        <v>275.59999999999997</v>
      </c>
      <c r="W23" s="57">
        <f t="shared" si="29"/>
        <v>293.4</v>
      </c>
      <c r="X23" s="54">
        <f t="shared" si="9"/>
        <v>106.45863570391873</v>
      </c>
      <c r="Y23" s="40">
        <f t="shared" si="10"/>
        <v>737.0999999999999</v>
      </c>
      <c r="Z23" s="40">
        <f t="shared" si="11"/>
        <v>719.8</v>
      </c>
      <c r="AA23" s="40">
        <f t="shared" si="12"/>
        <v>97.652964319631</v>
      </c>
      <c r="AB23" s="57">
        <f aca="true" t="shared" si="30" ref="AB23:AI23">SUM(AB24:AB29)</f>
        <v>33</v>
      </c>
      <c r="AC23" s="57">
        <f t="shared" si="30"/>
        <v>40.6</v>
      </c>
      <c r="AD23" s="40">
        <f t="shared" si="14"/>
        <v>123.03030303030305</v>
      </c>
      <c r="AE23" s="57">
        <f t="shared" si="30"/>
        <v>278</v>
      </c>
      <c r="AF23" s="57">
        <f t="shared" si="30"/>
        <v>293.59999999999997</v>
      </c>
      <c r="AG23" s="40">
        <f t="shared" si="15"/>
        <v>105.6115107913669</v>
      </c>
      <c r="AH23" s="57">
        <f t="shared" si="30"/>
        <v>0</v>
      </c>
      <c r="AI23" s="57">
        <f t="shared" si="30"/>
        <v>0</v>
      </c>
      <c r="AJ23" s="40" t="e">
        <f t="shared" si="16"/>
        <v>#DIV/0!</v>
      </c>
      <c r="AK23" s="40">
        <f t="shared" si="23"/>
        <v>311</v>
      </c>
      <c r="AL23" s="40">
        <f t="shared" si="23"/>
        <v>334.2</v>
      </c>
      <c r="AM23" s="40">
        <f t="shared" si="17"/>
        <v>107.45980707395498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242.7</v>
      </c>
      <c r="AS23" s="57">
        <f t="shared" si="31"/>
        <v>246.5</v>
      </c>
      <c r="AT23" s="39">
        <f t="shared" si="25"/>
        <v>1928.6</v>
      </c>
      <c r="AU23" s="39">
        <f t="shared" si="25"/>
        <v>1894.4</v>
      </c>
      <c r="AV23" s="40">
        <f t="shared" si="19"/>
        <v>98.2266929378824</v>
      </c>
      <c r="AW23" s="40">
        <f t="shared" si="24"/>
        <v>34.19999999999982</v>
      </c>
      <c r="AX23" s="61">
        <f t="shared" si="20"/>
        <v>131.0999999999999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21"/>
        <v>70.99236641221374</v>
      </c>
      <c r="S24" s="43">
        <v>9.1</v>
      </c>
      <c r="T24" s="43">
        <v>11.6</v>
      </c>
      <c r="U24" s="40">
        <f t="shared" si="22"/>
        <v>127.47252747252746</v>
      </c>
      <c r="V24" s="43">
        <v>7.7</v>
      </c>
      <c r="W24" s="43">
        <v>6.4</v>
      </c>
      <c r="X24" s="54">
        <f t="shared" si="9"/>
        <v>83.11688311688312</v>
      </c>
      <c r="Y24" s="44">
        <f t="shared" si="10"/>
        <v>29.9</v>
      </c>
      <c r="Z24" s="44">
        <f t="shared" si="11"/>
        <v>27.299999999999997</v>
      </c>
      <c r="AA24" s="40">
        <f t="shared" si="12"/>
        <v>91.30434782608695</v>
      </c>
      <c r="AB24" s="43">
        <v>8.5</v>
      </c>
      <c r="AC24" s="43">
        <v>9.7</v>
      </c>
      <c r="AD24" s="40">
        <f t="shared" si="14"/>
        <v>114.11764705882352</v>
      </c>
      <c r="AE24" s="43">
        <v>9.5</v>
      </c>
      <c r="AF24" s="43">
        <v>8.9</v>
      </c>
      <c r="AG24" s="40">
        <f t="shared" si="15"/>
        <v>93.6842105263158</v>
      </c>
      <c r="AH24" s="43"/>
      <c r="AI24" s="43"/>
      <c r="AJ24" s="40" t="e">
        <f t="shared" si="16"/>
        <v>#DIV/0!</v>
      </c>
      <c r="AK24" s="44">
        <f t="shared" si="23"/>
        <v>18</v>
      </c>
      <c r="AL24" s="44">
        <f t="shared" si="23"/>
        <v>18.6</v>
      </c>
      <c r="AM24" s="40">
        <f t="shared" si="17"/>
        <v>103.33333333333334</v>
      </c>
      <c r="AN24" s="43"/>
      <c r="AO24" s="43"/>
      <c r="AP24" s="43"/>
      <c r="AQ24" s="43"/>
      <c r="AR24" s="43"/>
      <c r="AS24" s="43"/>
      <c r="AT24" s="76">
        <f t="shared" si="25"/>
        <v>73</v>
      </c>
      <c r="AU24" s="76">
        <f t="shared" si="25"/>
        <v>75</v>
      </c>
      <c r="AV24" s="40">
        <f t="shared" si="19"/>
        <v>102.73972602739727</v>
      </c>
      <c r="AW24" s="44">
        <f t="shared" si="24"/>
        <v>-2</v>
      </c>
      <c r="AX24" s="45">
        <f t="shared" si="20"/>
        <v>9.799999999999997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21"/>
        <v>81.72043010752688</v>
      </c>
      <c r="S25" s="43">
        <v>11.1</v>
      </c>
      <c r="T25" s="43">
        <v>6.1</v>
      </c>
      <c r="U25" s="40">
        <f t="shared" si="22"/>
        <v>54.95495495495495</v>
      </c>
      <c r="V25" s="43">
        <v>11.6</v>
      </c>
      <c r="W25" s="43">
        <v>13.3</v>
      </c>
      <c r="X25" s="40">
        <f>W25/V25*100</f>
        <v>114.65517241379311</v>
      </c>
      <c r="Y25" s="44">
        <f t="shared" si="10"/>
        <v>32</v>
      </c>
      <c r="Z25" s="44">
        <f t="shared" si="11"/>
        <v>27</v>
      </c>
      <c r="AA25" s="40">
        <f t="shared" si="12"/>
        <v>84.375</v>
      </c>
      <c r="AB25" s="43">
        <v>9.8</v>
      </c>
      <c r="AC25" s="43">
        <v>14.4</v>
      </c>
      <c r="AD25" s="40">
        <f t="shared" si="14"/>
        <v>146.93877551020407</v>
      </c>
      <c r="AE25" s="43">
        <v>8.5</v>
      </c>
      <c r="AF25" s="43">
        <v>8.8</v>
      </c>
      <c r="AG25" s="40">
        <f t="shared" si="15"/>
        <v>103.5294117647059</v>
      </c>
      <c r="AH25" s="43"/>
      <c r="AI25" s="43"/>
      <c r="AJ25" s="40" t="e">
        <f t="shared" si="16"/>
        <v>#DIV/0!</v>
      </c>
      <c r="AK25" s="44">
        <f t="shared" si="23"/>
        <v>18.3</v>
      </c>
      <c r="AL25" s="44">
        <f t="shared" si="23"/>
        <v>23.200000000000003</v>
      </c>
      <c r="AM25" s="40">
        <f t="shared" si="17"/>
        <v>126.77595628415301</v>
      </c>
      <c r="AN25" s="43"/>
      <c r="AO25" s="43"/>
      <c r="AP25" s="43"/>
      <c r="AQ25" s="43"/>
      <c r="AR25" s="43"/>
      <c r="AS25" s="43"/>
      <c r="AT25" s="76">
        <f t="shared" si="25"/>
        <v>74.9</v>
      </c>
      <c r="AU25" s="76">
        <f t="shared" si="25"/>
        <v>81.6</v>
      </c>
      <c r="AV25" s="40">
        <f t="shared" si="19"/>
        <v>108.94526034712948</v>
      </c>
      <c r="AW25" s="44">
        <f t="shared" si="24"/>
        <v>-6.699999999999989</v>
      </c>
      <c r="AX25" s="45">
        <f t="shared" si="20"/>
        <v>5.400000000000006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21"/>
        <v>92.59064634787177</v>
      </c>
      <c r="S26" s="43">
        <v>200.9</v>
      </c>
      <c r="T26" s="43">
        <v>187.9</v>
      </c>
      <c r="U26" s="40">
        <f t="shared" si="22"/>
        <v>93.52911896465903</v>
      </c>
      <c r="V26" s="43">
        <v>241.4</v>
      </c>
      <c r="W26" s="43">
        <v>262.3</v>
      </c>
      <c r="X26" s="40">
        <f>W26/V26*100</f>
        <v>108.65782932891466</v>
      </c>
      <c r="Y26" s="44">
        <f t="shared" si="10"/>
        <v>632.6</v>
      </c>
      <c r="Z26" s="44">
        <f t="shared" si="11"/>
        <v>626.4000000000001</v>
      </c>
      <c r="AA26" s="40">
        <f t="shared" si="12"/>
        <v>99.01991779955739</v>
      </c>
      <c r="AB26" s="43"/>
      <c r="AC26" s="43"/>
      <c r="AD26" s="40" t="e">
        <f t="shared" si="14"/>
        <v>#DIV/0!</v>
      </c>
      <c r="AE26" s="43">
        <v>242.9</v>
      </c>
      <c r="AF26" s="43">
        <v>256.9</v>
      </c>
      <c r="AG26" s="40">
        <f t="shared" si="15"/>
        <v>105.7636887608069</v>
      </c>
      <c r="AH26" s="43"/>
      <c r="AI26" s="43"/>
      <c r="AJ26" s="40" t="e">
        <f t="shared" si="16"/>
        <v>#DIV/0!</v>
      </c>
      <c r="AK26" s="44">
        <f t="shared" si="23"/>
        <v>242.9</v>
      </c>
      <c r="AL26" s="44">
        <f t="shared" si="23"/>
        <v>256.9</v>
      </c>
      <c r="AM26" s="40">
        <f t="shared" si="17"/>
        <v>105.7636887608069</v>
      </c>
      <c r="AN26" s="43"/>
      <c r="AO26" s="43"/>
      <c r="AP26" s="43"/>
      <c r="AQ26" s="43"/>
      <c r="AR26" s="43">
        <v>242.7</v>
      </c>
      <c r="AS26" s="43">
        <v>246.5</v>
      </c>
      <c r="AT26" s="76">
        <f t="shared" si="25"/>
        <v>1672.6000000000001</v>
      </c>
      <c r="AU26" s="76">
        <f t="shared" si="25"/>
        <v>1634.6</v>
      </c>
      <c r="AV26" s="40">
        <f t="shared" si="19"/>
        <v>97.72808800669614</v>
      </c>
      <c r="AW26" s="44">
        <f t="shared" si="24"/>
        <v>38.00000000000023</v>
      </c>
      <c r="AX26" s="45">
        <f t="shared" si="20"/>
        <v>106.50000000000023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21"/>
        <v>115.90909090909092</v>
      </c>
      <c r="S28" s="43">
        <v>14.5</v>
      </c>
      <c r="T28" s="55">
        <v>12.4</v>
      </c>
      <c r="U28" s="40">
        <f t="shared" si="22"/>
        <v>85.51724137931035</v>
      </c>
      <c r="V28" s="43">
        <v>14.9</v>
      </c>
      <c r="W28" s="55">
        <v>11.4</v>
      </c>
      <c r="X28" s="56">
        <f>W28/V28*100</f>
        <v>76.51006711409396</v>
      </c>
      <c r="Y28" s="44">
        <f t="shared" si="10"/>
        <v>42.6</v>
      </c>
      <c r="Z28" s="44">
        <f t="shared" si="11"/>
        <v>39.1</v>
      </c>
      <c r="AA28" s="40">
        <f t="shared" si="12"/>
        <v>91.78403755868545</v>
      </c>
      <c r="AB28" s="43">
        <v>14.7</v>
      </c>
      <c r="AC28" s="55">
        <v>16.5</v>
      </c>
      <c r="AD28" s="40">
        <f t="shared" si="14"/>
        <v>112.24489795918369</v>
      </c>
      <c r="AE28" s="43">
        <v>17.1</v>
      </c>
      <c r="AF28" s="55">
        <v>19</v>
      </c>
      <c r="AG28" s="40">
        <f t="shared" si="15"/>
        <v>111.1111111111111</v>
      </c>
      <c r="AH28" s="43"/>
      <c r="AI28" s="55"/>
      <c r="AJ28" s="40" t="e">
        <f t="shared" si="16"/>
        <v>#DIV/0!</v>
      </c>
      <c r="AK28" s="44">
        <f t="shared" si="23"/>
        <v>31.8</v>
      </c>
      <c r="AL28" s="44">
        <f t="shared" si="23"/>
        <v>35.5</v>
      </c>
      <c r="AM28" s="40">
        <f t="shared" si="17"/>
        <v>111.63522012578618</v>
      </c>
      <c r="AN28" s="43"/>
      <c r="AO28" s="55"/>
      <c r="AP28" s="43"/>
      <c r="AQ28" s="55"/>
      <c r="AR28" s="43"/>
      <c r="AS28" s="55"/>
      <c r="AT28" s="76">
        <f t="shared" si="25"/>
        <v>108.10000000000001</v>
      </c>
      <c r="AU28" s="76">
        <f t="shared" si="25"/>
        <v>103.2</v>
      </c>
      <c r="AV28" s="40">
        <f t="shared" si="19"/>
        <v>95.46716003700277</v>
      </c>
      <c r="AW28" s="44">
        <f t="shared" si="24"/>
        <v>4.900000000000006</v>
      </c>
      <c r="AX28" s="45">
        <f t="shared" si="20"/>
        <v>9.400000000000006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794.4999999999999</v>
      </c>
      <c r="E30" s="90">
        <f>SUM(E31:E38)</f>
        <v>742.4000000000001</v>
      </c>
      <c r="F30" s="74">
        <f t="shared" si="1"/>
        <v>93.44241661422281</v>
      </c>
      <c r="G30" s="90">
        <f>SUM(G31:G38)</f>
        <v>795.9</v>
      </c>
      <c r="H30" s="90">
        <f>SUM(H31:H38)</f>
        <v>711.3999999999999</v>
      </c>
      <c r="I30" s="74">
        <f t="shared" si="3"/>
        <v>89.38308832767933</v>
      </c>
      <c r="J30" s="90">
        <f>SUM(J31:J38)</f>
        <v>1161.6999999999998</v>
      </c>
      <c r="K30" s="90">
        <f>SUM(K31:K38)</f>
        <v>867.6999999999999</v>
      </c>
      <c r="L30" s="38">
        <f>K30/J30*100</f>
        <v>74.69226134113799</v>
      </c>
      <c r="M30" s="38">
        <f t="shared" si="5"/>
        <v>2752.0999999999995</v>
      </c>
      <c r="N30" s="38">
        <f t="shared" si="6"/>
        <v>2321.5</v>
      </c>
      <c r="O30" s="38">
        <f t="shared" si="7"/>
        <v>84.35376621489047</v>
      </c>
      <c r="P30" s="90">
        <f aca="true" t="shared" si="33" ref="P30:W30">SUM(P31:P38)</f>
        <v>1024.3000000000002</v>
      </c>
      <c r="Q30" s="90">
        <f t="shared" si="33"/>
        <v>1251.2</v>
      </c>
      <c r="R30" s="90" t="e">
        <f t="shared" si="33"/>
        <v>#DIV/0!</v>
      </c>
      <c r="S30" s="90">
        <f t="shared" si="33"/>
        <v>948.1</v>
      </c>
      <c r="T30" s="90">
        <f t="shared" si="33"/>
        <v>979.6999999999999</v>
      </c>
      <c r="U30" s="90" t="e">
        <f t="shared" si="33"/>
        <v>#DIV/0!</v>
      </c>
      <c r="V30" s="90">
        <f t="shared" si="33"/>
        <v>925.0000000000001</v>
      </c>
      <c r="W30" s="90">
        <f t="shared" si="33"/>
        <v>948.9000000000001</v>
      </c>
      <c r="X30" s="38">
        <f t="shared" si="32"/>
        <v>102.58378378378379</v>
      </c>
      <c r="Y30" s="38">
        <f t="shared" si="10"/>
        <v>2897.4</v>
      </c>
      <c r="Z30" s="38">
        <f t="shared" si="11"/>
        <v>3179.8</v>
      </c>
      <c r="AA30" s="38">
        <f t="shared" si="12"/>
        <v>109.74666942776284</v>
      </c>
      <c r="AB30" s="90">
        <f aca="true" t="shared" si="34" ref="AB30:AI30">SUM(AB31:AB38)</f>
        <v>1068.6000000000001</v>
      </c>
      <c r="AC30" s="90">
        <f t="shared" si="34"/>
        <v>934.5999999999999</v>
      </c>
      <c r="AD30" s="40">
        <f t="shared" si="14"/>
        <v>87.46022833614072</v>
      </c>
      <c r="AE30" s="90">
        <f t="shared" si="34"/>
        <v>1013.72</v>
      </c>
      <c r="AF30" s="90">
        <f t="shared" si="34"/>
        <v>1002.3</v>
      </c>
      <c r="AG30" s="40">
        <f t="shared" si="15"/>
        <v>98.873456181194</v>
      </c>
      <c r="AH30" s="90">
        <f t="shared" si="34"/>
        <v>0</v>
      </c>
      <c r="AI30" s="90">
        <f t="shared" si="34"/>
        <v>0</v>
      </c>
      <c r="AJ30" s="38" t="e">
        <f t="shared" si="16"/>
        <v>#DIV/0!</v>
      </c>
      <c r="AK30" s="38">
        <f aca="true" t="shared" si="35" ref="AK30:AL49">AB30+AE30+AH30</f>
        <v>2082.32</v>
      </c>
      <c r="AL30" s="38">
        <f t="shared" si="35"/>
        <v>1936.8999999999999</v>
      </c>
      <c r="AM30" s="38">
        <f t="shared" si="17"/>
        <v>93.01644319797148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7731.82</v>
      </c>
      <c r="AU30" s="39">
        <f t="shared" si="25"/>
        <v>7438.2</v>
      </c>
      <c r="AV30" s="38">
        <f t="shared" si="19"/>
        <v>96.20244651324009</v>
      </c>
      <c r="AW30" s="38">
        <f>AT30-AU30</f>
        <v>293.6199999999999</v>
      </c>
      <c r="AX30" s="37">
        <f t="shared" si="20"/>
        <v>697.6199999999999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21"/>
        <v>87.12871287128714</v>
      </c>
      <c r="S31" s="43">
        <v>10.1</v>
      </c>
      <c r="T31" s="43">
        <v>6.6</v>
      </c>
      <c r="U31" s="46">
        <f t="shared" si="22"/>
        <v>65.34653465346535</v>
      </c>
      <c r="V31" s="43">
        <v>11.5</v>
      </c>
      <c r="W31" s="43">
        <v>11.9</v>
      </c>
      <c r="X31" s="46">
        <f t="shared" si="32"/>
        <v>103.47826086956522</v>
      </c>
      <c r="Y31" s="44">
        <f t="shared" si="10"/>
        <v>31.7</v>
      </c>
      <c r="Z31" s="44">
        <f t="shared" si="11"/>
        <v>27.3</v>
      </c>
      <c r="AA31" s="40">
        <f t="shared" si="12"/>
        <v>86.11987381703472</v>
      </c>
      <c r="AB31" s="43">
        <v>15.5</v>
      </c>
      <c r="AC31" s="43">
        <v>12.2</v>
      </c>
      <c r="AD31" s="40">
        <f t="shared" si="14"/>
        <v>78.70967741935483</v>
      </c>
      <c r="AE31" s="43">
        <v>11.9</v>
      </c>
      <c r="AF31" s="43">
        <v>12.8</v>
      </c>
      <c r="AG31" s="40">
        <f t="shared" si="15"/>
        <v>107.56302521008404</v>
      </c>
      <c r="AH31" s="43"/>
      <c r="AI31" s="43"/>
      <c r="AJ31" s="40" t="e">
        <f t="shared" si="16"/>
        <v>#DIV/0!</v>
      </c>
      <c r="AK31" s="44">
        <f t="shared" si="35"/>
        <v>27.4</v>
      </c>
      <c r="AL31" s="44">
        <f t="shared" si="35"/>
        <v>25</v>
      </c>
      <c r="AM31" s="40">
        <f t="shared" si="17"/>
        <v>91.24087591240875</v>
      </c>
      <c r="AN31" s="43"/>
      <c r="AO31" s="43"/>
      <c r="AP31" s="43"/>
      <c r="AQ31" s="43"/>
      <c r="AR31" s="43"/>
      <c r="AS31" s="43"/>
      <c r="AT31" s="76">
        <f t="shared" si="25"/>
        <v>91.5</v>
      </c>
      <c r="AU31" s="76">
        <f t="shared" si="25"/>
        <v>105</v>
      </c>
      <c r="AV31" s="40">
        <f>AU31/AT31*100</f>
        <v>114.75409836065573</v>
      </c>
      <c r="AW31" s="44">
        <f>AT31-AU31</f>
        <v>-13.5</v>
      </c>
      <c r="AX31" s="45">
        <f t="shared" si="20"/>
        <v>41.599999999999994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7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21"/>
        <v>148.4848484848485</v>
      </c>
      <c r="S32" s="43">
        <v>4.8</v>
      </c>
      <c r="T32" s="43">
        <v>2</v>
      </c>
      <c r="U32" s="40">
        <f t="shared" si="22"/>
        <v>41.66666666666667</v>
      </c>
      <c r="V32" s="43">
        <v>3.9</v>
      </c>
      <c r="W32" s="43">
        <v>3.1</v>
      </c>
      <c r="X32" s="40">
        <f t="shared" si="32"/>
        <v>79.48717948717949</v>
      </c>
      <c r="Y32" s="44">
        <f t="shared" si="10"/>
        <v>12</v>
      </c>
      <c r="Z32" s="44">
        <f t="shared" si="11"/>
        <v>10</v>
      </c>
      <c r="AA32" s="40">
        <f t="shared" si="12"/>
        <v>83.33333333333334</v>
      </c>
      <c r="AB32" s="43">
        <v>4.5</v>
      </c>
      <c r="AC32" s="43">
        <v>1.8</v>
      </c>
      <c r="AD32" s="40">
        <f t="shared" si="14"/>
        <v>40</v>
      </c>
      <c r="AE32" s="43">
        <v>11.2</v>
      </c>
      <c r="AF32" s="43">
        <v>14.6</v>
      </c>
      <c r="AG32" s="40">
        <f t="shared" si="15"/>
        <v>130.35714285714286</v>
      </c>
      <c r="AH32" s="43"/>
      <c r="AI32" s="43"/>
      <c r="AJ32" s="40" t="e">
        <f t="shared" si="16"/>
        <v>#DIV/0!</v>
      </c>
      <c r="AK32" s="44">
        <f t="shared" si="35"/>
        <v>15.7</v>
      </c>
      <c r="AL32" s="44">
        <f t="shared" si="35"/>
        <v>16.4</v>
      </c>
      <c r="AM32" s="40">
        <f t="shared" si="17"/>
        <v>104.45859872611464</v>
      </c>
      <c r="AN32" s="43"/>
      <c r="AO32" s="43"/>
      <c r="AP32" s="43"/>
      <c r="AQ32" s="43"/>
      <c r="AR32" s="43"/>
      <c r="AS32" s="43"/>
      <c r="AT32" s="76">
        <f t="shared" si="25"/>
        <v>36.099999999999994</v>
      </c>
      <c r="AU32" s="76">
        <f t="shared" si="25"/>
        <v>36.4</v>
      </c>
      <c r="AV32" s="40">
        <f aca="true" t="shared" si="38" ref="AV32:AV49">AU32/AT32*100</f>
        <v>100.83102493074793</v>
      </c>
      <c r="AW32" s="44">
        <f aca="true" t="shared" si="39" ref="AW32:AW49">AT32-AU32</f>
        <v>-0.30000000000000426</v>
      </c>
      <c r="AX32" s="45">
        <f t="shared" si="20"/>
        <v>6.599999999999994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7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21"/>
        <v>176.19047619047618</v>
      </c>
      <c r="S33" s="43">
        <v>1.7</v>
      </c>
      <c r="T33" s="43">
        <v>1.2</v>
      </c>
      <c r="U33" s="40">
        <f t="shared" si="22"/>
        <v>70.58823529411765</v>
      </c>
      <c r="V33" s="43">
        <v>2.3</v>
      </c>
      <c r="W33" s="43">
        <v>2.4</v>
      </c>
      <c r="X33" s="48">
        <f t="shared" si="32"/>
        <v>104.34782608695652</v>
      </c>
      <c r="Y33" s="44">
        <f t="shared" si="10"/>
        <v>6.1</v>
      </c>
      <c r="Z33" s="44">
        <f t="shared" si="11"/>
        <v>7.300000000000001</v>
      </c>
      <c r="AA33" s="40">
        <f t="shared" si="12"/>
        <v>119.67213114754101</v>
      </c>
      <c r="AB33" s="43">
        <v>1.9</v>
      </c>
      <c r="AC33" s="43">
        <v>1.8</v>
      </c>
      <c r="AD33" s="40">
        <f t="shared" si="14"/>
        <v>94.73684210526316</v>
      </c>
      <c r="AE33" s="43">
        <v>3</v>
      </c>
      <c r="AF33" s="43">
        <v>1.7</v>
      </c>
      <c r="AG33" s="40">
        <f t="shared" si="15"/>
        <v>56.666666666666664</v>
      </c>
      <c r="AH33" s="43"/>
      <c r="AI33" s="43"/>
      <c r="AJ33" s="40" t="e">
        <f t="shared" si="16"/>
        <v>#DIV/0!</v>
      </c>
      <c r="AK33" s="44">
        <f t="shared" si="35"/>
        <v>4.9</v>
      </c>
      <c r="AL33" s="44">
        <f t="shared" si="35"/>
        <v>3.5</v>
      </c>
      <c r="AM33" s="40">
        <f t="shared" si="17"/>
        <v>71.42857142857142</v>
      </c>
      <c r="AN33" s="43"/>
      <c r="AO33" s="43"/>
      <c r="AP33" s="43"/>
      <c r="AQ33" s="43"/>
      <c r="AR33" s="43"/>
      <c r="AS33" s="43"/>
      <c r="AT33" s="76">
        <f t="shared" si="25"/>
        <v>21.9</v>
      </c>
      <c r="AU33" s="76">
        <f t="shared" si="25"/>
        <v>20.5</v>
      </c>
      <c r="AV33" s="40">
        <f t="shared" si="38"/>
        <v>93.60730593607308</v>
      </c>
      <c r="AW33" s="44">
        <f t="shared" si="39"/>
        <v>1.3999999999999986</v>
      </c>
      <c r="AX33" s="45">
        <f t="shared" si="20"/>
        <v>4.099999999999998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8"/>
        <v>#DIV/0!</v>
      </c>
      <c r="AW34" s="44">
        <f t="shared" si="39"/>
        <v>0</v>
      </c>
      <c r="AX34" s="45">
        <f t="shared" si="20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7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21"/>
        <v>123.13455502683001</v>
      </c>
      <c r="S35" s="43">
        <v>910.6</v>
      </c>
      <c r="T35" s="43">
        <v>926.9</v>
      </c>
      <c r="U35" s="40">
        <f t="shared" si="22"/>
        <v>101.79002855260268</v>
      </c>
      <c r="V35" s="43">
        <v>885.5</v>
      </c>
      <c r="W35" s="43">
        <v>908.7</v>
      </c>
      <c r="X35" s="40">
        <f t="shared" si="32"/>
        <v>102.61998870694524</v>
      </c>
      <c r="Y35" s="44">
        <f t="shared" si="10"/>
        <v>2783.8</v>
      </c>
      <c r="Z35" s="44">
        <f t="shared" si="11"/>
        <v>3051.8</v>
      </c>
      <c r="AA35" s="40">
        <f t="shared" si="12"/>
        <v>109.62712838565989</v>
      </c>
      <c r="AB35" s="43">
        <v>1028.5</v>
      </c>
      <c r="AC35" s="43">
        <v>901</v>
      </c>
      <c r="AD35" s="40">
        <f t="shared" si="14"/>
        <v>87.60330578512396</v>
      </c>
      <c r="AE35" s="43">
        <v>965.22</v>
      </c>
      <c r="AF35" s="43">
        <v>956.5</v>
      </c>
      <c r="AG35" s="40">
        <f t="shared" si="15"/>
        <v>99.0965790182549</v>
      </c>
      <c r="AH35" s="43"/>
      <c r="AI35" s="43"/>
      <c r="AJ35" s="40" t="e">
        <f t="shared" si="16"/>
        <v>#DIV/0!</v>
      </c>
      <c r="AK35" s="44">
        <f t="shared" si="35"/>
        <v>1993.72</v>
      </c>
      <c r="AL35" s="44">
        <f t="shared" si="35"/>
        <v>1857.5</v>
      </c>
      <c r="AM35" s="40">
        <f t="shared" si="17"/>
        <v>93.16754609473747</v>
      </c>
      <c r="AN35" s="43"/>
      <c r="AO35" s="43"/>
      <c r="AP35" s="43"/>
      <c r="AQ35" s="43"/>
      <c r="AR35" s="43"/>
      <c r="AS35" s="43"/>
      <c r="AT35" s="76">
        <f t="shared" si="25"/>
        <v>7404.320000000001</v>
      </c>
      <c r="AU35" s="76">
        <f t="shared" si="25"/>
        <v>7090.3</v>
      </c>
      <c r="AV35" s="40">
        <f t="shared" si="38"/>
        <v>95.75896233550142</v>
      </c>
      <c r="AW35" s="44">
        <f t="shared" si="39"/>
        <v>314.02000000000044</v>
      </c>
      <c r="AX35" s="45">
        <f t="shared" si="20"/>
        <v>611.2200000000003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7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21"/>
        <v>200</v>
      </c>
      <c r="S36" s="43">
        <v>0</v>
      </c>
      <c r="T36" s="43">
        <v>0.2</v>
      </c>
      <c r="U36" s="40" t="e">
        <f t="shared" si="22"/>
        <v>#DIV/0!</v>
      </c>
      <c r="V36" s="43">
        <v>0.1</v>
      </c>
      <c r="W36" s="43">
        <v>0.1</v>
      </c>
      <c r="X36" s="40">
        <f t="shared" si="32"/>
        <v>100</v>
      </c>
      <c r="Y36" s="44">
        <f t="shared" si="10"/>
        <v>0.5</v>
      </c>
      <c r="Z36" s="44">
        <f t="shared" si="11"/>
        <v>1.1</v>
      </c>
      <c r="AA36" s="40">
        <f t="shared" si="12"/>
        <v>220.00000000000003</v>
      </c>
      <c r="AB36" s="43">
        <v>0.3</v>
      </c>
      <c r="AC36" s="43">
        <v>0.3</v>
      </c>
      <c r="AD36" s="40">
        <f t="shared" si="14"/>
        <v>100</v>
      </c>
      <c r="AE36" s="43">
        <v>0.3</v>
      </c>
      <c r="AF36" s="43">
        <v>0.3</v>
      </c>
      <c r="AG36" s="40">
        <f t="shared" si="15"/>
        <v>100</v>
      </c>
      <c r="AH36" s="43"/>
      <c r="AI36" s="43"/>
      <c r="AJ36" s="40" t="e">
        <f t="shared" si="16"/>
        <v>#DIV/0!</v>
      </c>
      <c r="AK36" s="44">
        <f t="shared" si="35"/>
        <v>0.6</v>
      </c>
      <c r="AL36" s="44">
        <f t="shared" si="35"/>
        <v>0.6</v>
      </c>
      <c r="AM36" s="40">
        <f t="shared" si="17"/>
        <v>100</v>
      </c>
      <c r="AN36" s="43"/>
      <c r="AO36" s="43"/>
      <c r="AP36" s="43"/>
      <c r="AQ36" s="43"/>
      <c r="AR36" s="43"/>
      <c r="AS36" s="43"/>
      <c r="AT36" s="76">
        <f t="shared" si="25"/>
        <v>3.5000000000000004</v>
      </c>
      <c r="AU36" s="76">
        <f t="shared" si="25"/>
        <v>4.6</v>
      </c>
      <c r="AV36" s="40">
        <f t="shared" si="38"/>
        <v>131.42857142857142</v>
      </c>
      <c r="AW36" s="44">
        <f t="shared" si="39"/>
        <v>-1.0999999999999992</v>
      </c>
      <c r="AX36" s="45">
        <f t="shared" si="20"/>
        <v>0.3000000000000007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>
      <c r="A37" s="10" t="s">
        <v>10</v>
      </c>
      <c r="B37" s="33" t="s">
        <v>94</v>
      </c>
      <c r="C37" s="42">
        <v>0</v>
      </c>
      <c r="D37" s="43">
        <v>5.1</v>
      </c>
      <c r="E37" s="43">
        <v>5.1</v>
      </c>
      <c r="F37" s="41">
        <f t="shared" si="1"/>
        <v>100</v>
      </c>
      <c r="G37" s="43">
        <v>5.1</v>
      </c>
      <c r="H37" s="43">
        <v>5.1</v>
      </c>
      <c r="I37" s="41">
        <f t="shared" si="3"/>
        <v>100</v>
      </c>
      <c r="J37" s="43">
        <v>5.1</v>
      </c>
      <c r="K37" s="43">
        <v>5.1</v>
      </c>
      <c r="L37" s="40">
        <f t="shared" si="37"/>
        <v>100</v>
      </c>
      <c r="M37" s="44">
        <f t="shared" si="5"/>
        <v>15.299999999999999</v>
      </c>
      <c r="N37" s="44">
        <f t="shared" si="6"/>
        <v>15.299999999999999</v>
      </c>
      <c r="O37" s="40">
        <f t="shared" si="7"/>
        <v>100</v>
      </c>
      <c r="P37" s="43">
        <v>5.2</v>
      </c>
      <c r="Q37" s="43">
        <v>5.2</v>
      </c>
      <c r="R37" s="40">
        <f t="shared" si="21"/>
        <v>100</v>
      </c>
      <c r="S37" s="43">
        <v>5.3</v>
      </c>
      <c r="T37" s="43">
        <v>5.3</v>
      </c>
      <c r="U37" s="40">
        <f t="shared" si="22"/>
        <v>100</v>
      </c>
      <c r="V37" s="43"/>
      <c r="W37" s="43"/>
      <c r="X37" s="40" t="e">
        <f t="shared" si="32"/>
        <v>#DIV/0!</v>
      </c>
      <c r="Y37" s="44">
        <f t="shared" si="10"/>
        <v>10.5</v>
      </c>
      <c r="Z37" s="44">
        <f t="shared" si="11"/>
        <v>10.5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25.799999999999997</v>
      </c>
      <c r="AU37" s="76">
        <f t="shared" si="25"/>
        <v>25.799999999999997</v>
      </c>
      <c r="AV37" s="40">
        <f t="shared" si="38"/>
        <v>100</v>
      </c>
      <c r="AW37" s="44">
        <f t="shared" si="39"/>
        <v>0</v>
      </c>
      <c r="AX37" s="45">
        <f t="shared" si="20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7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21"/>
        <v>74.83870967741936</v>
      </c>
      <c r="S38" s="43">
        <v>15.6</v>
      </c>
      <c r="T38" s="43">
        <v>37.5</v>
      </c>
      <c r="U38" s="40">
        <f t="shared" si="22"/>
        <v>240.3846153846154</v>
      </c>
      <c r="V38" s="43">
        <v>21.7</v>
      </c>
      <c r="W38" s="43">
        <v>22.7</v>
      </c>
      <c r="X38" s="40">
        <f t="shared" si="32"/>
        <v>104.60829493087557</v>
      </c>
      <c r="Y38" s="44">
        <f t="shared" si="10"/>
        <v>52.8</v>
      </c>
      <c r="Z38" s="44">
        <f t="shared" si="11"/>
        <v>71.8</v>
      </c>
      <c r="AA38" s="40">
        <f t="shared" si="12"/>
        <v>135.9848484848485</v>
      </c>
      <c r="AB38" s="43">
        <v>17.9</v>
      </c>
      <c r="AC38" s="43">
        <v>17.5</v>
      </c>
      <c r="AD38" s="40">
        <f t="shared" si="14"/>
        <v>97.76536312849163</v>
      </c>
      <c r="AE38" s="43">
        <v>22.1</v>
      </c>
      <c r="AF38" s="43">
        <v>16.4</v>
      </c>
      <c r="AG38" s="40">
        <f t="shared" si="15"/>
        <v>74.20814479638008</v>
      </c>
      <c r="AH38" s="43"/>
      <c r="AI38" s="43"/>
      <c r="AJ38" s="40" t="e">
        <f t="shared" si="16"/>
        <v>#DIV/0!</v>
      </c>
      <c r="AK38" s="44">
        <f t="shared" si="35"/>
        <v>40</v>
      </c>
      <c r="AL38" s="44">
        <f t="shared" si="35"/>
        <v>33.9</v>
      </c>
      <c r="AM38" s="40">
        <f t="shared" si="17"/>
        <v>84.74999999999999</v>
      </c>
      <c r="AN38" s="43"/>
      <c r="AO38" s="43"/>
      <c r="AP38" s="43"/>
      <c r="AQ38" s="43"/>
      <c r="AR38" s="43"/>
      <c r="AS38" s="43"/>
      <c r="AT38" s="76">
        <f t="shared" si="25"/>
        <v>148.7</v>
      </c>
      <c r="AU38" s="76">
        <f t="shared" si="25"/>
        <v>155.6</v>
      </c>
      <c r="AV38" s="40">
        <f t="shared" si="38"/>
        <v>104.64021519838602</v>
      </c>
      <c r="AW38" s="44">
        <f t="shared" si="39"/>
        <v>-6.900000000000006</v>
      </c>
      <c r="AX38" s="45">
        <f t="shared" si="20"/>
        <v>33.79999999999998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595.1</v>
      </c>
      <c r="H39" s="57">
        <f>SUM(H40:H44)</f>
        <v>726</v>
      </c>
      <c r="I39" s="41">
        <f t="shared" si="3"/>
        <v>121.99630314232901</v>
      </c>
      <c r="J39" s="57">
        <f>SUM(J40:J44)</f>
        <v>724.9000000000001</v>
      </c>
      <c r="K39" s="57">
        <f>SUM(K40:K44)</f>
        <v>613.2</v>
      </c>
      <c r="L39" s="40">
        <f t="shared" si="37"/>
        <v>84.59097806594012</v>
      </c>
      <c r="M39" s="40">
        <f t="shared" si="5"/>
        <v>1839.4</v>
      </c>
      <c r="N39" s="40">
        <f t="shared" si="6"/>
        <v>1718</v>
      </c>
      <c r="O39" s="40">
        <f t="shared" si="7"/>
        <v>93.40002174622158</v>
      </c>
      <c r="P39" s="57">
        <f aca="true" t="shared" si="40" ref="P39:W39">SUM(P40:P44)</f>
        <v>567.1999999999999</v>
      </c>
      <c r="Q39" s="57">
        <f t="shared" si="40"/>
        <v>409.1000000000001</v>
      </c>
      <c r="R39" s="57" t="e">
        <f t="shared" si="40"/>
        <v>#DIV/0!</v>
      </c>
      <c r="S39" s="57">
        <f t="shared" si="40"/>
        <v>670.4</v>
      </c>
      <c r="T39" s="57">
        <f t="shared" si="40"/>
        <v>563.7</v>
      </c>
      <c r="U39" s="57" t="e">
        <f t="shared" si="40"/>
        <v>#DIV/0!</v>
      </c>
      <c r="V39" s="57">
        <f t="shared" si="40"/>
        <v>838.4</v>
      </c>
      <c r="W39" s="57">
        <f t="shared" si="40"/>
        <v>692.6</v>
      </c>
      <c r="X39" s="40">
        <f t="shared" si="32"/>
        <v>82.60973282442748</v>
      </c>
      <c r="Y39" s="40">
        <f t="shared" si="10"/>
        <v>2076</v>
      </c>
      <c r="Z39" s="40">
        <f t="shared" si="11"/>
        <v>1665.4</v>
      </c>
      <c r="AA39" s="40">
        <f t="shared" si="12"/>
        <v>80.22157996146436</v>
      </c>
      <c r="AB39" s="57">
        <f aca="true" t="shared" si="41" ref="AB39:AI39">SUM(AB40:AB44)</f>
        <v>861.8999999999999</v>
      </c>
      <c r="AC39" s="57">
        <f t="shared" si="41"/>
        <v>710.2</v>
      </c>
      <c r="AD39" s="40">
        <f t="shared" si="14"/>
        <v>82.39935027265346</v>
      </c>
      <c r="AE39" s="57">
        <f t="shared" si="41"/>
        <v>589.9000000000001</v>
      </c>
      <c r="AF39" s="57">
        <f t="shared" si="41"/>
        <v>750.4000000000001</v>
      </c>
      <c r="AG39" s="40">
        <f t="shared" si="15"/>
        <v>127.20800135616206</v>
      </c>
      <c r="AH39" s="57">
        <f t="shared" si="41"/>
        <v>0</v>
      </c>
      <c r="AI39" s="57">
        <f t="shared" si="41"/>
        <v>0</v>
      </c>
      <c r="AJ39" s="40" t="e">
        <f t="shared" si="16"/>
        <v>#DIV/0!</v>
      </c>
      <c r="AK39" s="40">
        <f t="shared" si="35"/>
        <v>1451.8</v>
      </c>
      <c r="AL39" s="40">
        <f t="shared" si="35"/>
        <v>1460.6000000000001</v>
      </c>
      <c r="AM39" s="40">
        <f t="shared" si="17"/>
        <v>100.60614409698307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5367.2</v>
      </c>
      <c r="AU39" s="39">
        <f t="shared" si="25"/>
        <v>4844</v>
      </c>
      <c r="AV39" s="40">
        <f t="shared" si="38"/>
        <v>90.25190043225518</v>
      </c>
      <c r="AW39" s="40">
        <f t="shared" si="39"/>
        <v>523.1999999999998</v>
      </c>
      <c r="AX39" s="61">
        <f t="shared" si="20"/>
        <v>1504.1999999999998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7"/>
        <v>64.70588235294117</v>
      </c>
      <c r="M41" s="75">
        <f t="shared" si="43"/>
        <v>5.5</v>
      </c>
      <c r="N41" s="75">
        <f t="shared" si="44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21"/>
        <v>50</v>
      </c>
      <c r="S41" s="73">
        <v>3.1</v>
      </c>
      <c r="T41" s="73">
        <v>2.3</v>
      </c>
      <c r="U41" s="38">
        <f t="shared" si="22"/>
        <v>74.19354838709677</v>
      </c>
      <c r="V41" s="73">
        <v>3.8</v>
      </c>
      <c r="W41" s="73">
        <v>5.5</v>
      </c>
      <c r="X41" s="38">
        <f t="shared" si="32"/>
        <v>144.73684210526315</v>
      </c>
      <c r="Y41" s="75">
        <f t="shared" si="45"/>
        <v>9.100000000000001</v>
      </c>
      <c r="Z41" s="75">
        <f t="shared" si="46"/>
        <v>8.9</v>
      </c>
      <c r="AA41" s="38">
        <f t="shared" si="12"/>
        <v>97.80219780219778</v>
      </c>
      <c r="AB41" s="73">
        <v>2.9</v>
      </c>
      <c r="AC41" s="73">
        <v>1.8</v>
      </c>
      <c r="AD41" s="40">
        <f t="shared" si="14"/>
        <v>62.06896551724138</v>
      </c>
      <c r="AE41" s="73">
        <v>3.4</v>
      </c>
      <c r="AF41" s="73">
        <v>2.5</v>
      </c>
      <c r="AG41" s="40">
        <f t="shared" si="15"/>
        <v>73.52941176470588</v>
      </c>
      <c r="AH41" s="73"/>
      <c r="AI41" s="73"/>
      <c r="AJ41" s="38" t="e">
        <f t="shared" si="16"/>
        <v>#DIV/0!</v>
      </c>
      <c r="AK41" s="75">
        <f t="shared" si="35"/>
        <v>6.3</v>
      </c>
      <c r="AL41" s="75">
        <f t="shared" si="35"/>
        <v>4.3</v>
      </c>
      <c r="AM41" s="38">
        <f t="shared" si="17"/>
        <v>68.25396825396825</v>
      </c>
      <c r="AN41" s="73"/>
      <c r="AO41" s="73"/>
      <c r="AP41" s="73"/>
      <c r="AQ41" s="73"/>
      <c r="AR41" s="73"/>
      <c r="AS41" s="73"/>
      <c r="AT41" s="76">
        <f t="shared" si="25"/>
        <v>20.900000000000002</v>
      </c>
      <c r="AU41" s="76">
        <f t="shared" si="25"/>
        <v>19.3</v>
      </c>
      <c r="AV41" s="38">
        <f t="shared" si="38"/>
        <v>92.3444976076555</v>
      </c>
      <c r="AW41" s="75">
        <f t="shared" si="39"/>
        <v>1.6000000000000014</v>
      </c>
      <c r="AX41" s="77">
        <f t="shared" si="47"/>
        <v>1.8000000000000007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391.8+13.3</f>
        <v>405.1</v>
      </c>
      <c r="H42" s="43">
        <f>533.1+6.5</f>
        <v>539.6</v>
      </c>
      <c r="I42" s="41">
        <f t="shared" si="3"/>
        <v>133.20167859787705</v>
      </c>
      <c r="J42" s="43">
        <f>520.2+6</f>
        <v>526.2</v>
      </c>
      <c r="K42" s="43">
        <f>417.4+4.4</f>
        <v>421.79999999999995</v>
      </c>
      <c r="L42" s="40">
        <f t="shared" si="37"/>
        <v>80.15963511972632</v>
      </c>
      <c r="M42" s="44">
        <f t="shared" si="43"/>
        <v>1271.8000000000002</v>
      </c>
      <c r="N42" s="44">
        <f t="shared" si="44"/>
        <v>1269.3</v>
      </c>
      <c r="O42" s="40">
        <f t="shared" si="7"/>
        <v>99.803428211983</v>
      </c>
      <c r="P42" s="43">
        <f>359.9+8.9</f>
        <v>368.79999999999995</v>
      </c>
      <c r="Q42" s="43">
        <f>300.6+5.1</f>
        <v>305.70000000000005</v>
      </c>
      <c r="R42" s="40">
        <f t="shared" si="21"/>
        <v>82.89045553145338</v>
      </c>
      <c r="S42" s="43">
        <f>427+9.9</f>
        <v>436.9</v>
      </c>
      <c r="T42" s="43">
        <f>274.9+8.2</f>
        <v>283.09999999999997</v>
      </c>
      <c r="U42" s="40">
        <f t="shared" si="22"/>
        <v>64.79743648432135</v>
      </c>
      <c r="V42" s="43">
        <f>13.8+585.1</f>
        <v>598.9</v>
      </c>
      <c r="W42" s="43">
        <f>13.6+457</f>
        <v>470.6</v>
      </c>
      <c r="X42" s="40">
        <f t="shared" si="32"/>
        <v>78.57739188512272</v>
      </c>
      <c r="Y42" s="44">
        <f t="shared" si="45"/>
        <v>1404.6</v>
      </c>
      <c r="Z42" s="44">
        <f t="shared" si="46"/>
        <v>1059.4</v>
      </c>
      <c r="AA42" s="40">
        <f t="shared" si="12"/>
        <v>75.42360814466753</v>
      </c>
      <c r="AB42" s="43">
        <f>601.3+12.3</f>
        <v>613.5999999999999</v>
      </c>
      <c r="AC42" s="43">
        <f>449.3+12.6</f>
        <v>461.90000000000003</v>
      </c>
      <c r="AD42" s="40">
        <f t="shared" si="14"/>
        <v>75.27705345501957</v>
      </c>
      <c r="AE42" s="43">
        <f>293.6+15.6</f>
        <v>309.20000000000005</v>
      </c>
      <c r="AF42" s="43">
        <f>494.1+16</f>
        <v>510.1</v>
      </c>
      <c r="AG42" s="40">
        <f t="shared" si="15"/>
        <v>164.97412677878393</v>
      </c>
      <c r="AH42" s="43"/>
      <c r="AI42" s="43"/>
      <c r="AJ42" s="40" t="e">
        <f t="shared" si="16"/>
        <v>#DIV/0!</v>
      </c>
      <c r="AK42" s="44">
        <f t="shared" si="35"/>
        <v>922.8</v>
      </c>
      <c r="AL42" s="44">
        <f t="shared" si="35"/>
        <v>972</v>
      </c>
      <c r="AM42" s="40">
        <f t="shared" si="17"/>
        <v>105.33159947984396</v>
      </c>
      <c r="AN42" s="43"/>
      <c r="AO42" s="43"/>
      <c r="AP42" s="43"/>
      <c r="AQ42" s="43"/>
      <c r="AR42" s="43"/>
      <c r="AS42" s="43"/>
      <c r="AT42" s="76">
        <f t="shared" si="25"/>
        <v>3599.2</v>
      </c>
      <c r="AU42" s="76">
        <f t="shared" si="25"/>
        <v>3300.7</v>
      </c>
      <c r="AV42" s="40">
        <f t="shared" si="38"/>
        <v>91.70649033118471</v>
      </c>
      <c r="AW42" s="44">
        <f t="shared" si="39"/>
        <v>298.5</v>
      </c>
      <c r="AX42" s="45">
        <f t="shared" si="47"/>
        <v>1179.5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5"/>
        <v>0</v>
      </c>
      <c r="AL43" s="44">
        <f t="shared" si="35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0" t="e">
        <f t="shared" si="38"/>
        <v>#DIV/0!</v>
      </c>
      <c r="AW43" s="44">
        <f t="shared" si="39"/>
        <v>0</v>
      </c>
      <c r="AX43" s="45">
        <f t="shared" si="47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7"/>
        <v>96.59898477157361</v>
      </c>
      <c r="M44" s="44">
        <f t="shared" si="43"/>
        <v>562.1</v>
      </c>
      <c r="N44" s="44">
        <f t="shared" si="44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21"/>
        <v>52.14067278287462</v>
      </c>
      <c r="S44" s="43">
        <f>179.4+32.1+18.9</f>
        <v>230.4</v>
      </c>
      <c r="T44" s="43">
        <f>278.3</f>
        <v>278.3</v>
      </c>
      <c r="U44" s="40">
        <f t="shared" si="22"/>
        <v>120.78993055555556</v>
      </c>
      <c r="V44" s="43">
        <f>192.6+22.3+20.8</f>
        <v>235.70000000000002</v>
      </c>
      <c r="W44" s="43">
        <f>165.5+32.1+18.9</f>
        <v>216.5</v>
      </c>
      <c r="X44" s="54">
        <f t="shared" si="32"/>
        <v>91.85405176071276</v>
      </c>
      <c r="Y44" s="44">
        <f t="shared" si="45"/>
        <v>662.3000000000001</v>
      </c>
      <c r="Z44" s="44">
        <f t="shared" si="46"/>
        <v>597.1</v>
      </c>
      <c r="AA44" s="40">
        <f t="shared" si="12"/>
        <v>90.15551864713875</v>
      </c>
      <c r="AB44" s="43">
        <f>212.5+26+6.9</f>
        <v>245.4</v>
      </c>
      <c r="AC44" s="43">
        <f>203.4+22.3+20.8</f>
        <v>246.50000000000003</v>
      </c>
      <c r="AD44" s="40">
        <f t="shared" si="14"/>
        <v>100.44824775876123</v>
      </c>
      <c r="AE44" s="43">
        <f>241.2+33.8+2.3</f>
        <v>277.3</v>
      </c>
      <c r="AF44" s="43">
        <f>204.8+26.1+6.9</f>
        <v>237.8</v>
      </c>
      <c r="AG44" s="40">
        <f t="shared" si="15"/>
        <v>85.7554994590696</v>
      </c>
      <c r="AH44" s="43"/>
      <c r="AI44" s="43"/>
      <c r="AJ44" s="40" t="e">
        <f t="shared" si="16"/>
        <v>#DIV/0!</v>
      </c>
      <c r="AK44" s="44">
        <f t="shared" si="35"/>
        <v>522.7</v>
      </c>
      <c r="AL44" s="44">
        <f t="shared" si="35"/>
        <v>484.30000000000007</v>
      </c>
      <c r="AM44" s="40">
        <f t="shared" si="17"/>
        <v>92.65352974937824</v>
      </c>
      <c r="AN44" s="43"/>
      <c r="AO44" s="43"/>
      <c r="AP44" s="43"/>
      <c r="AQ44" s="43"/>
      <c r="AR44" s="43"/>
      <c r="AS44" s="43"/>
      <c r="AT44" s="76">
        <f t="shared" si="25"/>
        <v>1747.1000000000001</v>
      </c>
      <c r="AU44" s="76">
        <f t="shared" si="25"/>
        <v>1524</v>
      </c>
      <c r="AV44" s="40">
        <f t="shared" si="38"/>
        <v>87.2302673000973</v>
      </c>
      <c r="AW44" s="44">
        <f t="shared" si="39"/>
        <v>223.10000000000014</v>
      </c>
      <c r="AX44" s="45">
        <f t="shared" si="47"/>
        <v>322.9000000000001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3605.8000000000006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7"/>
        <v>128.58880778588806</v>
      </c>
      <c r="M45" s="40">
        <f t="shared" si="43"/>
        <v>1215.5</v>
      </c>
      <c r="N45" s="40">
        <f t="shared" si="44"/>
        <v>945.5999999999999</v>
      </c>
      <c r="O45" s="40">
        <f t="shared" si="7"/>
        <v>77.79514603044014</v>
      </c>
      <c r="P45" s="57">
        <f aca="true" t="shared" si="48" ref="P45:W45">SUM(P46:P50)</f>
        <v>119.1</v>
      </c>
      <c r="Q45" s="57">
        <f t="shared" si="48"/>
        <v>114.80000000000001</v>
      </c>
      <c r="R45" s="57" t="e">
        <f t="shared" si="48"/>
        <v>#DIV/0!</v>
      </c>
      <c r="S45" s="57">
        <f t="shared" si="48"/>
        <v>126.1</v>
      </c>
      <c r="T45" s="57">
        <f t="shared" si="48"/>
        <v>108.69999999999999</v>
      </c>
      <c r="U45" s="57" t="e">
        <f t="shared" si="48"/>
        <v>#DIV/0!</v>
      </c>
      <c r="V45" s="57">
        <f t="shared" si="48"/>
        <v>107.4</v>
      </c>
      <c r="W45" s="57">
        <f t="shared" si="48"/>
        <v>78</v>
      </c>
      <c r="X45" s="54">
        <f t="shared" si="32"/>
        <v>72.62569832402235</v>
      </c>
      <c r="Y45" s="40">
        <f t="shared" si="45"/>
        <v>352.6</v>
      </c>
      <c r="Z45" s="40">
        <f t="shared" si="46"/>
        <v>301.5</v>
      </c>
      <c r="AA45" s="40">
        <f t="shared" si="12"/>
        <v>85.50765740215542</v>
      </c>
      <c r="AB45" s="57">
        <f aca="true" t="shared" si="49" ref="AB45:AI45">SUM(AB46:AB50)</f>
        <v>96.6</v>
      </c>
      <c r="AC45" s="57">
        <f t="shared" si="49"/>
        <v>88.2</v>
      </c>
      <c r="AD45" s="40">
        <f t="shared" si="14"/>
        <v>91.30434782608697</v>
      </c>
      <c r="AE45" s="57">
        <f t="shared" si="49"/>
        <v>90.2</v>
      </c>
      <c r="AF45" s="57">
        <f t="shared" si="49"/>
        <v>115.9</v>
      </c>
      <c r="AG45" s="40">
        <f t="shared" si="15"/>
        <v>128.49223946784923</v>
      </c>
      <c r="AH45" s="57">
        <f t="shared" si="49"/>
        <v>0</v>
      </c>
      <c r="AI45" s="57">
        <f t="shared" si="49"/>
        <v>0</v>
      </c>
      <c r="AJ45" s="40" t="e">
        <f t="shared" si="16"/>
        <v>#DIV/0!</v>
      </c>
      <c r="AK45" s="40">
        <f t="shared" si="35"/>
        <v>186.8</v>
      </c>
      <c r="AL45" s="40">
        <f t="shared" si="35"/>
        <v>204.10000000000002</v>
      </c>
      <c r="AM45" s="40">
        <f t="shared" si="17"/>
        <v>109.26124197002143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1754.8999999999999</v>
      </c>
      <c r="AU45" s="39">
        <f t="shared" si="25"/>
        <v>1451.1999999999998</v>
      </c>
      <c r="AV45" s="40">
        <f t="shared" si="38"/>
        <v>82.69417060801186</v>
      </c>
      <c r="AW45" s="40">
        <f t="shared" si="39"/>
        <v>303.70000000000005</v>
      </c>
      <c r="AX45" s="61">
        <f t="shared" si="47"/>
        <v>3909.500000000001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8"/>
        <v>#DIV/0!</v>
      </c>
      <c r="AW46" s="44">
        <f t="shared" si="39"/>
        <v>0</v>
      </c>
      <c r="AX46" s="45">
        <f t="shared" si="47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3"/>
        <v>43.7</v>
      </c>
      <c r="N47" s="44">
        <f t="shared" si="44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21"/>
        <v>74.7787610619469</v>
      </c>
      <c r="S47" s="43">
        <v>30.9</v>
      </c>
      <c r="T47" s="43">
        <v>25.1</v>
      </c>
      <c r="U47" s="40">
        <f t="shared" si="22"/>
        <v>81.22977346278319</v>
      </c>
      <c r="V47" s="43"/>
      <c r="W47" s="43">
        <v>11.8</v>
      </c>
      <c r="X47" s="40" t="e">
        <f>W47/V47*100</f>
        <v>#DIV/0!</v>
      </c>
      <c r="Y47" s="44">
        <f t="shared" si="45"/>
        <v>53.5</v>
      </c>
      <c r="Z47" s="44">
        <f t="shared" si="46"/>
        <v>53.8</v>
      </c>
      <c r="AA47" s="40">
        <f t="shared" si="12"/>
        <v>100.56074766355138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97.2</v>
      </c>
      <c r="AU47" s="76">
        <f t="shared" si="25"/>
        <v>110.5</v>
      </c>
      <c r="AV47" s="40">
        <f t="shared" si="38"/>
        <v>113.68312757201646</v>
      </c>
      <c r="AW47" s="44">
        <f t="shared" si="39"/>
        <v>-13.299999999999997</v>
      </c>
      <c r="AX47" s="45">
        <f t="shared" si="47"/>
        <v>52.400000000000006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8"/>
        <v>#DIV/0!</v>
      </c>
      <c r="AW48" s="44">
        <f t="shared" si="39"/>
        <v>0</v>
      </c>
      <c r="AX48" s="45">
        <f t="shared" si="47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3"/>
        <v>257.2</v>
      </c>
      <c r="N49" s="44">
        <f t="shared" si="44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21"/>
        <v>101.45077720207254</v>
      </c>
      <c r="S49" s="43">
        <v>95.2</v>
      </c>
      <c r="T49" s="55">
        <v>83.6</v>
      </c>
      <c r="U49" s="40">
        <f t="shared" si="22"/>
        <v>87.81512605042016</v>
      </c>
      <c r="V49" s="43">
        <v>107.4</v>
      </c>
      <c r="W49" s="55">
        <v>66.2</v>
      </c>
      <c r="X49" s="56">
        <f>W49/V49*100</f>
        <v>61.63873370577281</v>
      </c>
      <c r="Y49" s="44">
        <f t="shared" si="45"/>
        <v>299.1</v>
      </c>
      <c r="Z49" s="44">
        <f t="shared" si="46"/>
        <v>247.7</v>
      </c>
      <c r="AA49" s="40">
        <f t="shared" si="12"/>
        <v>82.81511200267468</v>
      </c>
      <c r="AB49" s="43">
        <v>96.6</v>
      </c>
      <c r="AC49" s="55">
        <v>88.2</v>
      </c>
      <c r="AD49" s="40">
        <f t="shared" si="14"/>
        <v>91.30434782608697</v>
      </c>
      <c r="AE49" s="43">
        <v>90.2</v>
      </c>
      <c r="AF49" s="55">
        <v>115.9</v>
      </c>
      <c r="AG49" s="40">
        <f t="shared" si="15"/>
        <v>128.49223946784923</v>
      </c>
      <c r="AH49" s="43"/>
      <c r="AI49" s="55"/>
      <c r="AJ49" s="40" t="e">
        <f t="shared" si="16"/>
        <v>#DIV/0!</v>
      </c>
      <c r="AK49" s="44">
        <f t="shared" si="35"/>
        <v>186.8</v>
      </c>
      <c r="AL49" s="44">
        <f t="shared" si="35"/>
        <v>204.10000000000002</v>
      </c>
      <c r="AM49" s="40">
        <f t="shared" si="17"/>
        <v>109.26124197002143</v>
      </c>
      <c r="AN49" s="43"/>
      <c r="AO49" s="55"/>
      <c r="AP49" s="43"/>
      <c r="AQ49" s="55"/>
      <c r="AR49" s="43"/>
      <c r="AS49" s="55"/>
      <c r="AT49" s="76">
        <f t="shared" si="25"/>
        <v>743.0999999999999</v>
      </c>
      <c r="AU49" s="76">
        <f t="shared" si="25"/>
        <v>700.2</v>
      </c>
      <c r="AV49" s="40">
        <f t="shared" si="38"/>
        <v>94.22688736374648</v>
      </c>
      <c r="AW49" s="44">
        <f t="shared" si="39"/>
        <v>42.899999999999864</v>
      </c>
      <c r="AX49" s="45">
        <f t="shared" si="47"/>
        <v>242.39999999999986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7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51"/>
        <v>118.0952380952381</v>
      </c>
      <c r="M51" s="44">
        <f t="shared" si="43"/>
        <v>1155.7</v>
      </c>
      <c r="N51" s="44">
        <f t="shared" si="44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21"/>
        <v>120.59461133477858</v>
      </c>
      <c r="S51" s="43">
        <v>219.6</v>
      </c>
      <c r="T51" s="43">
        <v>308.8</v>
      </c>
      <c r="U51" s="40">
        <f t="shared" si="22"/>
        <v>140.6193078324226</v>
      </c>
      <c r="V51" s="43">
        <v>181.5</v>
      </c>
      <c r="W51" s="43">
        <v>299.9</v>
      </c>
      <c r="X51" s="48">
        <f t="shared" si="52"/>
        <v>165.23415977961432</v>
      </c>
      <c r="Y51" s="44">
        <f t="shared" si="45"/>
        <v>724</v>
      </c>
      <c r="Z51" s="44">
        <f t="shared" si="46"/>
        <v>998.1</v>
      </c>
      <c r="AA51" s="40">
        <f t="shared" si="12"/>
        <v>137.85911602209947</v>
      </c>
      <c r="AB51" s="43">
        <v>173.9</v>
      </c>
      <c r="AC51" s="43">
        <v>176.8</v>
      </c>
      <c r="AD51" s="40">
        <f t="shared" si="14"/>
        <v>101.66762507188038</v>
      </c>
      <c r="AE51" s="43">
        <v>162.7</v>
      </c>
      <c r="AF51" s="43">
        <v>170.9</v>
      </c>
      <c r="AG51" s="40">
        <f t="shared" si="15"/>
        <v>105.03995082974802</v>
      </c>
      <c r="AH51" s="43"/>
      <c r="AI51" s="43"/>
      <c r="AJ51" s="40" t="e">
        <f t="shared" si="16"/>
        <v>#DIV/0!</v>
      </c>
      <c r="AK51" s="44">
        <f t="shared" si="23"/>
        <v>336.6</v>
      </c>
      <c r="AL51" s="44">
        <f t="shared" si="23"/>
        <v>347.70000000000005</v>
      </c>
      <c r="AM51" s="40">
        <f t="shared" si="17"/>
        <v>103.29768270944741</v>
      </c>
      <c r="AN51" s="43"/>
      <c r="AO51" s="43"/>
      <c r="AP51" s="43"/>
      <c r="AQ51" s="43"/>
      <c r="AR51" s="43"/>
      <c r="AS51" s="43"/>
      <c r="AT51" s="76">
        <f t="shared" si="25"/>
        <v>2216.3</v>
      </c>
      <c r="AU51" s="76">
        <f t="shared" si="25"/>
        <v>2381.5</v>
      </c>
      <c r="AV51" s="40">
        <f t="shared" si="19"/>
        <v>107.45386454902315</v>
      </c>
      <c r="AW51" s="44">
        <f t="shared" si="24"/>
        <v>-165.19999999999982</v>
      </c>
      <c r="AX51" s="45">
        <f t="shared" si="47"/>
        <v>542.8000000000002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3"/>
        <v>0</v>
      </c>
      <c r="N52" s="44">
        <f t="shared" si="44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5"/>
        <v>0</v>
      </c>
      <c r="Z52" s="44">
        <f t="shared" si="46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57">
        <f>SUM(AJ53:AJ54)</f>
        <v>0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0" t="e">
        <f t="shared" si="19"/>
        <v>#DIV/0!</v>
      </c>
      <c r="AW52" s="44">
        <f t="shared" si="24"/>
        <v>0</v>
      </c>
      <c r="AX52" s="45">
        <f t="shared" si="47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>
      <c r="A53" s="10"/>
      <c r="B53" s="33" t="s">
        <v>109</v>
      </c>
      <c r="C53" s="42">
        <v>1.1</v>
      </c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2"/>
        <v>#DIV/0!</v>
      </c>
      <c r="Y53" s="44">
        <f t="shared" si="45"/>
        <v>0</v>
      </c>
      <c r="Z53" s="44">
        <f t="shared" si="46"/>
        <v>0</v>
      </c>
      <c r="AA53" s="40" t="e">
        <f t="shared" si="12"/>
        <v>#DIV/0!</v>
      </c>
      <c r="AB53" s="43">
        <v>6.9</v>
      </c>
      <c r="AC53" s="43"/>
      <c r="AD53" s="40">
        <f t="shared" si="14"/>
        <v>0</v>
      </c>
      <c r="AE53" s="43">
        <v>3.8</v>
      </c>
      <c r="AF53" s="43">
        <v>2.7</v>
      </c>
      <c r="AG53" s="40">
        <f t="shared" si="15"/>
        <v>71.05263157894738</v>
      </c>
      <c r="AH53" s="43"/>
      <c r="AI53" s="43"/>
      <c r="AJ53" s="40"/>
      <c r="AK53" s="44">
        <f t="shared" si="23"/>
        <v>10.7</v>
      </c>
      <c r="AL53" s="44">
        <f t="shared" si="23"/>
        <v>2.7</v>
      </c>
      <c r="AM53" s="40">
        <f t="shared" si="17"/>
        <v>25.233644859813086</v>
      </c>
      <c r="AN53" s="43"/>
      <c r="AO53" s="43"/>
      <c r="AP53" s="43"/>
      <c r="AQ53" s="43"/>
      <c r="AR53" s="43"/>
      <c r="AS53" s="43"/>
      <c r="AT53" s="76">
        <f t="shared" si="25"/>
        <v>10.7</v>
      </c>
      <c r="AU53" s="76">
        <f t="shared" si="25"/>
        <v>2.7</v>
      </c>
      <c r="AV53" s="40">
        <f t="shared" si="19"/>
        <v>25.233644859813086</v>
      </c>
      <c r="AW53" s="44">
        <f t="shared" si="24"/>
        <v>7.999999999999999</v>
      </c>
      <c r="AX53" s="45">
        <f t="shared" si="47"/>
        <v>9.099999999999998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3"/>
        <v>135.70822731128075</v>
      </c>
      <c r="G54" s="55">
        <v>119.8</v>
      </c>
      <c r="H54" s="43">
        <v>102.5</v>
      </c>
      <c r="I54" s="41">
        <f t="shared" si="54"/>
        <v>85.55926544240401</v>
      </c>
      <c r="J54" s="43">
        <v>141.5</v>
      </c>
      <c r="K54" s="43">
        <v>156</v>
      </c>
      <c r="L54" s="40">
        <f t="shared" si="51"/>
        <v>110.24734982332156</v>
      </c>
      <c r="M54" s="44">
        <f t="shared" si="43"/>
        <v>379.2</v>
      </c>
      <c r="N54" s="44">
        <f t="shared" si="44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21"/>
        <v>134.60183227625086</v>
      </c>
      <c r="S54" s="43">
        <v>136.4</v>
      </c>
      <c r="T54" s="43">
        <v>161.2</v>
      </c>
      <c r="U54" s="40">
        <f t="shared" si="22"/>
        <v>118.18181818181816</v>
      </c>
      <c r="V54" s="43">
        <v>182.7</v>
      </c>
      <c r="W54" s="43">
        <v>95.7</v>
      </c>
      <c r="X54" s="40">
        <f t="shared" si="52"/>
        <v>52.38095238095239</v>
      </c>
      <c r="Y54" s="44">
        <f t="shared" si="45"/>
        <v>461</v>
      </c>
      <c r="Z54" s="44">
        <f t="shared" si="46"/>
        <v>447.9</v>
      </c>
      <c r="AA54" s="40">
        <f t="shared" si="12"/>
        <v>97.15835140997831</v>
      </c>
      <c r="AB54" s="43">
        <v>142.5</v>
      </c>
      <c r="AC54" s="43">
        <v>143.9</v>
      </c>
      <c r="AD54" s="40">
        <f t="shared" si="14"/>
        <v>100.98245614035089</v>
      </c>
      <c r="AE54" s="43">
        <v>141.5</v>
      </c>
      <c r="AF54" s="43">
        <v>163.8</v>
      </c>
      <c r="AG54" s="40">
        <f t="shared" si="15"/>
        <v>115.75971731448765</v>
      </c>
      <c r="AH54" s="43"/>
      <c r="AI54" s="43"/>
      <c r="AJ54" s="40"/>
      <c r="AK54" s="44">
        <f t="shared" si="23"/>
        <v>284</v>
      </c>
      <c r="AL54" s="44">
        <f t="shared" si="23"/>
        <v>307.70000000000005</v>
      </c>
      <c r="AM54" s="40">
        <f>AL54/AK54*100</f>
        <v>108.34507042253523</v>
      </c>
      <c r="AN54" s="43"/>
      <c r="AO54" s="43"/>
      <c r="AP54" s="43"/>
      <c r="AQ54" s="43"/>
      <c r="AR54" s="43"/>
      <c r="AS54" s="43"/>
      <c r="AT54" s="76">
        <f t="shared" si="25"/>
        <v>1124.2</v>
      </c>
      <c r="AU54" s="76">
        <f t="shared" si="25"/>
        <v>1174.1</v>
      </c>
      <c r="AV54" s="40">
        <f t="shared" si="19"/>
        <v>104.43871197295853</v>
      </c>
      <c r="AW54" s="44">
        <f t="shared" si="24"/>
        <v>-49.899999999999864</v>
      </c>
      <c r="AX54" s="45">
        <f t="shared" si="47"/>
        <v>113.80000000000018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3"/>
        <v>65.6</v>
      </c>
      <c r="G55" s="60">
        <v>11.5</v>
      </c>
      <c r="H55" s="60">
        <v>4.6</v>
      </c>
      <c r="I55" s="41">
        <f t="shared" si="54"/>
        <v>40</v>
      </c>
      <c r="J55" s="43">
        <v>17.7</v>
      </c>
      <c r="K55" s="43">
        <v>6</v>
      </c>
      <c r="L55" s="40">
        <f t="shared" si="51"/>
        <v>33.898305084745765</v>
      </c>
      <c r="M55" s="44">
        <f t="shared" si="43"/>
        <v>41.7</v>
      </c>
      <c r="N55" s="44">
        <f t="shared" si="44"/>
        <v>18.799999999999997</v>
      </c>
      <c r="O55" s="40">
        <f t="shared" si="7"/>
        <v>45.083932853717016</v>
      </c>
      <c r="P55" s="43">
        <v>20.6</v>
      </c>
      <c r="Q55" s="43">
        <v>18</v>
      </c>
      <c r="R55" s="40">
        <f t="shared" si="21"/>
        <v>87.37864077669903</v>
      </c>
      <c r="S55" s="43">
        <v>15.1</v>
      </c>
      <c r="T55" s="43">
        <v>10</v>
      </c>
      <c r="U55" s="40">
        <f t="shared" si="22"/>
        <v>66.22516556291392</v>
      </c>
      <c r="V55" s="43">
        <v>16.8</v>
      </c>
      <c r="W55" s="43">
        <v>18.3</v>
      </c>
      <c r="X55" s="40">
        <f t="shared" si="52"/>
        <v>108.92857142857142</v>
      </c>
      <c r="Y55" s="44">
        <f t="shared" si="45"/>
        <v>52.5</v>
      </c>
      <c r="Z55" s="44">
        <f t="shared" si="46"/>
        <v>46.3</v>
      </c>
      <c r="AA55" s="40">
        <f t="shared" si="12"/>
        <v>88.19047619047619</v>
      </c>
      <c r="AB55" s="43">
        <v>16.1</v>
      </c>
      <c r="AC55" s="43">
        <v>18.7</v>
      </c>
      <c r="AD55" s="40">
        <f t="shared" si="14"/>
        <v>116.14906832298135</v>
      </c>
      <c r="AE55" s="43">
        <v>15.4</v>
      </c>
      <c r="AF55" s="43">
        <v>15.1</v>
      </c>
      <c r="AG55" s="40">
        <f t="shared" si="15"/>
        <v>98.05194805194805</v>
      </c>
      <c r="AH55" s="43"/>
      <c r="AI55" s="43"/>
      <c r="AJ55" s="40"/>
      <c r="AK55" s="44">
        <f t="shared" si="23"/>
        <v>31.5</v>
      </c>
      <c r="AL55" s="44">
        <f t="shared" si="23"/>
        <v>33.8</v>
      </c>
      <c r="AM55" s="40">
        <f t="shared" si="17"/>
        <v>107.3015873015873</v>
      </c>
      <c r="AN55" s="43"/>
      <c r="AO55" s="43"/>
      <c r="AP55" s="43"/>
      <c r="AQ55" s="43"/>
      <c r="AR55" s="43"/>
      <c r="AS55" s="43"/>
      <c r="AT55" s="76">
        <f t="shared" si="25"/>
        <v>125.7</v>
      </c>
      <c r="AU55" s="76">
        <f t="shared" si="25"/>
        <v>98.89999999999999</v>
      </c>
      <c r="AV55" s="40">
        <f t="shared" si="19"/>
        <v>78.67939538583929</v>
      </c>
      <c r="AW55" s="44">
        <f t="shared" si="24"/>
        <v>26.80000000000001</v>
      </c>
      <c r="AX55" s="45">
        <f t="shared" si="47"/>
        <v>159.70000000000005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3"/>
        <v>0</v>
      </c>
      <c r="G56" s="52">
        <v>1</v>
      </c>
      <c r="H56" s="52">
        <v>0.1</v>
      </c>
      <c r="I56" s="41">
        <f t="shared" si="54"/>
        <v>10</v>
      </c>
      <c r="J56" s="43">
        <v>1</v>
      </c>
      <c r="K56" s="43">
        <v>5.3</v>
      </c>
      <c r="L56" s="40">
        <f t="shared" si="51"/>
        <v>530</v>
      </c>
      <c r="M56" s="44">
        <f t="shared" si="43"/>
        <v>2.7</v>
      </c>
      <c r="N56" s="44">
        <f t="shared" si="44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21"/>
        <v>188.88888888888889</v>
      </c>
      <c r="S56" s="43">
        <v>0.4</v>
      </c>
      <c r="T56" s="43">
        <v>0.2</v>
      </c>
      <c r="U56" s="40">
        <f t="shared" si="22"/>
        <v>50</v>
      </c>
      <c r="V56" s="43">
        <v>0.9</v>
      </c>
      <c r="W56" s="43">
        <v>0.3</v>
      </c>
      <c r="X56" s="40">
        <f t="shared" si="52"/>
        <v>33.33333333333333</v>
      </c>
      <c r="Y56" s="44">
        <f t="shared" si="45"/>
        <v>2.2</v>
      </c>
      <c r="Z56" s="44">
        <f t="shared" si="46"/>
        <v>2.1999999999999997</v>
      </c>
      <c r="AA56" s="40">
        <f t="shared" si="12"/>
        <v>99.99999999999997</v>
      </c>
      <c r="AB56" s="43">
        <v>0.8</v>
      </c>
      <c r="AC56" s="43">
        <v>0.5</v>
      </c>
      <c r="AD56" s="40">
        <f t="shared" si="14"/>
        <v>62.5</v>
      </c>
      <c r="AE56" s="43">
        <v>0.5</v>
      </c>
      <c r="AF56" s="43">
        <v>1.3</v>
      </c>
      <c r="AG56" s="40">
        <f t="shared" si="15"/>
        <v>260</v>
      </c>
      <c r="AH56" s="43"/>
      <c r="AI56" s="43"/>
      <c r="AJ56" s="40"/>
      <c r="AK56" s="44">
        <f t="shared" si="23"/>
        <v>1.3</v>
      </c>
      <c r="AL56" s="44">
        <f t="shared" si="23"/>
        <v>1.8</v>
      </c>
      <c r="AM56" s="40">
        <f t="shared" si="17"/>
        <v>138.46153846153845</v>
      </c>
      <c r="AN56" s="43"/>
      <c r="AO56" s="43"/>
      <c r="AP56" s="43"/>
      <c r="AQ56" s="43"/>
      <c r="AR56" s="43"/>
      <c r="AS56" s="43"/>
      <c r="AT56" s="76">
        <f t="shared" si="25"/>
        <v>6.2</v>
      </c>
      <c r="AU56" s="76">
        <f t="shared" si="25"/>
        <v>9.4</v>
      </c>
      <c r="AV56" s="40">
        <f t="shared" si="19"/>
        <v>151.61290322580646</v>
      </c>
      <c r="AW56" s="44">
        <f t="shared" si="24"/>
        <v>-3.2</v>
      </c>
      <c r="AX56" s="45">
        <f t="shared" si="47"/>
        <v>0.6999999999999993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3"/>
        <v>126.02089268755934</v>
      </c>
      <c r="G57" s="43">
        <v>96.7</v>
      </c>
      <c r="H57" s="43">
        <v>136.1</v>
      </c>
      <c r="I57" s="41">
        <f t="shared" si="54"/>
        <v>140.7445708376422</v>
      </c>
      <c r="J57" s="43">
        <v>112.6</v>
      </c>
      <c r="K57" s="43">
        <v>39.4</v>
      </c>
      <c r="L57" s="40">
        <f t="shared" si="51"/>
        <v>34.9911190053286</v>
      </c>
      <c r="M57" s="44">
        <f t="shared" si="43"/>
        <v>314.6</v>
      </c>
      <c r="N57" s="44">
        <f t="shared" si="44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21"/>
        <v>86.11111111111111</v>
      </c>
      <c r="S57" s="43">
        <v>36.7</v>
      </c>
      <c r="T57" s="43">
        <v>99.8</v>
      </c>
      <c r="U57" s="40">
        <f t="shared" si="22"/>
        <v>271.9346049046321</v>
      </c>
      <c r="V57" s="43">
        <v>117.7</v>
      </c>
      <c r="W57" s="43">
        <v>50.7</v>
      </c>
      <c r="X57" s="40">
        <f t="shared" si="52"/>
        <v>43.07561597281224</v>
      </c>
      <c r="Y57" s="44">
        <f t="shared" si="45"/>
        <v>197.60000000000002</v>
      </c>
      <c r="Z57" s="44">
        <f t="shared" si="46"/>
        <v>187.7</v>
      </c>
      <c r="AA57" s="40">
        <f t="shared" si="12"/>
        <v>94.98987854251011</v>
      </c>
      <c r="AB57" s="43">
        <v>51.2</v>
      </c>
      <c r="AC57" s="43">
        <v>83.7</v>
      </c>
      <c r="AD57" s="40">
        <f t="shared" si="14"/>
        <v>163.4765625</v>
      </c>
      <c r="AE57" s="43">
        <v>35.8</v>
      </c>
      <c r="AF57" s="43">
        <v>98</v>
      </c>
      <c r="AG57" s="40">
        <f t="shared" si="15"/>
        <v>273.7430167597766</v>
      </c>
      <c r="AH57" s="43"/>
      <c r="AI57" s="43"/>
      <c r="AJ57" s="40"/>
      <c r="AK57" s="44">
        <f t="shared" si="23"/>
        <v>87</v>
      </c>
      <c r="AL57" s="44">
        <f t="shared" si="23"/>
        <v>181.7</v>
      </c>
      <c r="AM57" s="40">
        <f t="shared" si="17"/>
        <v>208.85057471264366</v>
      </c>
      <c r="AN57" s="43"/>
      <c r="AO57" s="43"/>
      <c r="AP57" s="43"/>
      <c r="AQ57" s="43"/>
      <c r="AR57" s="43"/>
      <c r="AS57" s="43"/>
      <c r="AT57" s="76">
        <f t="shared" si="25"/>
        <v>599.2</v>
      </c>
      <c r="AU57" s="76">
        <f t="shared" si="25"/>
        <v>677.5999999999999</v>
      </c>
      <c r="AV57" s="40">
        <f t="shared" si="19"/>
        <v>113.08411214953269</v>
      </c>
      <c r="AW57" s="44">
        <f t="shared" si="24"/>
        <v>-78.39999999999986</v>
      </c>
      <c r="AX57" s="45">
        <f t="shared" si="47"/>
        <v>152.5000000000001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3"/>
        <v>13.445867287543656</v>
      </c>
      <c r="G58" s="43">
        <v>178.1</v>
      </c>
      <c r="H58" s="43">
        <v>28.8</v>
      </c>
      <c r="I58" s="41">
        <f t="shared" si="54"/>
        <v>16.170690623245367</v>
      </c>
      <c r="J58" s="43">
        <v>185.5</v>
      </c>
      <c r="K58" s="43">
        <v>21.8</v>
      </c>
      <c r="L58" s="40">
        <f t="shared" si="51"/>
        <v>11.752021563342318</v>
      </c>
      <c r="M58" s="44">
        <f t="shared" si="43"/>
        <v>535.4</v>
      </c>
      <c r="N58" s="44">
        <f t="shared" si="44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21"/>
        <v>19.988479262672815</v>
      </c>
      <c r="S58" s="43">
        <v>56.6</v>
      </c>
      <c r="T58" s="43">
        <v>19.8</v>
      </c>
      <c r="U58" s="40">
        <f t="shared" si="22"/>
        <v>34.98233215547703</v>
      </c>
      <c r="V58" s="43">
        <v>27.8</v>
      </c>
      <c r="W58" s="43">
        <v>15.8</v>
      </c>
      <c r="X58" s="40">
        <f t="shared" si="52"/>
        <v>56.83453237410072</v>
      </c>
      <c r="Y58" s="44">
        <f t="shared" si="45"/>
        <v>258</v>
      </c>
      <c r="Z58" s="44">
        <f t="shared" si="46"/>
        <v>70.3</v>
      </c>
      <c r="AA58" s="40">
        <f t="shared" si="12"/>
        <v>27.248062015503876</v>
      </c>
      <c r="AB58" s="43">
        <v>35.4</v>
      </c>
      <c r="AC58" s="43">
        <v>37.3</v>
      </c>
      <c r="AD58" s="40">
        <f t="shared" si="14"/>
        <v>105.36723163841808</v>
      </c>
      <c r="AE58" s="43">
        <v>83.9</v>
      </c>
      <c r="AF58" s="43">
        <v>20</v>
      </c>
      <c r="AG58" s="40">
        <f t="shared" si="15"/>
        <v>23.837902264600714</v>
      </c>
      <c r="AH58" s="43"/>
      <c r="AI58" s="43"/>
      <c r="AJ58" s="40"/>
      <c r="AK58" s="44">
        <f t="shared" si="23"/>
        <v>119.30000000000001</v>
      </c>
      <c r="AL58" s="44">
        <f t="shared" si="23"/>
        <v>57.3</v>
      </c>
      <c r="AM58" s="40">
        <f t="shared" si="17"/>
        <v>48.03017602682313</v>
      </c>
      <c r="AN58" s="43"/>
      <c r="AO58" s="43"/>
      <c r="AP58" s="43"/>
      <c r="AQ58" s="43"/>
      <c r="AR58" s="43"/>
      <c r="AS58" s="43"/>
      <c r="AT58" s="76">
        <f t="shared" si="25"/>
        <v>912.7</v>
      </c>
      <c r="AU58" s="76">
        <f t="shared" si="25"/>
        <v>201.3</v>
      </c>
      <c r="AV58" s="40">
        <f t="shared" si="19"/>
        <v>22.055439903582776</v>
      </c>
      <c r="AW58" s="44">
        <f t="shared" si="24"/>
        <v>711.4000000000001</v>
      </c>
      <c r="AX58" s="45">
        <f t="shared" si="47"/>
        <v>2753.6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3"/>
        <v>38.42549203373945</v>
      </c>
      <c r="G60" s="43">
        <v>81.4</v>
      </c>
      <c r="H60" s="43">
        <v>63.2</v>
      </c>
      <c r="I60" s="41">
        <f t="shared" si="54"/>
        <v>77.64127764127764</v>
      </c>
      <c r="J60" s="43">
        <v>70.8</v>
      </c>
      <c r="K60" s="43">
        <v>73.3</v>
      </c>
      <c r="L60" s="40">
        <f t="shared" si="51"/>
        <v>103.53107344632768</v>
      </c>
      <c r="M60" s="44">
        <f t="shared" si="43"/>
        <v>258.90000000000003</v>
      </c>
      <c r="N60" s="44">
        <f t="shared" si="44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21"/>
        <v>42.78481012658227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79</v>
      </c>
      <c r="Z60" s="44">
        <f t="shared" si="46"/>
        <v>33.8</v>
      </c>
      <c r="AA60" s="40">
        <f t="shared" si="12"/>
        <v>42.78481012658227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/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337.90000000000003</v>
      </c>
      <c r="AU60" s="76">
        <f t="shared" si="25"/>
        <v>211.3</v>
      </c>
      <c r="AV60" s="40">
        <f t="shared" si="19"/>
        <v>62.5332938739272</v>
      </c>
      <c r="AW60" s="44">
        <f t="shared" si="24"/>
        <v>126.60000000000002</v>
      </c>
      <c r="AX60" s="45">
        <f t="shared" si="47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3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4"/>
        <v>92.34821181036871</v>
      </c>
      <c r="J61" s="91">
        <f>SUM(J62:J71)</f>
        <v>978.2</v>
      </c>
      <c r="K61" s="91">
        <f>SUM(K62:K71)</f>
        <v>1074.1</v>
      </c>
      <c r="L61" s="40">
        <f t="shared" si="51"/>
        <v>109.80372112042525</v>
      </c>
      <c r="M61" s="40">
        <f t="shared" si="43"/>
        <v>3082.4000000000005</v>
      </c>
      <c r="N61" s="40">
        <f t="shared" si="44"/>
        <v>2731.8999999999996</v>
      </c>
      <c r="O61" s="40">
        <f t="shared" si="7"/>
        <v>88.62899039709315</v>
      </c>
      <c r="P61" s="91">
        <f aca="true" t="shared" si="55" ref="P61:W61">SUM(P62:P71)</f>
        <v>984.3</v>
      </c>
      <c r="Q61" s="91">
        <f t="shared" si="55"/>
        <v>688</v>
      </c>
      <c r="R61" s="91">
        <f t="shared" si="55"/>
        <v>848.4102290921563</v>
      </c>
      <c r="S61" s="91">
        <f t="shared" si="55"/>
        <v>996.3999999999999</v>
      </c>
      <c r="T61" s="91">
        <f t="shared" si="55"/>
        <v>720.5</v>
      </c>
      <c r="U61" s="91" t="e">
        <f t="shared" si="55"/>
        <v>#DIV/0!</v>
      </c>
      <c r="V61" s="91">
        <f t="shared" si="55"/>
        <v>1079.3000000000002</v>
      </c>
      <c r="W61" s="91">
        <f t="shared" si="55"/>
        <v>1060.3000000000002</v>
      </c>
      <c r="X61" s="40">
        <f t="shared" si="52"/>
        <v>98.23959974057259</v>
      </c>
      <c r="Y61" s="40">
        <f t="shared" si="45"/>
        <v>3060</v>
      </c>
      <c r="Z61" s="40">
        <f t="shared" si="46"/>
        <v>2468.8</v>
      </c>
      <c r="AA61" s="40">
        <f t="shared" si="12"/>
        <v>80.6797385620915</v>
      </c>
      <c r="AB61" s="91">
        <f aca="true" t="shared" si="56" ref="AB61:AI61">SUM(AB62:AB71)</f>
        <v>1099.6000000000001</v>
      </c>
      <c r="AC61" s="91">
        <f t="shared" si="56"/>
        <v>644.3</v>
      </c>
      <c r="AD61" s="40">
        <f t="shared" si="14"/>
        <v>58.594034194252444</v>
      </c>
      <c r="AE61" s="91">
        <f t="shared" si="56"/>
        <v>891</v>
      </c>
      <c r="AF61" s="91">
        <f t="shared" si="56"/>
        <v>773.5</v>
      </c>
      <c r="AG61" s="40">
        <f t="shared" si="15"/>
        <v>86.81257014590348</v>
      </c>
      <c r="AH61" s="91">
        <f t="shared" si="56"/>
        <v>0</v>
      </c>
      <c r="AI61" s="91">
        <f t="shared" si="56"/>
        <v>0</v>
      </c>
      <c r="AJ61" s="40"/>
      <c r="AK61" s="40">
        <f t="shared" si="23"/>
        <v>1990.6000000000001</v>
      </c>
      <c r="AL61" s="40">
        <f t="shared" si="23"/>
        <v>1417.8</v>
      </c>
      <c r="AM61" s="40">
        <f t="shared" si="17"/>
        <v>71.22475635486786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8133.000000000001</v>
      </c>
      <c r="AU61" s="39">
        <f t="shared" si="25"/>
        <v>6618.5</v>
      </c>
      <c r="AV61" s="40">
        <f t="shared" si="19"/>
        <v>81.3783351776712</v>
      </c>
      <c r="AW61" s="40">
        <f t="shared" si="24"/>
        <v>1514.500000000001</v>
      </c>
      <c r="AX61" s="61">
        <f t="shared" si="47"/>
        <v>4070.800000000001</v>
      </c>
      <c r="AY61" s="21"/>
      <c r="AZ61" s="12"/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3"/>
        <v>63.97400185701022</v>
      </c>
      <c r="G62" s="43">
        <v>172.5</v>
      </c>
      <c r="H62" s="43">
        <v>87.2</v>
      </c>
      <c r="I62" s="41">
        <f t="shared" si="54"/>
        <v>50.550724637681164</v>
      </c>
      <c r="J62" s="43">
        <v>140.6</v>
      </c>
      <c r="K62" s="43">
        <v>104.1</v>
      </c>
      <c r="L62" s="40">
        <f t="shared" si="51"/>
        <v>74.03982930298719</v>
      </c>
      <c r="M62" s="44">
        <f t="shared" si="43"/>
        <v>420.79999999999995</v>
      </c>
      <c r="N62" s="44">
        <f t="shared" si="44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21"/>
        <v>51.28044971892567</v>
      </c>
      <c r="S62" s="43">
        <v>235.8</v>
      </c>
      <c r="T62" s="43">
        <v>85.6</v>
      </c>
      <c r="U62" s="40">
        <f t="shared" si="22"/>
        <v>36.301950805767596</v>
      </c>
      <c r="V62" s="43">
        <f>1021.2-816.7</f>
        <v>204.5</v>
      </c>
      <c r="W62" s="43">
        <f>900-427.9</f>
        <v>472.1</v>
      </c>
      <c r="X62" s="40">
        <f t="shared" si="52"/>
        <v>230.85574572127138</v>
      </c>
      <c r="Y62" s="44">
        <f t="shared" si="45"/>
        <v>600.4</v>
      </c>
      <c r="Z62" s="44">
        <f t="shared" si="46"/>
        <v>639.8</v>
      </c>
      <c r="AA62" s="40">
        <f t="shared" si="12"/>
        <v>106.56229180546302</v>
      </c>
      <c r="AB62" s="43">
        <v>226.3</v>
      </c>
      <c r="AC62" s="43">
        <v>105.1</v>
      </c>
      <c r="AD62" s="40">
        <f t="shared" si="14"/>
        <v>46.44277507733097</v>
      </c>
      <c r="AE62" s="43">
        <v>227.1</v>
      </c>
      <c r="AF62" s="43">
        <v>153.1</v>
      </c>
      <c r="AG62" s="40">
        <f t="shared" si="15"/>
        <v>67.41523557904007</v>
      </c>
      <c r="AH62" s="43"/>
      <c r="AI62" s="43"/>
      <c r="AJ62" s="40"/>
      <c r="AK62" s="44">
        <f t="shared" si="23"/>
        <v>453.4</v>
      </c>
      <c r="AL62" s="44">
        <f t="shared" si="23"/>
        <v>258.2</v>
      </c>
      <c r="AM62" s="40">
        <f t="shared" si="17"/>
        <v>56.947507719453014</v>
      </c>
      <c r="AN62" s="43"/>
      <c r="AO62" s="43"/>
      <c r="AP62" s="43"/>
      <c r="AQ62" s="43"/>
      <c r="AR62" s="43"/>
      <c r="AS62" s="43"/>
      <c r="AT62" s="76">
        <f t="shared" si="25"/>
        <v>1474.6</v>
      </c>
      <c r="AU62" s="76">
        <f t="shared" si="25"/>
        <v>1158.2</v>
      </c>
      <c r="AV62" s="40">
        <f t="shared" si="19"/>
        <v>78.54333378543335</v>
      </c>
      <c r="AW62" s="44">
        <f t="shared" si="24"/>
        <v>316.39999999999986</v>
      </c>
      <c r="AX62" s="45">
        <f t="shared" si="47"/>
        <v>525.9999999999998</v>
      </c>
      <c r="AY62" s="21"/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3"/>
        <v>34.565330557001566</v>
      </c>
      <c r="G63" s="52">
        <v>191.9</v>
      </c>
      <c r="H63" s="52">
        <v>189.8</v>
      </c>
      <c r="I63" s="41">
        <f t="shared" si="54"/>
        <v>98.90568004168838</v>
      </c>
      <c r="J63" s="43">
        <v>200</v>
      </c>
      <c r="K63" s="43">
        <v>341.7</v>
      </c>
      <c r="L63" s="40">
        <f t="shared" si="51"/>
        <v>170.85</v>
      </c>
      <c r="M63" s="44">
        <f t="shared" si="43"/>
        <v>584</v>
      </c>
      <c r="N63" s="44">
        <f t="shared" si="44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21"/>
        <v>76.0837798343887</v>
      </c>
      <c r="S63" s="43">
        <v>184.7</v>
      </c>
      <c r="T63" s="43">
        <v>203</v>
      </c>
      <c r="U63" s="40">
        <f t="shared" si="22"/>
        <v>109.90795885219275</v>
      </c>
      <c r="V63" s="43">
        <v>206.4</v>
      </c>
      <c r="W63" s="43">
        <v>207</v>
      </c>
      <c r="X63" s="40">
        <f t="shared" si="52"/>
        <v>100.29069767441861</v>
      </c>
      <c r="Y63" s="44">
        <f t="shared" si="45"/>
        <v>596.4</v>
      </c>
      <c r="Z63" s="44">
        <f t="shared" si="46"/>
        <v>566.2</v>
      </c>
      <c r="AA63" s="40">
        <f t="shared" si="12"/>
        <v>94.9362843729041</v>
      </c>
      <c r="AB63" s="43">
        <v>209.4</v>
      </c>
      <c r="AC63" s="43">
        <v>115.3</v>
      </c>
      <c r="AD63" s="40">
        <f t="shared" si="14"/>
        <v>55.062082139446034</v>
      </c>
      <c r="AE63" s="43">
        <v>214.1</v>
      </c>
      <c r="AF63" s="43">
        <v>201</v>
      </c>
      <c r="AG63" s="40">
        <f t="shared" si="15"/>
        <v>93.88136384866885</v>
      </c>
      <c r="AH63" s="43"/>
      <c r="AI63" s="43"/>
      <c r="AJ63" s="40"/>
      <c r="AK63" s="44">
        <f aca="true" t="shared" si="58" ref="AK63:AL71">AB63+AE63+AH63</f>
        <v>423.5</v>
      </c>
      <c r="AL63" s="44">
        <f t="shared" si="58"/>
        <v>316.3</v>
      </c>
      <c r="AM63" s="40">
        <f t="shared" si="17"/>
        <v>74.68713105076742</v>
      </c>
      <c r="AN63" s="43"/>
      <c r="AO63" s="43"/>
      <c r="AP63" s="43"/>
      <c r="AQ63" s="43"/>
      <c r="AR63" s="43"/>
      <c r="AS63" s="43"/>
      <c r="AT63" s="76">
        <f t="shared" si="25"/>
        <v>1603.9</v>
      </c>
      <c r="AU63" s="76">
        <f t="shared" si="25"/>
        <v>1480.4</v>
      </c>
      <c r="AV63" s="40">
        <f t="shared" si="19"/>
        <v>92.300018704408</v>
      </c>
      <c r="AW63" s="44">
        <f t="shared" si="24"/>
        <v>123.5</v>
      </c>
      <c r="AX63" s="45">
        <f t="shared" si="47"/>
        <v>529.2</v>
      </c>
      <c r="AY63" s="21"/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9" ref="F64:F71">E64/D64*100</f>
        <v>0</v>
      </c>
      <c r="G64" s="43">
        <v>2.5</v>
      </c>
      <c r="H64" s="43">
        <v>0</v>
      </c>
      <c r="I64" s="41">
        <f aca="true" t="shared" si="60" ref="I64:I72">H64/G64*100</f>
        <v>0</v>
      </c>
      <c r="J64" s="43">
        <v>1.5</v>
      </c>
      <c r="K64" s="43">
        <v>6.8</v>
      </c>
      <c r="L64" s="40">
        <f t="shared" si="51"/>
        <v>453.3333333333333</v>
      </c>
      <c r="M64" s="44">
        <f t="shared" si="43"/>
        <v>6</v>
      </c>
      <c r="N64" s="44">
        <f t="shared" si="44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21"/>
        <v>0</v>
      </c>
      <c r="S64" s="43"/>
      <c r="T64" s="43"/>
      <c r="U64" s="40" t="e">
        <f t="shared" si="22"/>
        <v>#DIV/0!</v>
      </c>
      <c r="V64" s="43"/>
      <c r="W64" s="43">
        <v>2</v>
      </c>
      <c r="X64" s="40" t="e">
        <f t="shared" si="52"/>
        <v>#DIV/0!</v>
      </c>
      <c r="Y64" s="44">
        <f t="shared" si="45"/>
        <v>0.5</v>
      </c>
      <c r="Z64" s="44">
        <f t="shared" si="46"/>
        <v>2</v>
      </c>
      <c r="AA64" s="40">
        <f t="shared" si="12"/>
        <v>400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6.5</v>
      </c>
      <c r="AU64" s="76">
        <f t="shared" si="25"/>
        <v>8.8</v>
      </c>
      <c r="AV64" s="40">
        <f t="shared" si="19"/>
        <v>135.3846153846154</v>
      </c>
      <c r="AW64" s="44">
        <f t="shared" si="24"/>
        <v>-2.3000000000000007</v>
      </c>
      <c r="AX64" s="45">
        <f t="shared" si="47"/>
        <v>0</v>
      </c>
      <c r="AY64" s="21"/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9"/>
        <v>21.969140337986776</v>
      </c>
      <c r="G65" s="43">
        <v>243.8</v>
      </c>
      <c r="H65" s="43">
        <v>194.6</v>
      </c>
      <c r="I65" s="41">
        <f t="shared" si="60"/>
        <v>79.81952420016405</v>
      </c>
      <c r="J65" s="43">
        <v>252.6</v>
      </c>
      <c r="K65" s="43">
        <v>89.5</v>
      </c>
      <c r="L65" s="40">
        <f t="shared" si="51"/>
        <v>35.431512272367385</v>
      </c>
      <c r="M65" s="44">
        <f t="shared" si="43"/>
        <v>768.6</v>
      </c>
      <c r="N65" s="44">
        <f t="shared" si="44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21"/>
        <v>30.69860279441118</v>
      </c>
      <c r="S65" s="43">
        <v>244.3</v>
      </c>
      <c r="T65" s="43">
        <v>54.2</v>
      </c>
      <c r="U65" s="40">
        <f t="shared" si="22"/>
        <v>22.185837085550553</v>
      </c>
      <c r="V65" s="43">
        <v>265.8</v>
      </c>
      <c r="W65" s="43">
        <v>55.7</v>
      </c>
      <c r="X65" s="40">
        <f t="shared" si="52"/>
        <v>20.955605718585403</v>
      </c>
      <c r="Y65" s="44">
        <f t="shared" si="45"/>
        <v>760.6</v>
      </c>
      <c r="Z65" s="44">
        <f t="shared" si="46"/>
        <v>186.8</v>
      </c>
      <c r="AA65" s="40">
        <f t="shared" si="12"/>
        <v>24.55955824349198</v>
      </c>
      <c r="AB65" s="43">
        <v>228</v>
      </c>
      <c r="AC65" s="43">
        <v>72</v>
      </c>
      <c r="AD65" s="40">
        <f t="shared" si="14"/>
        <v>31.57894736842105</v>
      </c>
      <c r="AE65" s="43"/>
      <c r="AF65" s="43"/>
      <c r="AG65" s="40" t="e">
        <f t="shared" si="15"/>
        <v>#DIV/0!</v>
      </c>
      <c r="AH65" s="43"/>
      <c r="AI65" s="43"/>
      <c r="AJ65" s="40"/>
      <c r="AK65" s="44">
        <f t="shared" si="58"/>
        <v>228</v>
      </c>
      <c r="AL65" s="44">
        <f t="shared" si="58"/>
        <v>72</v>
      </c>
      <c r="AM65" s="40">
        <f t="shared" si="17"/>
        <v>31.57894736842105</v>
      </c>
      <c r="AN65" s="43"/>
      <c r="AO65" s="43"/>
      <c r="AP65" s="43"/>
      <c r="AQ65" s="43"/>
      <c r="AR65" s="43"/>
      <c r="AS65" s="43"/>
      <c r="AT65" s="76">
        <f t="shared" si="25"/>
        <v>1757.2</v>
      </c>
      <c r="AU65" s="76">
        <f t="shared" si="25"/>
        <v>602.7</v>
      </c>
      <c r="AV65" s="40">
        <f t="shared" si="19"/>
        <v>34.298884589119055</v>
      </c>
      <c r="AW65" s="44">
        <f t="shared" si="24"/>
        <v>1154.5</v>
      </c>
      <c r="AX65" s="45">
        <f t="shared" si="47"/>
        <v>2210.9000000000005</v>
      </c>
      <c r="AY65" s="21"/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9"/>
        <v>47.44525547445256</v>
      </c>
      <c r="G66" s="43">
        <v>13.5</v>
      </c>
      <c r="H66" s="43">
        <v>15.2</v>
      </c>
      <c r="I66" s="41">
        <f t="shared" si="60"/>
        <v>112.59259259259258</v>
      </c>
      <c r="J66" s="43">
        <v>9.9</v>
      </c>
      <c r="K66" s="43">
        <v>10.9</v>
      </c>
      <c r="L66" s="40">
        <f t="shared" si="51"/>
        <v>110.1010101010101</v>
      </c>
      <c r="M66" s="44">
        <f t="shared" si="43"/>
        <v>37.1</v>
      </c>
      <c r="N66" s="44">
        <f t="shared" si="44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21"/>
        <v>141.2162162162162</v>
      </c>
      <c r="S66" s="43">
        <v>12.5</v>
      </c>
      <c r="T66" s="43">
        <v>12</v>
      </c>
      <c r="U66" s="40">
        <f t="shared" si="22"/>
        <v>96</v>
      </c>
      <c r="V66" s="43">
        <v>14.9</v>
      </c>
      <c r="W66" s="43">
        <v>14.1</v>
      </c>
      <c r="X66" s="40">
        <f t="shared" si="52"/>
        <v>94.63087248322147</v>
      </c>
      <c r="Y66" s="44">
        <f t="shared" si="45"/>
        <v>42.2</v>
      </c>
      <c r="Z66" s="44">
        <f t="shared" si="46"/>
        <v>47</v>
      </c>
      <c r="AA66" s="40">
        <f t="shared" si="12"/>
        <v>111.37440758293837</v>
      </c>
      <c r="AB66" s="43">
        <v>17.1</v>
      </c>
      <c r="AC66" s="43">
        <v>16</v>
      </c>
      <c r="AD66" s="40">
        <f t="shared" si="14"/>
        <v>93.56725146198829</v>
      </c>
      <c r="AE66" s="43">
        <v>19.7</v>
      </c>
      <c r="AF66" s="43">
        <v>19.6</v>
      </c>
      <c r="AG66" s="40">
        <f t="shared" si="15"/>
        <v>99.49238578680205</v>
      </c>
      <c r="AH66" s="43"/>
      <c r="AI66" s="43"/>
      <c r="AJ66" s="40"/>
      <c r="AK66" s="44">
        <f t="shared" si="58"/>
        <v>36.8</v>
      </c>
      <c r="AL66" s="44">
        <f t="shared" si="58"/>
        <v>35.6</v>
      </c>
      <c r="AM66" s="40">
        <f t="shared" si="17"/>
        <v>96.73913043478262</v>
      </c>
      <c r="AN66" s="43"/>
      <c r="AO66" s="43"/>
      <c r="AP66" s="43"/>
      <c r="AQ66" s="43"/>
      <c r="AR66" s="43"/>
      <c r="AS66" s="43"/>
      <c r="AT66" s="76">
        <f t="shared" si="25"/>
        <v>116.10000000000001</v>
      </c>
      <c r="AU66" s="76">
        <f t="shared" si="25"/>
        <v>115.19999999999999</v>
      </c>
      <c r="AV66" s="40">
        <f t="shared" si="19"/>
        <v>99.22480620155038</v>
      </c>
      <c r="AW66" s="44">
        <f t="shared" si="24"/>
        <v>0.9000000000000199</v>
      </c>
      <c r="AX66" s="45">
        <f t="shared" si="47"/>
        <v>14.900000000000034</v>
      </c>
      <c r="AY66" s="21"/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9"/>
        <v>64.41441441441442</v>
      </c>
      <c r="G67" s="43">
        <v>42.7</v>
      </c>
      <c r="H67" s="43">
        <v>42.2</v>
      </c>
      <c r="I67" s="41">
        <f t="shared" si="60"/>
        <v>98.82903981264637</v>
      </c>
      <c r="J67" s="43">
        <v>43.6</v>
      </c>
      <c r="K67" s="43">
        <v>49.6</v>
      </c>
      <c r="L67" s="40">
        <f t="shared" si="51"/>
        <v>113.76146788990826</v>
      </c>
      <c r="M67" s="44">
        <f t="shared" si="43"/>
        <v>130.7</v>
      </c>
      <c r="N67" s="44">
        <f t="shared" si="44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21"/>
        <v>86.48648648648648</v>
      </c>
      <c r="S67" s="43">
        <v>33</v>
      </c>
      <c r="T67" s="43">
        <v>44.7</v>
      </c>
      <c r="U67" s="40">
        <f t="shared" si="22"/>
        <v>135.45454545454547</v>
      </c>
      <c r="V67" s="43">
        <v>53.1</v>
      </c>
      <c r="W67" s="43">
        <v>30.8</v>
      </c>
      <c r="X67" s="40">
        <f t="shared" si="52"/>
        <v>58.00376647834275</v>
      </c>
      <c r="Y67" s="44">
        <f t="shared" si="45"/>
        <v>108.30000000000001</v>
      </c>
      <c r="Z67" s="44">
        <f t="shared" si="46"/>
        <v>94.7</v>
      </c>
      <c r="AA67" s="40">
        <f t="shared" si="12"/>
        <v>87.44228993536473</v>
      </c>
      <c r="AB67" s="43">
        <v>58.5</v>
      </c>
      <c r="AC67" s="43">
        <v>28.7</v>
      </c>
      <c r="AD67" s="40">
        <f t="shared" si="14"/>
        <v>49.059829059829056</v>
      </c>
      <c r="AE67" s="43">
        <v>65</v>
      </c>
      <c r="AF67" s="43">
        <v>52.6</v>
      </c>
      <c r="AG67" s="40">
        <f t="shared" si="15"/>
        <v>80.92307692307692</v>
      </c>
      <c r="AH67" s="43"/>
      <c r="AI67" s="43"/>
      <c r="AJ67" s="40"/>
      <c r="AK67" s="44">
        <f t="shared" si="58"/>
        <v>123.5</v>
      </c>
      <c r="AL67" s="44">
        <f t="shared" si="58"/>
        <v>81.3</v>
      </c>
      <c r="AM67" s="40">
        <f t="shared" si="17"/>
        <v>65.82995951417003</v>
      </c>
      <c r="AN67" s="43"/>
      <c r="AO67" s="43"/>
      <c r="AP67" s="43"/>
      <c r="AQ67" s="43"/>
      <c r="AR67" s="43"/>
      <c r="AS67" s="43"/>
      <c r="AT67" s="76">
        <f t="shared" si="25"/>
        <v>362.5</v>
      </c>
      <c r="AU67" s="76">
        <f t="shared" si="25"/>
        <v>296.40000000000003</v>
      </c>
      <c r="AV67" s="40">
        <f t="shared" si="19"/>
        <v>81.76551724137931</v>
      </c>
      <c r="AW67" s="44">
        <f t="shared" si="24"/>
        <v>66.09999999999997</v>
      </c>
      <c r="AX67" s="45">
        <f t="shared" si="47"/>
        <v>99.69999999999999</v>
      </c>
      <c r="AY67" s="21"/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9"/>
        <v>86.11111111111111</v>
      </c>
      <c r="G68" s="43">
        <v>3.9</v>
      </c>
      <c r="H68" s="43">
        <v>3.8</v>
      </c>
      <c r="I68" s="41">
        <f t="shared" si="60"/>
        <v>97.43589743589743</v>
      </c>
      <c r="J68" s="43">
        <v>4.2</v>
      </c>
      <c r="K68" s="43">
        <v>3.9</v>
      </c>
      <c r="L68" s="40">
        <f t="shared" si="51"/>
        <v>92.85714285714285</v>
      </c>
      <c r="M68" s="44">
        <f t="shared" si="43"/>
        <v>11.7</v>
      </c>
      <c r="N68" s="44">
        <f t="shared" si="44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21"/>
        <v>71.7948717948718</v>
      </c>
      <c r="S68" s="43">
        <v>4.3</v>
      </c>
      <c r="T68" s="43">
        <v>5.3</v>
      </c>
      <c r="U68" s="40">
        <f t="shared" si="22"/>
        <v>123.25581395348837</v>
      </c>
      <c r="V68" s="43">
        <v>4.6</v>
      </c>
      <c r="W68" s="43">
        <v>4.6</v>
      </c>
      <c r="X68" s="40">
        <f t="shared" si="52"/>
        <v>100</v>
      </c>
      <c r="Y68" s="44">
        <f t="shared" si="45"/>
        <v>12.799999999999999</v>
      </c>
      <c r="Z68" s="44">
        <f t="shared" si="46"/>
        <v>12.7</v>
      </c>
      <c r="AA68" s="40">
        <f t="shared" si="12"/>
        <v>99.21875</v>
      </c>
      <c r="AB68" s="43">
        <v>4.2</v>
      </c>
      <c r="AC68" s="43">
        <v>3.9</v>
      </c>
      <c r="AD68" s="40">
        <f t="shared" si="14"/>
        <v>92.85714285714285</v>
      </c>
      <c r="AE68" s="43">
        <v>5.1</v>
      </c>
      <c r="AF68" s="43">
        <v>5.3</v>
      </c>
      <c r="AG68" s="40">
        <f t="shared" si="15"/>
        <v>103.921568627451</v>
      </c>
      <c r="AH68" s="43"/>
      <c r="AI68" s="43"/>
      <c r="AJ68" s="40"/>
      <c r="AK68" s="44">
        <f t="shared" si="58"/>
        <v>9.3</v>
      </c>
      <c r="AL68" s="44">
        <f t="shared" si="58"/>
        <v>9.2</v>
      </c>
      <c r="AM68" s="40">
        <f t="shared" si="17"/>
        <v>98.92473118279568</v>
      </c>
      <c r="AN68" s="43"/>
      <c r="AO68" s="43"/>
      <c r="AP68" s="43"/>
      <c r="AQ68" s="43"/>
      <c r="AR68" s="43"/>
      <c r="AS68" s="43"/>
      <c r="AT68" s="76">
        <f t="shared" si="25"/>
        <v>33.8</v>
      </c>
      <c r="AU68" s="76">
        <f t="shared" si="25"/>
        <v>32.7</v>
      </c>
      <c r="AV68" s="40">
        <f t="shared" si="19"/>
        <v>96.74556213017753</v>
      </c>
      <c r="AW68" s="44">
        <f t="shared" si="24"/>
        <v>1.0999999999999943</v>
      </c>
      <c r="AX68" s="45">
        <f t="shared" si="47"/>
        <v>1.3999999999999915</v>
      </c>
      <c r="AY68" s="21"/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9"/>
        <v>82.10526315789474</v>
      </c>
      <c r="G69" s="43">
        <v>8</v>
      </c>
      <c r="H69" s="43">
        <v>8</v>
      </c>
      <c r="I69" s="41">
        <f t="shared" si="60"/>
        <v>100</v>
      </c>
      <c r="J69" s="43">
        <v>11.9</v>
      </c>
      <c r="K69" s="43">
        <v>15.3</v>
      </c>
      <c r="L69" s="40">
        <f t="shared" si="51"/>
        <v>128.57142857142858</v>
      </c>
      <c r="M69" s="44">
        <f t="shared" si="43"/>
        <v>29.4</v>
      </c>
      <c r="N69" s="44">
        <f t="shared" si="44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21"/>
        <v>188.23529411764704</v>
      </c>
      <c r="S69" s="43">
        <v>8.7</v>
      </c>
      <c r="T69" s="43">
        <v>9.6</v>
      </c>
      <c r="U69" s="40">
        <f t="shared" si="22"/>
        <v>110.34482758620689</v>
      </c>
      <c r="V69" s="43">
        <v>9</v>
      </c>
      <c r="W69" s="43">
        <v>8.1</v>
      </c>
      <c r="X69" s="40">
        <f t="shared" si="52"/>
        <v>89.99999999999999</v>
      </c>
      <c r="Y69" s="44">
        <f t="shared" si="45"/>
        <v>26.2</v>
      </c>
      <c r="Z69" s="44">
        <f t="shared" si="46"/>
        <v>33.7</v>
      </c>
      <c r="AA69" s="40">
        <f t="shared" si="12"/>
        <v>128.6259541984733</v>
      </c>
      <c r="AB69" s="43">
        <v>10.5</v>
      </c>
      <c r="AC69" s="43">
        <v>8.8</v>
      </c>
      <c r="AD69" s="40">
        <f t="shared" si="14"/>
        <v>83.80952380952381</v>
      </c>
      <c r="AE69" s="43">
        <v>9.1</v>
      </c>
      <c r="AF69" s="43">
        <v>9.7</v>
      </c>
      <c r="AG69" s="40">
        <f t="shared" si="15"/>
        <v>106.5934065934066</v>
      </c>
      <c r="AH69" s="43"/>
      <c r="AI69" s="43"/>
      <c r="AJ69" s="40"/>
      <c r="AK69" s="44">
        <f t="shared" si="58"/>
        <v>19.6</v>
      </c>
      <c r="AL69" s="44">
        <f t="shared" si="58"/>
        <v>18.5</v>
      </c>
      <c r="AM69" s="40">
        <f t="shared" si="17"/>
        <v>94.3877551020408</v>
      </c>
      <c r="AN69" s="43"/>
      <c r="AO69" s="43"/>
      <c r="AP69" s="43"/>
      <c r="AQ69" s="43"/>
      <c r="AR69" s="43"/>
      <c r="AS69" s="43"/>
      <c r="AT69" s="76">
        <f t="shared" si="25"/>
        <v>75.19999999999999</v>
      </c>
      <c r="AU69" s="76">
        <f t="shared" si="25"/>
        <v>83.30000000000001</v>
      </c>
      <c r="AV69" s="40">
        <f t="shared" si="19"/>
        <v>110.77127659574471</v>
      </c>
      <c r="AW69" s="44">
        <f t="shared" si="24"/>
        <v>-8.100000000000023</v>
      </c>
      <c r="AX69" s="45">
        <f t="shared" si="47"/>
        <v>9.899999999999977</v>
      </c>
      <c r="AY69" s="21"/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>
        <v>22.4</v>
      </c>
      <c r="T70" s="43">
        <v>16.3</v>
      </c>
      <c r="U70" s="40">
        <f>T70/S70*100</f>
        <v>72.76785714285715</v>
      </c>
      <c r="V70" s="43">
        <v>19.9</v>
      </c>
      <c r="W70" s="43">
        <v>27</v>
      </c>
      <c r="X70" s="40">
        <f>W70/V70*100</f>
        <v>135.678391959799</v>
      </c>
      <c r="Y70" s="44">
        <f>P70+S70+V70</f>
        <v>64.5</v>
      </c>
      <c r="Z70" s="44">
        <f>Q70+T70+W70</f>
        <v>66.5</v>
      </c>
      <c r="AA70" s="40">
        <f>Z70/Y70*100</f>
        <v>103.10077519379846</v>
      </c>
      <c r="AB70" s="43">
        <v>24.1</v>
      </c>
      <c r="AC70" s="43">
        <v>20.6</v>
      </c>
      <c r="AD70" s="40">
        <f t="shared" si="14"/>
        <v>85.47717842323651</v>
      </c>
      <c r="AE70" s="43">
        <v>22.9</v>
      </c>
      <c r="AF70" s="43">
        <v>24.3</v>
      </c>
      <c r="AG70" s="40">
        <f t="shared" si="15"/>
        <v>106.11353711790395</v>
      </c>
      <c r="AH70" s="43"/>
      <c r="AI70" s="43"/>
      <c r="AJ70" s="40"/>
      <c r="AK70" s="44">
        <f>AB70+AE70+AH70</f>
        <v>47</v>
      </c>
      <c r="AL70" s="44">
        <f>AC70+AF70+AI70</f>
        <v>44.900000000000006</v>
      </c>
      <c r="AM70" s="40">
        <f>AL70/AK70*100</f>
        <v>95.53191489361703</v>
      </c>
      <c r="AN70" s="43"/>
      <c r="AO70" s="43"/>
      <c r="AP70" s="43"/>
      <c r="AQ70" s="43"/>
      <c r="AR70" s="43"/>
      <c r="AS70" s="43"/>
      <c r="AT70" s="76">
        <f>M70+Y70+AK70+AN70+AP70+AR70</f>
        <v>182.5</v>
      </c>
      <c r="AU70" s="76">
        <f>N70+Z70+AL70+AO70+AQ70+AS70</f>
        <v>183.9</v>
      </c>
      <c r="AV70" s="40">
        <f>AU70/AT70*100</f>
        <v>100.76712328767124</v>
      </c>
      <c r="AW70" s="44">
        <f>AT70-AU70</f>
        <v>-1.4000000000000057</v>
      </c>
      <c r="AX70" s="45">
        <f>C70+AT70-AU70</f>
        <v>26.69999999999999</v>
      </c>
      <c r="AY70" s="21"/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9"/>
        <v>111.42614119648427</v>
      </c>
      <c r="G71" s="43">
        <v>379.7</v>
      </c>
      <c r="H71" s="43">
        <v>434.8</v>
      </c>
      <c r="I71" s="41">
        <f t="shared" si="60"/>
        <v>114.51145641295761</v>
      </c>
      <c r="J71" s="43">
        <v>290.7</v>
      </c>
      <c r="K71" s="43">
        <v>427.9</v>
      </c>
      <c r="L71" s="40">
        <f t="shared" si="51"/>
        <v>147.19642242862056</v>
      </c>
      <c r="M71" s="44">
        <f t="shared" si="43"/>
        <v>1023.0999999999999</v>
      </c>
      <c r="N71" s="44">
        <f t="shared" si="44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21"/>
        <v>98.11002362470468</v>
      </c>
      <c r="S71" s="43">
        <v>250.7</v>
      </c>
      <c r="T71" s="43">
        <v>289.8</v>
      </c>
      <c r="U71" s="40">
        <f t="shared" si="22"/>
        <v>115.59633027522938</v>
      </c>
      <c r="V71" s="43">
        <v>301.1</v>
      </c>
      <c r="W71" s="43">
        <v>238.9</v>
      </c>
      <c r="X71" s="40">
        <f t="shared" si="52"/>
        <v>79.34241115908335</v>
      </c>
      <c r="Y71" s="44">
        <f t="shared" si="45"/>
        <v>848.1</v>
      </c>
      <c r="Z71" s="44">
        <f t="shared" si="46"/>
        <v>819.4</v>
      </c>
      <c r="AA71" s="40">
        <f t="shared" si="12"/>
        <v>96.61596509845538</v>
      </c>
      <c r="AB71" s="43">
        <v>321.5</v>
      </c>
      <c r="AC71" s="43">
        <v>273.9</v>
      </c>
      <c r="AD71" s="40">
        <f t="shared" si="14"/>
        <v>85.19440124416796</v>
      </c>
      <c r="AE71" s="43">
        <v>328</v>
      </c>
      <c r="AF71" s="43">
        <v>307.9</v>
      </c>
      <c r="AG71" s="40">
        <f t="shared" si="15"/>
        <v>93.87195121951218</v>
      </c>
      <c r="AH71" s="43"/>
      <c r="AI71" s="43"/>
      <c r="AJ71" s="40"/>
      <c r="AK71" s="44">
        <f t="shared" si="58"/>
        <v>649.5</v>
      </c>
      <c r="AL71" s="44">
        <f t="shared" si="58"/>
        <v>581.8</v>
      </c>
      <c r="AM71" s="40">
        <f t="shared" si="17"/>
        <v>89.576597382602</v>
      </c>
      <c r="AN71" s="43"/>
      <c r="AO71" s="43"/>
      <c r="AP71" s="43"/>
      <c r="AQ71" s="43"/>
      <c r="AR71" s="43"/>
      <c r="AS71" s="43"/>
      <c r="AT71" s="76">
        <f t="shared" si="25"/>
        <v>2520.7</v>
      </c>
      <c r="AU71" s="76">
        <f t="shared" si="25"/>
        <v>2656.8999999999996</v>
      </c>
      <c r="AV71" s="40">
        <f t="shared" si="19"/>
        <v>105.40326099892887</v>
      </c>
      <c r="AW71" s="44">
        <f t="shared" si="24"/>
        <v>-136.19999999999982</v>
      </c>
      <c r="AX71" s="45">
        <f t="shared" si="47"/>
        <v>652.1000000000004</v>
      </c>
      <c r="AY71" s="21"/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60"/>
        <v>38.41254057848097</v>
      </c>
      <c r="J72" s="61">
        <f>SUM(J73:J73)</f>
        <v>83100.6</v>
      </c>
      <c r="K72" s="61">
        <f>SUM(K73:K73)</f>
        <v>38442.4</v>
      </c>
      <c r="L72" s="40">
        <f t="shared" si="51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21"/>
        <v>58.21168063572388</v>
      </c>
      <c r="S72" s="61">
        <f>SUM(S73:S73)</f>
        <v>66152.5</v>
      </c>
      <c r="T72" s="61">
        <f>SUM(T73:T73)</f>
        <v>36888</v>
      </c>
      <c r="U72" s="40">
        <f t="shared" si="22"/>
        <v>55.762064925739764</v>
      </c>
      <c r="V72" s="61">
        <f>SUM(V73:V73)</f>
        <v>53615.5</v>
      </c>
      <c r="W72" s="61">
        <f>SUM(W73:W73)</f>
        <v>33681.8</v>
      </c>
      <c r="X72" s="40">
        <f t="shared" si="52"/>
        <v>62.82101258031726</v>
      </c>
      <c r="Y72" s="61">
        <f>SUM(Y73:Y73)</f>
        <v>200708.8</v>
      </c>
      <c r="Z72" s="61">
        <f>SUM(Z73:Z73)</f>
        <v>117686.8</v>
      </c>
      <c r="AA72" s="40">
        <f t="shared" si="12"/>
        <v>58.635595449726175</v>
      </c>
      <c r="AB72" s="61">
        <f>SUM(AB73:AB73)</f>
        <v>55026.4</v>
      </c>
      <c r="AC72" s="61">
        <f>SUM(AC73:AC73)</f>
        <v>37034.5</v>
      </c>
      <c r="AD72" s="40">
        <f>AC72/AB72*100</f>
        <v>67.30314903391826</v>
      </c>
      <c r="AE72" s="61">
        <f>SUM(AE73:AE73)</f>
        <v>56549.8</v>
      </c>
      <c r="AF72" s="61">
        <f>SUM(AF73:AF73)</f>
        <v>35127.5</v>
      </c>
      <c r="AG72" s="40">
        <f>AF72/AE72*100</f>
        <v>62.117814740282014</v>
      </c>
      <c r="AH72" s="61">
        <f>SUM(AH73:AH73)</f>
        <v>0</v>
      </c>
      <c r="AI72" s="61">
        <f>SUM(AI73:AI73)</f>
        <v>0</v>
      </c>
      <c r="AJ72" s="40" t="e">
        <f t="shared" si="16"/>
        <v>#DIV/0!</v>
      </c>
      <c r="AK72" s="61">
        <f>SUM(AK73:AK73)</f>
        <v>111576.20000000001</v>
      </c>
      <c r="AL72" s="61">
        <f>SUM(AL73:AL73)</f>
        <v>72162</v>
      </c>
      <c r="AM72" s="40">
        <f t="shared" si="17"/>
        <v>64.67508303742196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569651.6000000001</v>
      </c>
      <c r="AU72" s="39">
        <f t="shared" si="25"/>
        <v>290586.2</v>
      </c>
      <c r="AV72" s="40">
        <f t="shared" si="19"/>
        <v>51.011214573960636</v>
      </c>
      <c r="AW72" s="61">
        <f>AW73</f>
        <v>279065.4000000001</v>
      </c>
      <c r="AX72" s="61">
        <f>AX73</f>
        <v>1669524.3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51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21"/>
        <v>58.21168063572388</v>
      </c>
      <c r="S73" s="43">
        <v>66152.5</v>
      </c>
      <c r="T73" s="43">
        <v>36888</v>
      </c>
      <c r="U73" s="40">
        <f t="shared" si="22"/>
        <v>55.762064925739764</v>
      </c>
      <c r="V73" s="43">
        <v>53615.5</v>
      </c>
      <c r="W73" s="43">
        <v>33681.8</v>
      </c>
      <c r="X73" s="40">
        <f>W73/V73*100</f>
        <v>62.82101258031726</v>
      </c>
      <c r="Y73" s="44">
        <f>P73+S73+V73</f>
        <v>200708.8</v>
      </c>
      <c r="Z73" s="44">
        <f>Q73+T73+W73</f>
        <v>117686.8</v>
      </c>
      <c r="AA73" s="40">
        <f t="shared" si="12"/>
        <v>58.635595449726175</v>
      </c>
      <c r="AB73" s="43">
        <v>55026.4</v>
      </c>
      <c r="AC73" s="43">
        <v>37034.5</v>
      </c>
      <c r="AD73" s="40">
        <f>AC73/AB73*100</f>
        <v>67.30314903391826</v>
      </c>
      <c r="AE73" s="43">
        <v>56549.8</v>
      </c>
      <c r="AF73" s="43">
        <v>35127.5</v>
      </c>
      <c r="AG73" s="40">
        <f>AF73/AE73*100</f>
        <v>62.117814740282014</v>
      </c>
      <c r="AH73" s="43"/>
      <c r="AI73" s="43"/>
      <c r="AJ73" s="40"/>
      <c r="AK73" s="44">
        <f>AB73+AE73+AH73</f>
        <v>111576.20000000001</v>
      </c>
      <c r="AL73" s="44">
        <f>AC73+AF73+AI73</f>
        <v>72162</v>
      </c>
      <c r="AM73" s="40">
        <f t="shared" si="17"/>
        <v>64.67508303742196</v>
      </c>
      <c r="AN73" s="43"/>
      <c r="AO73" s="43"/>
      <c r="AP73" s="43"/>
      <c r="AQ73" s="43"/>
      <c r="AR73" s="43"/>
      <c r="AS73" s="43"/>
      <c r="AT73" s="76">
        <f t="shared" si="25"/>
        <v>569651.6000000001</v>
      </c>
      <c r="AU73" s="76">
        <f t="shared" si="25"/>
        <v>290586.2</v>
      </c>
      <c r="AV73" s="40">
        <f t="shared" si="19"/>
        <v>51.011214573960636</v>
      </c>
      <c r="AW73" s="44">
        <f t="shared" si="24"/>
        <v>279065.4000000001</v>
      </c>
      <c r="AX73" s="45">
        <f>C73+AT73-AU73</f>
        <v>1669524.3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1398526.2999999998</v>
      </c>
      <c r="D74" s="61">
        <f>D72+D7</f>
        <v>93324.2</v>
      </c>
      <c r="E74" s="61">
        <f>E72+E7</f>
        <v>33093.5</v>
      </c>
      <c r="F74" s="41">
        <f>E74/D74*100</f>
        <v>35.46079152031306</v>
      </c>
      <c r="G74" s="61">
        <f>G72+G7</f>
        <v>90216.5</v>
      </c>
      <c r="H74" s="61">
        <f>H72+H7</f>
        <v>37153.700000000004</v>
      </c>
      <c r="I74" s="41">
        <f>H74/G74*100</f>
        <v>41.182821324258875</v>
      </c>
      <c r="J74" s="61">
        <f>J72+J7</f>
        <v>88324.8</v>
      </c>
      <c r="K74" s="61">
        <f>K72+K7</f>
        <v>43483.3</v>
      </c>
      <c r="L74" s="40">
        <f t="shared" si="51"/>
        <v>49.23113327174248</v>
      </c>
      <c r="M74" s="61">
        <f>M72+M7</f>
        <v>271865.5</v>
      </c>
      <c r="N74" s="61">
        <f>N72+N7</f>
        <v>113730.5</v>
      </c>
      <c r="O74" s="40">
        <f t="shared" si="7"/>
        <v>41.8333698097037</v>
      </c>
      <c r="P74" s="61">
        <f>P72+P7</f>
        <v>85759</v>
      </c>
      <c r="Q74" s="61">
        <f>Q72+Q7</f>
        <v>51448</v>
      </c>
      <c r="R74" s="40">
        <f t="shared" si="21"/>
        <v>59.99137116804067</v>
      </c>
      <c r="S74" s="61">
        <f>S72+S7</f>
        <v>70730.6</v>
      </c>
      <c r="T74" s="61">
        <f>T72+T7</f>
        <v>41255.200000000004</v>
      </c>
      <c r="U74" s="40">
        <f t="shared" si="22"/>
        <v>58.32723036422708</v>
      </c>
      <c r="V74" s="61">
        <f>V72+V7</f>
        <v>58617.7</v>
      </c>
      <c r="W74" s="61">
        <f>W72+W7</f>
        <v>38318.9</v>
      </c>
      <c r="X74" s="40">
        <f>W74/V74*100</f>
        <v>65.37086920844727</v>
      </c>
      <c r="Y74" s="61">
        <f>Y72+Y7</f>
        <v>215107.3</v>
      </c>
      <c r="Z74" s="61">
        <f>Z72+Z7</f>
        <v>131022.1</v>
      </c>
      <c r="AA74" s="40">
        <f>Z74/Y74*100</f>
        <v>60.910113231861494</v>
      </c>
      <c r="AB74" s="61">
        <f>AB72+AB7</f>
        <v>60029.7</v>
      </c>
      <c r="AC74" s="61">
        <f>AC72+AC7</f>
        <v>41338.9</v>
      </c>
      <c r="AD74" s="40">
        <f>AC74/AB74*100</f>
        <v>68.86407894758761</v>
      </c>
      <c r="AE74" s="61">
        <f>AE72+AE7</f>
        <v>61180.22</v>
      </c>
      <c r="AF74" s="61">
        <f>AF72+AF7</f>
        <v>40001.5</v>
      </c>
      <c r="AG74" s="40">
        <f>AF74/AE74*100</f>
        <v>65.3830600805293</v>
      </c>
      <c r="AH74" s="61">
        <f>AH72+AH7</f>
        <v>0</v>
      </c>
      <c r="AI74" s="61">
        <f>AI72+AI7</f>
        <v>0</v>
      </c>
      <c r="AJ74" s="40" t="e">
        <f t="shared" si="16"/>
        <v>#DIV/0!</v>
      </c>
      <c r="AK74" s="61">
        <f>AK72+AK7</f>
        <v>121209.92000000001</v>
      </c>
      <c r="AL74" s="61">
        <f>AL72+AL7</f>
        <v>81340.4</v>
      </c>
      <c r="AM74" s="40">
        <f>AL74/AK74*100</f>
        <v>67.10704866400373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242.7</v>
      </c>
      <c r="AS74" s="61">
        <f t="shared" si="62"/>
        <v>246.5</v>
      </c>
      <c r="AT74" s="39">
        <f t="shared" si="25"/>
        <v>608425.4199999999</v>
      </c>
      <c r="AU74" s="39">
        <f t="shared" si="25"/>
        <v>326339.5</v>
      </c>
      <c r="AV74" s="40">
        <f>AU74/AT74*100</f>
        <v>53.63673003669045</v>
      </c>
      <c r="AW74" s="61">
        <f>AW72+AW7</f>
        <v>282085.9200000001</v>
      </c>
      <c r="AX74" s="61">
        <f>AX72+AX7</f>
        <v>1680612.22</v>
      </c>
      <c r="AY74" s="21"/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AN5:AO5"/>
    <mergeCell ref="J5:L5"/>
    <mergeCell ref="AT5:AV5"/>
    <mergeCell ref="D5:F5"/>
    <mergeCell ref="I1:AX1"/>
    <mergeCell ref="AX5:AX6"/>
    <mergeCell ref="AP5:AQ5"/>
    <mergeCell ref="AR5:AS5"/>
    <mergeCell ref="M5:O5"/>
    <mergeCell ref="AW5:AW6"/>
    <mergeCell ref="B2:AX3"/>
    <mergeCell ref="AB5:AD5"/>
    <mergeCell ref="Y5:AA5"/>
    <mergeCell ref="G5:I5"/>
    <mergeCell ref="B4:F4"/>
    <mergeCell ref="AH5:AJ5"/>
    <mergeCell ref="AK5:AM5"/>
    <mergeCell ref="AE5:AG5"/>
    <mergeCell ref="P5:R5"/>
    <mergeCell ref="V5:X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2021-09-20T09:58:21Z</cp:lastPrinted>
  <dcterms:created xsi:type="dcterms:W3CDTF">2001-09-14T09:33:50Z</dcterms:created>
  <dcterms:modified xsi:type="dcterms:W3CDTF">2021-09-20T10:10:50Z</dcterms:modified>
  <cp:category/>
  <cp:version/>
  <cp:contentType/>
  <cp:contentStatus/>
</cp:coreProperties>
</file>