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6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<sst xmlns="http://schemas.openxmlformats.org/spreadsheetml/2006/main" count="1646" uniqueCount="182">
  <si>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</si>
  <si>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</si>
  <si>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</si>
  <si>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</si>
  <si>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</si>
  <si>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</si>
  <si>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</si>
  <si>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</si>
  <si>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</si>
  <si>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</si>
  <si>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</si>
  <si>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</si>
  <si>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</si>
  <si>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</si>
  <si>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</si>
  <si>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</si>
  <si>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</si>
  <si>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</si>
  <si>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</si>
  <si>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</si>
  <si>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</si>
  <si>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</si>
  <si>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</si>
  <si>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</si>
  <si>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</si>
  <si>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</si>
  <si>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</si>
  <si>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</si>
  <si>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</si>
  <si>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</si>
  <si>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</si>
  <si>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</si>
  <si>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</si>
  <si>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</si>
  <si>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</si>
  <si>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</si>
  <si>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</si>
  <si>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</si>
  <si>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</si>
  <si>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</si>
  <si>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</si>
  <si>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</si>
  <si>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</si>
  <si>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</si>
  <si>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</si>
  <si>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</si>
  <si>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</si>
  <si>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</si>
  <si>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</si>
  <si>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</si>
  <si>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</si>
  <si>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</si>
  <si>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</si>
  <si>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</si>
  <si>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</si>
  <si>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</si>
  <si>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</si>
  <si>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</si>
  <si>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</si>
  <si>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</si>
  <si>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</si>
  <si>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</si>
  <si>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</si>
  <si>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</si>
  <si>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</si>
  <si>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</si>
  <si>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</si>
  <si>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</si>
  <si>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</si>
  <si>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</si>
  <si>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</si>
  <si>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</si>
  <si>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</si>
  <si>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</si>
  <si>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</si>
  <si>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</si>
  <si>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</si>
  <si>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</si>
  <si>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</si>
  <si>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</si>
  <si>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</si>
  <si>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</si>
  <si>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</si>
  <si>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</si>
  <si>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</si>
  <si>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</si>
  <si>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</si>
  <si>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</si>
  <si>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</si>
  <si>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</si>
  <si>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</si>
  <si>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</si>
  <si>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</si>
  <si>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</si>
  <si>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</si>
  <si>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</si>
  <si>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</si>
  <si>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</si>
  <si>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</si>
  <si>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</si>
  <si>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</si>
  <si>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</si>
  <si>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</si>
  <si>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</si>
  <si>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</si>
  <si>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</si>
  <si>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</si>
  <si>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</si>
  <si>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</si>
  <si>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</si>
  <si>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</si>
  <si>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</si>
  <si>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</si>
  <si>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</si>
  <si>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</si>
  <si>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</si>
  <si>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</si>
  <si>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</si>
  <si>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</si>
  <si>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</si>
  <si>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</si>
  <si>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</si>
  <si>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</si>
  <si>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</si>
  <si>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</si>
  <si>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</si>
  <si>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</si>
  <si>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</si>
  <si>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</si>
  <si>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</si>
  <si>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</si>
  <si>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</si>
  <si>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</si>
  <si>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</si>
  <si>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</si>
  <si>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</si>
  <si>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</si>
  <si>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</si>
  <si>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</si>
  <si>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</si>
  <si>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</si>
  <si>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</si>
  <si>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</si>
  <si>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</si>
  <si>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</si>
  <si>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</si>
  <si>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</si>
  <si>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</si>
  <si>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</si>
  <si>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</si>
  <si>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</si>
  <si>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</si>
  <si>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</si>
  <si>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</si>
  <si>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</si>
  <si>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</si>
  <si>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</si>
  <si>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</si>
  <si>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</si>
  <si>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</si>
  <si>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</si>
  <si>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</si>
  <si>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</si>
  <si>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</si>
  <si>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</si>
  <si>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</si>
  <si>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</si>
  <si>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</si>
  <si>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</si>
  <si>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Кочеток КЛК)</t>
  </si>
  <si>
    <t>Вільхуватська ОТГ</t>
  </si>
  <si>
    <t>Богодухівська ТГ (ТОВ Господар, ТОВ КЛК)</t>
  </si>
  <si>
    <t>Інформація щодо заборгованості інших споживачів за послуги з теплопостачання станом на 01.09.2021</t>
  </si>
  <si>
    <t>Заборгованість за 2021 рік станом на 01.09.2021</t>
  </si>
  <si>
    <t>Загальна заборгованість станом на 01.09.2021 (з урахуванням боргів минулих років)</t>
  </si>
  <si>
    <t>Інформація щодо заборгованості установ, які фінансуються з обласного бюджету, за послуги з теплопостачання станом на 01.09.2021</t>
  </si>
  <si>
    <t>Інформація щодо заборгованості установ, які фінансуються з місцевих бюджетів, за послуги з теплопостачання станом на 01.09.2021</t>
  </si>
  <si>
    <t>Інформація щодо заборгованості установ, які фінансуються з державного бюджету, за послуги з теплопостачання станом на 01.09.2021</t>
  </si>
  <si>
    <t>Інформація щодо заборгованості по субсидіях за послуги з теплопостачання станом на 01.09.2021</t>
  </si>
  <si>
    <t>Інформація щодо заборгованості по пільгах за послуги з теплопостачання станом на 01.09.2021</t>
  </si>
  <si>
    <t>Інформація щодо заборгованості населення за послуги з теплопостачання станом на 01.09.2021</t>
  </si>
  <si>
    <t>Інформація щодо заборгованості споживачів за послуги з теплопостачання станом на 01.09.2021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</si>
</sst>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0"/>
      <name val="Times New Roman"/>
      <family val="1"/>
    </font>
    <font>
      <b/>
      <sz val="14"/>
      <color theme="0"/>
      <name val="Times New Roman Cyr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4" fillId="33" borderId="10" xfId="0" applyNumberFormat="1" applyFont="1" applyFill="1" applyBorder="1" applyAlignment="1">
      <alignment/>
    </xf>
    <xf numFmtId="200" fontId="84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200" fontId="85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72" fillId="0" borderId="0" xfId="0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6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200" fontId="87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view="pageBreakPreview" zoomScale="60" zoomScaleNormal="50" zoomScalePageLayoutView="0" workbookViewId="0" topLeftCell="B3">
      <pane xSplit="1" ySplit="4" topLeftCell="AB63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2" sqref="A1:IV16384"/>
    </sheetView>
  </sheetViews>
  <sheetFormatPr defaultColWidth="6.75390625" defaultRowHeight="32.25" customHeight="1"/>
  <cols>
    <col min="1" max="1" width="4.875" style="112" hidden="1" customWidth="1"/>
    <col min="2" max="2" width="66.625" style="45" customWidth="1"/>
    <col min="3" max="3" width="23.25390625" style="113" customWidth="1"/>
    <col min="4" max="4" width="22.125" style="47" hidden="1" customWidth="1"/>
    <col min="5" max="5" width="22.00390625" style="47" hidden="1" customWidth="1"/>
    <col min="6" max="6" width="14.75390625" style="47" hidden="1" customWidth="1"/>
    <col min="7" max="7" width="21.125" style="45" hidden="1" customWidth="1"/>
    <col min="8" max="8" width="18.625" style="45" hidden="1" customWidth="1"/>
    <col min="9" max="9" width="10.00390625" style="47" hidden="1" customWidth="1"/>
    <col min="10" max="10" width="19.00390625" style="45" hidden="1" customWidth="1"/>
    <col min="11" max="11" width="19.75390625" style="45" hidden="1" customWidth="1"/>
    <col min="12" max="12" width="11.375" style="47" hidden="1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6" width="18.125" style="45" hidden="1" customWidth="1"/>
    <col min="17" max="17" width="18.625" style="45" hidden="1" customWidth="1"/>
    <col min="18" max="18" width="11.00390625" style="47" hidden="1" customWidth="1"/>
    <col min="19" max="19" width="17.125" style="45" hidden="1" customWidth="1"/>
    <col min="20" max="20" width="17.375" style="45" hidden="1" customWidth="1"/>
    <col min="21" max="21" width="11.00390625" style="47" hidden="1" customWidth="1"/>
    <col min="22" max="22" width="15.375" style="47" hidden="1" customWidth="1"/>
    <col min="23" max="23" width="16.1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hidden="1" customWidth="1"/>
    <col min="29" max="29" width="18.375" style="47" hidden="1" customWidth="1"/>
    <col min="30" max="30" width="12.75390625" style="47" hidden="1" customWidth="1"/>
    <col min="31" max="31" width="20.375" style="47" customWidth="1"/>
    <col min="32" max="32" width="19.875" style="47" customWidth="1"/>
    <col min="33" max="33" width="12.875" style="47" hidden="1" customWidth="1"/>
    <col min="34" max="34" width="15.875" style="47" hidden="1" customWidth="1"/>
    <col min="35" max="35" width="16.375" style="47" hidden="1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18.37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4"/>
      <c r="AU1" s="144"/>
      <c r="AV1" s="144"/>
      <c r="AW1" s="144"/>
      <c r="AX1" s="144"/>
    </row>
    <row r="2" spans="1:50" s="115" customFormat="1" ht="30" customHeight="1" hidden="1">
      <c r="A2" s="114"/>
      <c r="B2" s="145" t="s">
        <v>181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2" s="117" customFormat="1" ht="69.75" customHeight="1">
      <c r="A3" s="11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Z3" s="118"/>
    </row>
    <row r="4" spans="2:50" ht="25.5" customHeight="1">
      <c r="B4" s="146"/>
      <c r="C4" s="146"/>
      <c r="D4" s="119"/>
      <c r="E4" s="119"/>
      <c r="F4" s="119"/>
      <c r="G4" s="120"/>
      <c r="H4" s="120"/>
      <c r="I4" s="119"/>
      <c r="J4" s="120"/>
      <c r="K4" s="120"/>
      <c r="L4" s="119"/>
      <c r="M4" s="119"/>
      <c r="N4" s="119"/>
      <c r="O4" s="119"/>
      <c r="P4" s="120"/>
      <c r="Q4" s="120"/>
      <c r="R4" s="119"/>
      <c r="S4" s="120"/>
      <c r="T4" s="120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0"/>
      <c r="AU4" s="120"/>
      <c r="AV4" s="119"/>
      <c r="AW4" s="120"/>
      <c r="AX4" s="137" t="s">
        <v>52</v>
      </c>
    </row>
    <row r="5" spans="1:58" ht="36.75" customHeight="1">
      <c r="A5" s="121" t="s">
        <v>36</v>
      </c>
      <c r="B5" s="122"/>
      <c r="C5" s="123" t="s">
        <v>1</v>
      </c>
      <c r="D5" s="147" t="s">
        <v>59</v>
      </c>
      <c r="E5" s="148"/>
      <c r="F5" s="149"/>
      <c r="G5" s="138" t="s">
        <v>60</v>
      </c>
      <c r="H5" s="139"/>
      <c r="I5" s="140"/>
      <c r="J5" s="138" t="s">
        <v>61</v>
      </c>
      <c r="K5" s="139"/>
      <c r="L5" s="140"/>
      <c r="M5" s="138" t="s">
        <v>72</v>
      </c>
      <c r="N5" s="139"/>
      <c r="O5" s="140"/>
      <c r="P5" s="138" t="s">
        <v>62</v>
      </c>
      <c r="Q5" s="139"/>
      <c r="R5" s="140"/>
      <c r="S5" s="138" t="s">
        <v>63</v>
      </c>
      <c r="T5" s="139"/>
      <c r="U5" s="140"/>
      <c r="V5" s="138" t="s">
        <v>64</v>
      </c>
      <c r="W5" s="139"/>
      <c r="X5" s="140"/>
      <c r="Y5" s="138" t="s">
        <v>73</v>
      </c>
      <c r="Z5" s="139"/>
      <c r="AA5" s="140"/>
      <c r="AB5" s="138" t="s">
        <v>65</v>
      </c>
      <c r="AC5" s="139"/>
      <c r="AD5" s="140"/>
      <c r="AE5" s="138" t="s">
        <v>66</v>
      </c>
      <c r="AF5" s="139"/>
      <c r="AG5" s="140"/>
      <c r="AH5" s="138" t="s">
        <v>67</v>
      </c>
      <c r="AI5" s="139"/>
      <c r="AJ5" s="140"/>
      <c r="AK5" s="138" t="s">
        <v>68</v>
      </c>
      <c r="AL5" s="139"/>
      <c r="AM5" s="140"/>
      <c r="AN5" s="138" t="s">
        <v>69</v>
      </c>
      <c r="AO5" s="140"/>
      <c r="AP5" s="138" t="s">
        <v>70</v>
      </c>
      <c r="AQ5" s="140"/>
      <c r="AR5" s="138" t="s">
        <v>71</v>
      </c>
      <c r="AS5" s="140"/>
      <c r="AT5" s="147" t="s">
        <v>130</v>
      </c>
      <c r="AU5" s="148"/>
      <c r="AV5" s="149"/>
      <c r="AW5" s="141" t="s">
        <v>173</v>
      </c>
      <c r="AX5" s="141" t="s">
        <v>174</v>
      </c>
      <c r="AY5" s="124"/>
      <c r="BF5" s="124"/>
    </row>
    <row r="6" spans="1:54" ht="84.75" customHeight="1">
      <c r="A6" s="125" t="s">
        <v>37</v>
      </c>
      <c r="B6" s="126" t="s">
        <v>56</v>
      </c>
      <c r="C6" s="127" t="s">
        <v>129</v>
      </c>
      <c r="D6" s="126" t="s">
        <v>50</v>
      </c>
      <c r="E6" s="126" t="s">
        <v>43</v>
      </c>
      <c r="F6" s="128" t="s">
        <v>0</v>
      </c>
      <c r="G6" s="126" t="s">
        <v>50</v>
      </c>
      <c r="H6" s="126" t="s">
        <v>43</v>
      </c>
      <c r="I6" s="128" t="s">
        <v>0</v>
      </c>
      <c r="J6" s="126" t="s">
        <v>50</v>
      </c>
      <c r="K6" s="126" t="s">
        <v>43</v>
      </c>
      <c r="L6" s="128" t="s">
        <v>0</v>
      </c>
      <c r="M6" s="126" t="s">
        <v>50</v>
      </c>
      <c r="N6" s="126" t="s">
        <v>43</v>
      </c>
      <c r="O6" s="128" t="s">
        <v>0</v>
      </c>
      <c r="P6" s="126" t="s">
        <v>50</v>
      </c>
      <c r="Q6" s="126" t="s">
        <v>43</v>
      </c>
      <c r="R6" s="128" t="s">
        <v>0</v>
      </c>
      <c r="S6" s="126" t="s">
        <v>50</v>
      </c>
      <c r="T6" s="126" t="s">
        <v>43</v>
      </c>
      <c r="U6" s="128" t="s">
        <v>0</v>
      </c>
      <c r="V6" s="126" t="s">
        <v>50</v>
      </c>
      <c r="W6" s="126" t="s">
        <v>43</v>
      </c>
      <c r="X6" s="128" t="s">
        <v>0</v>
      </c>
      <c r="Y6" s="126" t="s">
        <v>50</v>
      </c>
      <c r="Z6" s="126" t="s">
        <v>43</v>
      </c>
      <c r="AA6" s="128" t="s">
        <v>0</v>
      </c>
      <c r="AB6" s="126" t="s">
        <v>50</v>
      </c>
      <c r="AC6" s="126" t="s">
        <v>43</v>
      </c>
      <c r="AD6" s="128" t="s">
        <v>0</v>
      </c>
      <c r="AE6" s="126" t="s">
        <v>50</v>
      </c>
      <c r="AF6" s="126" t="s">
        <v>43</v>
      </c>
      <c r="AG6" s="128" t="s">
        <v>0</v>
      </c>
      <c r="AH6" s="126" t="s">
        <v>50</v>
      </c>
      <c r="AI6" s="126" t="s">
        <v>43</v>
      </c>
      <c r="AJ6" s="128" t="s">
        <v>0</v>
      </c>
      <c r="AK6" s="126" t="s">
        <v>50</v>
      </c>
      <c r="AL6" s="126" t="s">
        <v>43</v>
      </c>
      <c r="AM6" s="128" t="s">
        <v>0</v>
      </c>
      <c r="AN6" s="126" t="s">
        <v>50</v>
      </c>
      <c r="AO6" s="126" t="s">
        <v>43</v>
      </c>
      <c r="AP6" s="126" t="s">
        <v>50</v>
      </c>
      <c r="AQ6" s="126" t="s">
        <v>43</v>
      </c>
      <c r="AR6" s="126" t="s">
        <v>50</v>
      </c>
      <c r="AS6" s="126" t="s">
        <v>43</v>
      </c>
      <c r="AT6" s="126" t="s">
        <v>51</v>
      </c>
      <c r="AU6" s="126" t="s">
        <v>43</v>
      </c>
      <c r="AV6" s="128" t="s">
        <v>0</v>
      </c>
      <c r="AW6" s="142"/>
      <c r="AX6" s="142"/>
      <c r="AY6" s="124"/>
      <c r="AZ6" s="124"/>
      <c r="BA6" s="124"/>
      <c r="BB6" s="124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472983.89999999985</v>
      </c>
      <c r="D7" s="55">
        <f>'насел.'!D7+пільги!D7+субсидії!D7+'держ.бюджет'!D7+'місц.-районн.бюджет'!D7+обласний!D7+інші!D7</f>
        <v>250579.3</v>
      </c>
      <c r="E7" s="55">
        <f>'насел.'!E7+пільги!E7+субсидії!E7+'держ.бюджет'!E7+'місц.-районн.бюджет'!E7+обласний!E7+інші!E7</f>
        <v>129271.70000000001</v>
      </c>
      <c r="F7" s="56">
        <f aca="true" t="shared" si="0" ref="F7:F17">E7/D7*100</f>
        <v>51.589137650236886</v>
      </c>
      <c r="G7" s="55">
        <f>'насел.'!G7+пільги!G7+субсидії!G7+'держ.бюджет'!G7+'місц.-районн.бюджет'!G7+обласний!G7+інші!G7</f>
        <v>254169.49999999985</v>
      </c>
      <c r="H7" s="55">
        <f>'насел.'!H7+пільги!H7+субсидії!H7+'держ.бюджет'!H7+'місц.-районн.бюджет'!H7+обласний!H7+інші!H7</f>
        <v>190441.2</v>
      </c>
      <c r="I7" s="56">
        <f aca="true" t="shared" si="1" ref="I7:I17">H7/G7*100</f>
        <v>74.92684999577058</v>
      </c>
      <c r="J7" s="55">
        <f>'насел.'!J7+пільги!J7+субсидії!J7+'держ.бюджет'!J7+'місц.-районн.бюджет'!J7+обласний!J7+інші!J7</f>
        <v>216315.09999999998</v>
      </c>
      <c r="K7" s="55">
        <f>'насел.'!K7+пільги!K7+субсидії!K7+'держ.бюджет'!K7+'місц.-районн.бюджет'!K7+обласний!K7+інші!K7</f>
        <v>214252.6</v>
      </c>
      <c r="L7" s="56">
        <f>K7/J7*100</f>
        <v>99.0465298076741</v>
      </c>
      <c r="M7" s="56">
        <f>'насел.'!M7+пільги!M7+субсидії!M7+'держ.бюджет'!M7+'місц.-районн.бюджет'!M7+обласний!M7+інші!M7</f>
        <v>721063.8999999997</v>
      </c>
      <c r="N7" s="56">
        <f>'насел.'!N7+пільги!N7+субсидії!N7+'держ.бюджет'!N7+'місц.-районн.бюджет'!N7+обласний!N7+інші!N7</f>
        <v>533965.4999999999</v>
      </c>
      <c r="O7" s="56">
        <f aca="true" t="shared" si="2" ref="O7:O17">N7/M7*100</f>
        <v>74.0524522167869</v>
      </c>
      <c r="P7" s="55">
        <f>'насел.'!P7+пільги!P7+субсидії!P7+'держ.бюджет'!P7+'місц.-районн.бюджет'!P7+обласний!P7+інші!P7</f>
        <v>52246.10000000002</v>
      </c>
      <c r="Q7" s="55">
        <f>'насел.'!Q7+пільги!Q7+субсидії!Q7+'держ.бюджет'!Q7+'місц.-районн.бюджет'!Q7+обласний!Q7+інші!Q7</f>
        <v>170638.60000000003</v>
      </c>
      <c r="R7" s="55">
        <f aca="true" t="shared" si="3" ref="R7:R17">Q7/P7*100</f>
        <v>326.60543083598577</v>
      </c>
      <c r="S7" s="55">
        <f>'насел.'!S7+пільги!S7+субсидії!S7+'держ.бюджет'!S7+'місц.-районн.бюджет'!S7+обласний!S7+інші!S7</f>
        <v>3903.7</v>
      </c>
      <c r="T7" s="55">
        <f>'насел.'!T7+пільги!T7+субсидії!T7+'держ.бюджет'!T7+'місц.-районн.бюджет'!T7+обласний!T7+інші!T7</f>
        <v>66721</v>
      </c>
      <c r="U7" s="56">
        <f>T7/S7*100</f>
        <v>1709.1733483618107</v>
      </c>
      <c r="V7" s="55">
        <f>'насел.'!V7+пільги!V7+субсидії!V7+'держ.бюджет'!V7+'місц.-районн.бюджет'!V7+обласний!V7+інші!V7</f>
        <v>3806.7999999999997</v>
      </c>
      <c r="W7" s="55">
        <f>'насел.'!W7+пільги!W7+субсидії!W7+'держ.бюджет'!W7+'місц.-районн.бюджет'!W7+обласний!W7+інші!W7</f>
        <v>31519.3</v>
      </c>
      <c r="X7" s="56">
        <f>W7/V7*100</f>
        <v>827.9736261426921</v>
      </c>
      <c r="Y7" s="55">
        <f>'насел.'!Y7+пільги!Y7+субсидії!Y7+'держ.бюджет'!Y7+'місц.-районн.бюджет'!Y7+обласний!Y7+інші!Y7</f>
        <v>59956.60000000001</v>
      </c>
      <c r="Z7" s="55">
        <f>'насел.'!Z7+пільги!Z7+субсидії!Z7+'держ.бюджет'!Z7+'місц.-районн.бюджет'!Z7+обласний!Z7+інші!Z7</f>
        <v>268878.9</v>
      </c>
      <c r="AA7" s="56">
        <f>Z7/Y7*100</f>
        <v>448.4558830887675</v>
      </c>
      <c r="AB7" s="55">
        <f>'насел.'!AB7+пільги!AB7+субсидії!AB7+'держ.бюджет'!AB7+'місц.-районн.бюджет'!AB7+обласний!AB7+інші!AB7</f>
        <v>3849.8000000000015</v>
      </c>
      <c r="AC7" s="55">
        <f>'насел.'!AC7+пільги!AC7+субсидії!AC7+'держ.бюджет'!AC7+'місц.-районн.бюджет'!AC7+обласний!AC7+інші!AC7</f>
        <v>25228.8</v>
      </c>
      <c r="AD7" s="56">
        <f>AC7/AB7*100</f>
        <v>655.3275494830897</v>
      </c>
      <c r="AE7" s="55">
        <f>'насел.'!AE7+пільги!AE7+субсидії!AE7+'держ.бюджет'!AE7+'місц.-районн.бюджет'!AE7+обласний!AE7+інші!AE7</f>
        <v>3898.400000000001</v>
      </c>
      <c r="AF7" s="55">
        <f>'насел.'!AF7+пільги!AF7+субсидії!AF7+'держ.бюджет'!AF7+'місц.-районн.бюджет'!AF7+обласний!AF7+інші!AF7</f>
        <v>23362.5</v>
      </c>
      <c r="AG7" s="56">
        <f aca="true" t="shared" si="4" ref="AG7:AG17">AF7/AE7*100</f>
        <v>599.2843217730349</v>
      </c>
      <c r="AH7" s="55">
        <f>'насел.'!AH7+пільги!AH7+субсидії!AH7+'держ.бюджет'!AH7+'місц.-районн.бюджет'!AH7+обласний!AH7+інші!AH7</f>
        <v>0</v>
      </c>
      <c r="AI7" s="55">
        <f>'насел.'!AI7+пільги!AI7+субсидії!AI7+'держ.бюджет'!AI7+'місц.-районн.бюджет'!AI7+обласний!AI7+інші!AI7</f>
        <v>0</v>
      </c>
      <c r="AJ7" s="56" t="e">
        <f aca="true" t="shared" si="5" ref="AJ7:AJ17">AI7/AH7*100</f>
        <v>#DIV/0!</v>
      </c>
      <c r="AK7" s="55">
        <f>'насел.'!AK7+пільги!AR7+субсидії!AK7+'держ.бюджет'!AK7+'місц.-районн.бюджет'!AK7+обласний!AK7+інші!AK7</f>
        <v>7748.200000000002</v>
      </c>
      <c r="AL7" s="55">
        <f>'насел.'!AL7+пільги!AK7+субсидії!AL7+'держ.бюджет'!AL7+'місц.-районн.бюджет'!AL7+обласний!AL7+інші!AL7</f>
        <v>48591.299999999996</v>
      </c>
      <c r="AM7" s="55">
        <f aca="true" t="shared" si="6" ref="AM7:AM17">AL7/AK7*100</f>
        <v>627.1301721690197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788768.6999999997</v>
      </c>
      <c r="AU7" s="55">
        <f>'насел.'!AU7+пільги!AU7+субсидії!AU7+'держ.бюджет'!AU7+'місц.-районн.бюджет'!AU7+обласний!AU7+інші!AU7</f>
        <v>851435.7</v>
      </c>
      <c r="AV7" s="56">
        <f aca="true" t="shared" si="7" ref="AV7:AV17">AU7/AT7*100</f>
        <v>107.9449146498841</v>
      </c>
      <c r="AW7" s="55">
        <f>AT7-AU7</f>
        <v>-62667.00000000023</v>
      </c>
      <c r="AX7" s="55">
        <f>'насел.'!AX7+пільги!AX7+субсидії!AX7+'держ.бюджет'!AX7+'місц.-районн.бюджет'!AX7+обласний!AX7+інші!AX7</f>
        <v>410316.9000000001</v>
      </c>
      <c r="AY7" s="129"/>
      <c r="AZ7" s="129"/>
      <c r="BA7" s="129"/>
      <c r="BB7" s="129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3550.3</v>
      </c>
      <c r="K8" s="55">
        <f>'насел.'!K8+пільги!K8+субсидії!K8+'держ.бюджет'!K8+'місц.-районн.бюджет'!K8+обласний!K8+інші!K8</f>
        <v>4369.6</v>
      </c>
      <c r="L8" s="56">
        <f aca="true" t="shared" si="8" ref="L8:L14">K8/J8*100</f>
        <v>123.07692307692308</v>
      </c>
      <c r="M8" s="56">
        <f>'насел.'!M8+пільги!M8+субсидії!M8+'держ.бюджет'!M8+'місц.-районн.бюджет'!M8+обласний!M8+інші!M8</f>
        <v>10858.400000000001</v>
      </c>
      <c r="N8" s="56">
        <f>'насел.'!N8+пільги!N8+субсидії!N8+'держ.бюджет'!N8+'місц.-районн.бюджет'!N8+обласний!N8+інші!N8</f>
        <v>5844.2</v>
      </c>
      <c r="O8" s="56">
        <f t="shared" si="2"/>
        <v>53.82192588226625</v>
      </c>
      <c r="P8" s="55">
        <f>'насел.'!P8+пільги!P8+субсидії!P8+'держ.бюджет'!P8+'місц.-районн.бюджет'!P8+обласний!P8+інші!P8</f>
        <v>868.6000000000001</v>
      </c>
      <c r="Q8" s="55">
        <f>'насел.'!Q8+пільги!Q8+субсидії!Q8+'держ.бюджет'!Q8+'місц.-районн.бюджет'!Q8+обласний!Q8+інші!Q8</f>
        <v>3167</v>
      </c>
      <c r="R8" s="55">
        <f t="shared" si="3"/>
        <v>364.60971678563203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1000.3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813.1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868.6000000000001</v>
      </c>
      <c r="Z8" s="55">
        <f>'насел.'!Z8+пільги!Z8+субсидії!Z8+'держ.бюджет'!Z8+'місц.-районн.бюджет'!Z8+обласний!Z8+інші!Z8</f>
        <v>4980.4</v>
      </c>
      <c r="AA8" s="56">
        <f aca="true" t="shared" si="11" ref="AA8:AA14">Z8/Y8*100</f>
        <v>573.3824545245221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50.7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499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0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549.7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11727</v>
      </c>
      <c r="AU8" s="55">
        <f>'насел.'!AU8+пільги!AU8+субсидії!AU8+'держ.бюджет'!AU8+'місц.-районн.бюджет'!AU8+обласний!AU8+інші!AU8</f>
        <v>11374.300000000001</v>
      </c>
      <c r="AV8" s="56">
        <f t="shared" si="7"/>
        <v>96.99241067621729</v>
      </c>
      <c r="AW8" s="55">
        <f aca="true" t="shared" si="13" ref="AW8:AW72">AT8-AU8</f>
        <v>352.6999999999989</v>
      </c>
      <c r="AX8" s="130">
        <f>'насел.'!AX8+пільги!AX8+субсидії!AX8+'держ.бюджет'!AX8+'місц.-районн.бюджет'!AX8+обласний!AX8+інші!AX8</f>
        <v>-342.09999999999934</v>
      </c>
      <c r="AY8" s="129"/>
      <c r="AZ8" s="129"/>
      <c r="BA8" s="129"/>
      <c r="BB8" s="129"/>
    </row>
    <row r="9" spans="1:54" ht="33" customHeight="1">
      <c r="A9" s="48" t="s">
        <v>5</v>
      </c>
      <c r="B9" s="170" t="s">
        <v>171</v>
      </c>
      <c r="C9" s="95">
        <f>'насел.'!C9+пільги!C9+субсидії!C9+'держ.бюджет'!C9+'місц.-районн.бюджет'!C9+обласний!C9+інші!C9</f>
        <v>-16</v>
      </c>
      <c r="D9" s="95">
        <f>'насел.'!D9+пільги!D9+субсидії!D9+'держ.бюджет'!D9+'місц.-районн.бюджет'!D9+обласний!D9+інші!D9</f>
        <v>533</v>
      </c>
      <c r="E9" s="95">
        <f>'насел.'!E9+пільги!E9+субсидії!E9+'держ.бюджет'!E9+'місц.-районн.бюджет'!E9+обласний!E9+інші!E9</f>
        <v>76</v>
      </c>
      <c r="F9" s="93">
        <f t="shared" si="0"/>
        <v>14.258911819887429</v>
      </c>
      <c r="G9" s="95">
        <f>'насел.'!G9+пільги!G9+субсидії!G9+'держ.бюджет'!G9+'місц.-районн.бюджет'!G9+обласний!G9+інші!G9</f>
        <v>582.4</v>
      </c>
      <c r="H9" s="95">
        <f>'насел.'!H9+пільги!H9+субсидії!H9+'держ.бюджет'!H9+'місц.-районн.бюджет'!H9+обласний!H9+інші!H9</f>
        <v>35</v>
      </c>
      <c r="I9" s="93">
        <f t="shared" si="1"/>
        <v>6.009615384615385</v>
      </c>
      <c r="J9" s="95">
        <f>'насел.'!J9+пільги!J9+субсидії!J9+'держ.бюджет'!J9+'місц.-районн.бюджет'!J9+обласний!J9+інші!J9</f>
        <v>494.7</v>
      </c>
      <c r="K9" s="95">
        <f>'насел.'!K9+пільги!K9+субсидії!K9+'держ.бюджет'!K9+'місц.-районн.бюджет'!K9+обласний!K9+інші!K9</f>
        <v>149</v>
      </c>
      <c r="L9" s="93">
        <f t="shared" si="8"/>
        <v>30.11926420052557</v>
      </c>
      <c r="M9" s="93">
        <f>'насел.'!M9+пільги!M9+субсидії!M9+'держ.бюджет'!M9+'місц.-районн.бюджет'!M9+обласний!M9+інші!M9</f>
        <v>1610.1</v>
      </c>
      <c r="N9" s="93">
        <f>'насел.'!N9+пільги!N9+субсидії!N9+'держ.бюджет'!N9+'місц.-районн.бюджет'!N9+обласний!N9+інші!N9</f>
        <v>260</v>
      </c>
      <c r="O9" s="93">
        <f t="shared" si="2"/>
        <v>16.148065337556673</v>
      </c>
      <c r="P9" s="95">
        <f>'насел.'!P9+пільги!P9+субсидії!P9+'держ.бюджет'!P9+'місц.-районн.бюджет'!P9+обласний!P9+інші!P9</f>
        <v>187.5</v>
      </c>
      <c r="Q9" s="95">
        <f>'насел.'!Q9+пільги!Q9+субсидії!Q9+'держ.бюджет'!Q9+'місц.-районн.бюджет'!Q9+обласний!Q9+інші!Q9</f>
        <v>804.1999999999999</v>
      </c>
      <c r="R9" s="95">
        <f t="shared" si="3"/>
        <v>428.9066666666666</v>
      </c>
      <c r="S9" s="95">
        <f>'насел.'!S9+пільги!S9+субсидії!S9+'держ.бюджет'!S9+'місц.-районн.бюджет'!S9+обласний!S9+інші!S9</f>
        <v>0</v>
      </c>
      <c r="T9" s="95">
        <f>'насел.'!T9+пільги!T9+субсидії!T9+'держ.бюджет'!T9+'місц.-районн.бюджет'!T9+обласний!T9+інші!T9</f>
        <v>271.3</v>
      </c>
      <c r="U9" s="93" t="e">
        <f t="shared" si="9"/>
        <v>#DIV/0!</v>
      </c>
      <c r="V9" s="95">
        <f>'насел.'!V9+пільги!V9+субсидії!V9+'держ.бюджет'!V9+'місц.-районн.бюджет'!V9+обласний!V9+інші!V9</f>
        <v>0</v>
      </c>
      <c r="W9" s="95">
        <f>'насел.'!W9+пільги!W9+субсидії!W9+'держ.бюджет'!W9+'місц.-районн.бюджет'!W9+обласний!W9+інші!W9</f>
        <v>17.1</v>
      </c>
      <c r="X9" s="93" t="e">
        <f t="shared" si="10"/>
        <v>#DIV/0!</v>
      </c>
      <c r="Y9" s="95">
        <f>'насел.'!Y9+пільги!Y9+субсидії!Y9+'держ.бюджет'!Y9+'місц.-районн.бюджет'!Y9+обласний!Y9+інші!Y9</f>
        <v>187.5</v>
      </c>
      <c r="Z9" s="95">
        <f>'насел.'!Z9+пільги!Z9+субсидії!Z9+'держ.бюджет'!Z9+'місц.-районн.бюджет'!Z9+обласний!Z9+інші!Z9</f>
        <v>1092.6</v>
      </c>
      <c r="AA9" s="93">
        <f t="shared" si="11"/>
        <v>582.7199999999999</v>
      </c>
      <c r="AB9" s="95">
        <f>'насел.'!AB9+пільги!AB9+субсидії!AB9+'держ.бюджет'!AB9+'місц.-районн.бюджет'!AB9+обласний!AB9+інші!AB9</f>
        <v>0</v>
      </c>
      <c r="AC9" s="95">
        <f>'насел.'!AC9+пільги!AC9+субсидії!AC9+'держ.бюджет'!AC9+'місц.-районн.бюджет'!AC9+обласний!AC9+інші!AC9</f>
        <v>0</v>
      </c>
      <c r="AD9" s="93" t="e">
        <f t="shared" si="12"/>
        <v>#DIV/0!</v>
      </c>
      <c r="AE9" s="95">
        <f>'насел.'!AE9+пільги!AE9+субсидії!AE9+'держ.бюджет'!AE9+'місц.-районн.бюджет'!AE9+обласний!AE9+інші!AE9</f>
        <v>0</v>
      </c>
      <c r="AF9" s="95">
        <f>'насел.'!AF9+пільги!AF9+субсидії!AF9+'держ.бюджет'!AF9+'місц.-районн.бюджет'!AF9+обласний!AF9+інші!AF9</f>
        <v>380.1</v>
      </c>
      <c r="AG9" s="93" t="e">
        <f t="shared" si="4"/>
        <v>#DIV/0!</v>
      </c>
      <c r="AH9" s="95">
        <f>'насел.'!AH9+пільги!AH9+субсидії!AH9+'держ.бюджет'!AH9+'місц.-районн.бюджет'!AH9+обласний!AH9+інші!AH9</f>
        <v>0</v>
      </c>
      <c r="AI9" s="95">
        <f>'насел.'!AI9+пільги!AI9+субсидії!AI9+'держ.бюджет'!AI9+'місц.-районн.бюджет'!AI9+обласний!AI9+інші!AI9</f>
        <v>0</v>
      </c>
      <c r="AJ9" s="93" t="e">
        <f t="shared" si="5"/>
        <v>#DIV/0!</v>
      </c>
      <c r="AK9" s="55">
        <f>'насел.'!AK9+пільги!AR9+субсидії!AK9+'держ.бюджет'!AK9+'місц.-районн.бюджет'!AK9+обласний!AK9+інші!AK9</f>
        <v>0</v>
      </c>
      <c r="AL9" s="95">
        <f>'насел.'!AL9+пільги!AK9+субсидії!AL9+'держ.бюджет'!AL9+'місц.-районн.бюджет'!AL9+обласний!AL9+інші!AL9</f>
        <v>380.1</v>
      </c>
      <c r="AM9" s="95" t="e">
        <f t="shared" si="6"/>
        <v>#DIV/0!</v>
      </c>
      <c r="AN9" s="55">
        <f>'насел.'!AN9+пільги!AN9+субсидії!AN9+'держ.бюджет'!AN9+'місц.-районн.бюджет'!AN9+обласний!AN9+інші!AN9</f>
        <v>0</v>
      </c>
      <c r="AO9" s="95">
        <f>'насел.'!AO9+пільги!AN9+субсидії!AO9+'держ.бюджет'!AO9+'місц.-районн.бюджет'!AO9+обласний!AO9+інші!AO9</f>
        <v>0</v>
      </c>
      <c r="AP9" s="95">
        <f>'насел.'!AP9+пільги!AO9+субсидії!AP9+'держ.бюджет'!AP9+'місц.-районн.бюджет'!AP9+обласний!AP9+інші!AP9</f>
        <v>0</v>
      </c>
      <c r="AQ9" s="95">
        <f>'насел.'!AQ9+пільги!AP9+субсидії!AQ9+'держ.бюджет'!AQ9+'місц.-районн.бюджет'!AQ9+обласний!AQ9+інші!AQ9</f>
        <v>0</v>
      </c>
      <c r="AR9" s="95">
        <f>'насел.'!AR9+пільги!AQ9+субсидії!AR9+'держ.бюджет'!AR9+'місц.-районн.бюджет'!AR9+обласний!AR9+інші!AR9</f>
        <v>0</v>
      </c>
      <c r="AS9" s="95">
        <f>'насел.'!AS9+пільги!AR9+субсидії!AS9+'держ.бюджет'!AS9+'місц.-районн.бюджет'!AS9+обласний!AS9+інші!AS9</f>
        <v>0</v>
      </c>
      <c r="AT9" s="55">
        <f>'насел.'!AT9+пільги!AT9+субсидії!AT9+'держ.бюджет'!AT9+'місц.-районн.бюджет'!AT9+обласний!AT9+інші!AT9</f>
        <v>1797.6000000000001</v>
      </c>
      <c r="AU9" s="55">
        <f>'насел.'!AU9+пільги!AU9+субсидії!AU9+'держ.бюджет'!AU9+'місц.-районн.бюджет'!AU9+обласний!AU9+інші!AU9</f>
        <v>1732.7</v>
      </c>
      <c r="AV9" s="93">
        <f t="shared" si="7"/>
        <v>96.38963061860257</v>
      </c>
      <c r="AW9" s="95">
        <f t="shared" si="13"/>
        <v>64.90000000000009</v>
      </c>
      <c r="AX9" s="130">
        <f>'насел.'!AX9+пільги!AX9+субсидії!AX9+'держ.бюджет'!AX9+'місц.-районн.бюджет'!AX9+обласний!AX9+інші!AX9</f>
        <v>48.900000000000034</v>
      </c>
      <c r="AY9" s="124">
        <f>48.7+0.1</f>
        <v>48.800000000000004</v>
      </c>
      <c r="AZ9" s="124"/>
      <c r="BA9" s="124"/>
      <c r="BB9" s="124"/>
    </row>
    <row r="10" spans="1:54" ht="34.5" customHeight="1">
      <c r="A10" s="48" t="s">
        <v>7</v>
      </c>
      <c r="B10" s="51" t="s">
        <v>145</v>
      </c>
      <c r="C10" s="95">
        <f>'насел.'!C10+пільги!C10+субсидії!C10+'держ.бюджет'!C10+'місц.-районн.бюджет'!C10+обласний!C10+інші!C10</f>
        <v>-25.00000000000003</v>
      </c>
      <c r="D10" s="95">
        <f>'насел.'!D10+пільги!D10+субсидії!D10+'держ.бюджет'!D10+'місц.-районн.бюджет'!D10+обласний!D10+інші!D10</f>
        <v>1349.8000000000002</v>
      </c>
      <c r="E10" s="95">
        <f>'насел.'!E10+пільги!E10+субсидії!E10+'держ.бюджет'!E10+'місц.-районн.бюджет'!E10+обласний!E10+інші!E10</f>
        <v>0</v>
      </c>
      <c r="F10" s="93">
        <f t="shared" si="0"/>
        <v>0</v>
      </c>
      <c r="G10" s="95">
        <f>'насел.'!G10+пільги!G10+субсидії!G10+'держ.бюджет'!G10+'місц.-районн.бюджет'!G10+обласний!G10+інші!G10</f>
        <v>1725.1</v>
      </c>
      <c r="H10" s="95">
        <f>'насел.'!H10+пільги!H10+субсидії!H10+'держ.бюджет'!H10+'місц.-районн.бюджет'!H10+обласний!H10+інші!H10</f>
        <v>45.5</v>
      </c>
      <c r="I10" s="93">
        <f t="shared" si="1"/>
        <v>2.637528259231349</v>
      </c>
      <c r="J10" s="95">
        <f>'насел.'!J10+пільги!J10+субсидії!J10+'держ.бюджет'!J10+'місц.-районн.бюджет'!J10+обласний!J10+інші!J10</f>
        <v>1580.2</v>
      </c>
      <c r="K10" s="95">
        <f>'насел.'!K10+пільги!K10+субсидії!K10+'держ.бюджет'!K10+'місц.-районн.бюджет'!K10+обласний!K10+інші!K10</f>
        <v>2633.1</v>
      </c>
      <c r="L10" s="93">
        <f t="shared" si="8"/>
        <v>166.63080622705985</v>
      </c>
      <c r="M10" s="93">
        <f>'насел.'!M10+пільги!M10+субсидії!M10+'держ.бюджет'!M10+'місц.-районн.бюджет'!M10+обласний!M10+інші!M10</f>
        <v>4655.1</v>
      </c>
      <c r="N10" s="93">
        <f>'насел.'!N10+пільги!N10+субсидії!N10+'держ.бюджет'!N10+'місц.-районн.бюджет'!N10+обласний!N10+інші!N10</f>
        <v>2678.6</v>
      </c>
      <c r="O10" s="93">
        <f t="shared" si="2"/>
        <v>57.54119138149556</v>
      </c>
      <c r="P10" s="95">
        <f>'насел.'!P10+пільги!P10+субсидії!P10+'держ.бюджет'!P10+'місц.-районн.бюджет'!P10+обласний!P10+інші!P10</f>
        <v>202.4</v>
      </c>
      <c r="Q10" s="95">
        <f>'насел.'!Q10+пільги!Q10+субсидії!Q10+'держ.бюджет'!Q10+'місц.-районн.бюджет'!Q10+обласний!Q10+інші!Q10</f>
        <v>1248.8999999999999</v>
      </c>
      <c r="R10" s="95">
        <f t="shared" si="3"/>
        <v>617.0454545454545</v>
      </c>
      <c r="S10" s="95">
        <f>'насел.'!S10+пільги!S10+субсидії!S10+'держ.бюджет'!S10+'місц.-районн.бюджет'!S10+обласний!S10+інші!S10</f>
        <v>0</v>
      </c>
      <c r="T10" s="95">
        <f>'насел.'!T10+пільги!T10+субсидії!T10+'держ.бюджет'!T10+'місц.-районн.бюджет'!T10+обласний!T10+інші!T10</f>
        <v>672.9000000000001</v>
      </c>
      <c r="U10" s="93" t="e">
        <f t="shared" si="9"/>
        <v>#DIV/0!</v>
      </c>
      <c r="V10" s="95">
        <f>'насел.'!V10+пільги!V10+субсидії!V10+'держ.бюджет'!V10+'місц.-районн.бюджет'!V10+обласний!V10+інші!V10</f>
        <v>0</v>
      </c>
      <c r="W10" s="95">
        <f>'насел.'!W10+пільги!W10+субсидії!W10+'держ.бюджет'!W10+'місц.-районн.бюджет'!W10+обласний!W10+інші!W10</f>
        <v>57.3</v>
      </c>
      <c r="X10" s="93" t="e">
        <f t="shared" si="10"/>
        <v>#DIV/0!</v>
      </c>
      <c r="Y10" s="95">
        <f>'насел.'!Y10+пільги!Y10+субсидії!Y10+'держ.бюджет'!Y10+'місц.-районн.бюджет'!Y10+обласний!Y10+інші!Y10</f>
        <v>202.4</v>
      </c>
      <c r="Z10" s="95">
        <f>'насел.'!Z10+пільги!Z10+субсидії!Z10+'держ.бюджет'!Z10+'місц.-районн.бюджет'!Z10+обласний!Z10+інші!Z10</f>
        <v>1979.1</v>
      </c>
      <c r="AA10" s="93">
        <f t="shared" si="11"/>
        <v>977.8162055335966</v>
      </c>
      <c r="AB10" s="95">
        <f>'насел.'!AB10+пільги!AB10+субсидії!AB10+'держ.бюджет'!AB10+'місц.-районн.бюджет'!AB10+обласний!AB10+інші!AB10</f>
        <v>0</v>
      </c>
      <c r="AC10" s="95">
        <f>'насел.'!AC10+пільги!AC10+субсидії!AC10+'держ.бюджет'!AC10+'місц.-районн.бюджет'!AC10+обласний!AC10+інші!AC10</f>
        <v>50.7</v>
      </c>
      <c r="AD10" s="93" t="e">
        <f t="shared" si="12"/>
        <v>#DIV/0!</v>
      </c>
      <c r="AE10" s="95">
        <f>'насел.'!AE10+пільги!AE10+субсидії!AE10+'держ.бюджет'!AE10+'місц.-районн.бюджет'!AE10+обласний!AE10+інші!AE10</f>
        <v>0</v>
      </c>
      <c r="AF10" s="95">
        <f>'насел.'!AF10+пільги!AF10+субсидії!AF10+'держ.бюджет'!AF10+'місц.-районн.бюджет'!AF10+обласний!AF10+інші!AF10</f>
        <v>61</v>
      </c>
      <c r="AG10" s="93" t="e">
        <f t="shared" si="4"/>
        <v>#DIV/0!</v>
      </c>
      <c r="AH10" s="95">
        <f>'насел.'!AH10+пільги!AH10+субсидії!AH10+'держ.бюджет'!AH10+'місц.-районн.бюджет'!AH10+обласний!AH10+інші!AH10</f>
        <v>0</v>
      </c>
      <c r="AI10" s="95">
        <f>'насел.'!AI10+пільги!AI10+субсидії!AI10+'держ.бюджет'!AI10+'місц.-районн.бюджет'!AI10+обласний!AI10+інші!AI10</f>
        <v>0</v>
      </c>
      <c r="AJ10" s="93" t="e">
        <f t="shared" si="5"/>
        <v>#DIV/0!</v>
      </c>
      <c r="AK10" s="55">
        <f>'насел.'!AK10+пільги!AR10+субсидії!AK10+'держ.бюджет'!AK10+'місц.-районн.бюджет'!AK10+обласний!AK10+інші!AK10</f>
        <v>0</v>
      </c>
      <c r="AL10" s="95">
        <f>'насел.'!AL10+пільги!AK10+субсидії!AL10+'держ.бюджет'!AL10+'місц.-районн.бюджет'!AL10+обласний!AL10+інші!AL10</f>
        <v>111.7</v>
      </c>
      <c r="AM10" s="95" t="e">
        <f t="shared" si="6"/>
        <v>#DIV/0!</v>
      </c>
      <c r="AN10" s="55">
        <f>'насел.'!AN10+пільги!AN10+субсидії!AN10+'держ.бюджет'!AN10+'місц.-районн.бюджет'!AN10+обласний!AN10+інші!AN10</f>
        <v>0</v>
      </c>
      <c r="AO10" s="95">
        <f>'насел.'!AO10+пільги!AN10+субсидії!AO10+'держ.бюджет'!AO10+'місц.-районн.бюджет'!AO10+обласний!AO10+інші!AO10</f>
        <v>0</v>
      </c>
      <c r="AP10" s="95">
        <f>'насел.'!AP10+пільги!AO10+субсидії!AP10+'держ.бюджет'!AP10+'місц.-районн.бюджет'!AP10+обласний!AP10+інші!AP10</f>
        <v>0</v>
      </c>
      <c r="AQ10" s="95">
        <f>'насел.'!AQ10+пільги!AP10+субсидії!AQ10+'держ.бюджет'!AQ10+'місц.-районн.бюджет'!AQ10+обласний!AQ10+інші!AQ10</f>
        <v>0</v>
      </c>
      <c r="AR10" s="95">
        <f>'насел.'!AR10+пільги!AQ10+субсидії!AR10+'держ.бюджет'!AR10+'місц.-районн.бюджет'!AR10+обласний!AR10+інші!AR10</f>
        <v>0</v>
      </c>
      <c r="AS10" s="95">
        <f>'насел.'!AS10+пільги!AR10+субсидії!AS10+'держ.бюджет'!AS10+'місц.-районн.бюджет'!AS10+обласний!AS10+інші!AS10</f>
        <v>0</v>
      </c>
      <c r="AT10" s="95">
        <f>'насел.'!AT10+пільги!AT10+субсидії!AT10+'держ.бюджет'!AT10+'місц.-районн.бюджет'!AT10+обласний!AT10+інші!AT10</f>
        <v>4857.500000000001</v>
      </c>
      <c r="AU10" s="95">
        <f>'насел.'!AU10+пільги!AU10+субсидії!AU10+'держ.бюджет'!AU10+'місц.-районн.бюджет'!AU10+обласний!AU10+інші!AU10</f>
        <v>4769.4</v>
      </c>
      <c r="AV10" s="93">
        <f t="shared" si="7"/>
        <v>98.18630983015953</v>
      </c>
      <c r="AW10" s="95">
        <f t="shared" si="13"/>
        <v>88.10000000000127</v>
      </c>
      <c r="AX10" s="130">
        <f>'насел.'!AX10+пільги!AX10+субсидії!AX10+'держ.бюджет'!AX10+'місц.-районн.бюджет'!AX10+обласний!AX10+інші!AX10</f>
        <v>63.100000000000875</v>
      </c>
      <c r="AY10" s="124"/>
      <c r="AZ10" s="124"/>
      <c r="BA10" s="124"/>
      <c r="BB10" s="124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31">
        <f>'насел.'!D11+пільги!D11+субсидії!D11+'держ.бюджет'!D11+'місц.-районн.бюджет'!D11+обласний!D11+інші!D11</f>
        <v>0</v>
      </c>
      <c r="E11" s="131">
        <f>'насел.'!E11+пільги!E11+субсидії!E11+'держ.бюджет'!E11+'місц.-районн.бюджет'!E11+обласний!E11+інші!E11</f>
        <v>0</v>
      </c>
      <c r="F11" s="132" t="e">
        <f t="shared" si="0"/>
        <v>#DIV/0!</v>
      </c>
      <c r="G11" s="131">
        <f>'насел.'!G11+пільги!G11+субсидії!G11+'держ.бюджет'!G11+'місц.-районн.бюджет'!G11+обласний!G11+інші!G11</f>
        <v>0</v>
      </c>
      <c r="H11" s="131">
        <f>'насел.'!H11+пільги!H11+субсидії!H11+'держ.бюджет'!H11+'місц.-районн.бюджет'!H11+обласний!H11+інші!H11</f>
        <v>0</v>
      </c>
      <c r="I11" s="132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32" t="e">
        <f t="shared" si="8"/>
        <v>#DIV/0!</v>
      </c>
      <c r="M11" s="132">
        <f>'насел.'!M11+пільги!M11+субсидії!M11+'держ.бюджет'!M11+'місц.-районн.бюджет'!M11+обласний!M11+інші!M11</f>
        <v>0</v>
      </c>
      <c r="N11" s="132">
        <f>'насел.'!N11+пільги!N11+субсидії!N11+'держ.бюджет'!N11+'місц.-районн.бюджет'!N11+обласний!N11+інші!N11</f>
        <v>0</v>
      </c>
      <c r="O11" s="132" t="e">
        <f t="shared" si="2"/>
        <v>#DIV/0!</v>
      </c>
      <c r="P11" s="131">
        <f>'насел.'!P11+пільги!P11+субсидії!P11+'держ.бюджет'!P11+'місц.-районн.бюджет'!P11+обласний!P11+інші!P11</f>
        <v>0</v>
      </c>
      <c r="Q11" s="131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31">
        <f>'насел.'!S11+пільги!S11+субсидії!S11+'держ.бюджет'!S11+'місц.-районн.бюджет'!S11+обласний!S11+інші!S11</f>
        <v>0</v>
      </c>
      <c r="T11" s="131">
        <f>'насел.'!T11+пільги!T11+субсидії!T11+'держ.бюджет'!T11+'місц.-районн.бюджет'!T11+обласний!T11+інші!T11</f>
        <v>0</v>
      </c>
      <c r="U11" s="132" t="e">
        <f t="shared" si="9"/>
        <v>#DIV/0!</v>
      </c>
      <c r="V11" s="131">
        <f>'насел.'!V11+пільги!V11+субсидії!V11+'держ.бюджет'!V11+'місц.-районн.бюджет'!V11+обласний!V11+інші!V11</f>
        <v>0</v>
      </c>
      <c r="W11" s="131">
        <f>'насел.'!W11+пільги!W11+субсидії!W11+'держ.бюджет'!W11+'місц.-районн.бюджет'!W11+обласний!W11+інші!W11</f>
        <v>0</v>
      </c>
      <c r="X11" s="132" t="e">
        <f t="shared" si="10"/>
        <v>#DIV/0!</v>
      </c>
      <c r="Y11" s="131">
        <f>'насел.'!Y11+пільги!Y11+субсидії!Y11+'держ.бюджет'!Y11+'місц.-районн.бюджет'!Y11+обласний!Y11+інші!Y11</f>
        <v>0</v>
      </c>
      <c r="Z11" s="131">
        <f>'насел.'!Z11+пільги!Z11+субсидії!Z11+'держ.бюджет'!Z11+'місц.-районн.бюджет'!Z11+обласний!Z11+інші!Z11</f>
        <v>0</v>
      </c>
      <c r="AA11" s="132" t="e">
        <f t="shared" si="11"/>
        <v>#DIV/0!</v>
      </c>
      <c r="AB11" s="131">
        <f>'насел.'!AB11+пільги!AB11+субсидії!AB11+'держ.бюджет'!AB11+'місц.-районн.бюджет'!AB11+обласний!AB11+інші!AB11</f>
        <v>0</v>
      </c>
      <c r="AC11" s="131">
        <f>'насел.'!AC11+пільги!AC11+субсидії!AC11+'держ.бюджет'!AC11+'місц.-районн.бюджет'!AC11+обласний!AC11+інші!AC11</f>
        <v>0</v>
      </c>
      <c r="AD11" s="132" t="e">
        <f t="shared" si="12"/>
        <v>#DIV/0!</v>
      </c>
      <c r="AE11" s="131">
        <f>'насел.'!AE11+пільги!AE11+субсидії!AE11+'держ.бюджет'!AE11+'місц.-районн.бюджет'!AE11+обласний!AE11+інші!AE11</f>
        <v>0</v>
      </c>
      <c r="AF11" s="131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31">
        <f>'насел.'!AL11+пільги!AK11+субсидії!AL11+'держ.бюджет'!AL11+'місц.-районн.бюджет'!AL11+обласний!AL11+інші!AL11</f>
        <v>0</v>
      </c>
      <c r="AM11" s="131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31">
        <f>'насел.'!AO11+пільги!AN11+субсидії!AO11+'держ.бюджет'!AO11+'місц.-районн.бюджет'!AO11+обласний!AO11+інші!AO11</f>
        <v>0</v>
      </c>
      <c r="AP11" s="131">
        <f>'насел.'!AP11+пільги!AO11+субсидії!AP11+'держ.бюджет'!AP11+'місц.-районн.бюджет'!AP11+обласний!AP11+інші!AP11</f>
        <v>0</v>
      </c>
      <c r="AQ11" s="131">
        <f>'насел.'!AQ11+пільги!AP11+субсидії!AQ11+'держ.бюджет'!AQ11+'місц.-районн.бюджет'!AQ11+обласний!AQ11+інші!AQ11</f>
        <v>0</v>
      </c>
      <c r="AR11" s="131">
        <f>'насел.'!AR11+пільги!AQ11+субсидії!AR11+'держ.бюджет'!AR11+'місц.-районн.бюджет'!AR11+обласний!AR11+інші!AR11</f>
        <v>0</v>
      </c>
      <c r="AS11" s="131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30">
        <f>'насел.'!AX11+пільги!AX11+субсидії!AX11+'держ.бюджет'!AX11+'місц.-районн.бюджет'!AX11+обласний!AX11+інші!AX11</f>
        <v>0</v>
      </c>
      <c r="AY11" s="124"/>
      <c r="AZ11" s="124"/>
      <c r="BA11" s="124"/>
      <c r="BB11" s="124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30">
        <f>'насел.'!AX12+пільги!AX12+субсидії!AX12+'держ.бюджет'!AX12+'місц.-районн.бюджет'!AX12+обласний!AX12+інші!AX12</f>
        <v>0</v>
      </c>
      <c r="AY12" s="124"/>
      <c r="AZ12" s="124"/>
      <c r="BA12" s="124"/>
      <c r="BB12" s="124"/>
    </row>
    <row r="13" spans="1:54" ht="34.5" customHeight="1">
      <c r="A13" s="48" t="s">
        <v>19</v>
      </c>
      <c r="B13" s="51" t="s">
        <v>146</v>
      </c>
      <c r="C13" s="95">
        <f>'насел.'!C13+пільги!C13+субсидії!C13+'держ.бюджет'!C13+'місц.-районн.бюджет'!C13+обласний!C13+інші!C13</f>
        <v>-653.8000000000001</v>
      </c>
      <c r="D13" s="95">
        <f>'насел.'!D13+пільги!D13+субсидії!D13+'держ.бюджет'!D13+'місц.-районн.бюджет'!D13+обласний!D13+інші!D13</f>
        <v>1585.3000000000002</v>
      </c>
      <c r="E13" s="95">
        <f>'насел.'!E13+пільги!E13+субсидії!E13+'держ.бюджет'!E13+'місц.-районн.бюджет'!E13+обласний!E13+інші!E13</f>
        <v>0</v>
      </c>
      <c r="F13" s="93">
        <f t="shared" si="0"/>
        <v>0</v>
      </c>
      <c r="G13" s="95">
        <f>'насел.'!G13+пільги!G13+субсидії!G13+'держ.бюджет'!G13+'місц.-районн.бюджет'!G13+обласний!G13+інші!G13</f>
        <v>1532.5</v>
      </c>
      <c r="H13" s="95">
        <f>'насел.'!H13+пільги!H13+субсидії!H13+'держ.бюджет'!H13+'місц.-районн.бюджет'!H13+обласний!H13+інші!H13</f>
        <v>1318.1000000000001</v>
      </c>
      <c r="I13" s="93">
        <f t="shared" si="1"/>
        <v>86.00978792822187</v>
      </c>
      <c r="J13" s="95">
        <f>'насел.'!J13+пільги!J13+субсидії!J13+'держ.бюджет'!J13+'місц.-районн.бюджет'!J13+обласний!J13+інші!J13</f>
        <v>1475.4</v>
      </c>
      <c r="K13" s="95">
        <f>'насел.'!K13+пільги!K13+субсидії!K13+'держ.бюджет'!K13+'місц.-районн.бюджет'!K13+обласний!K13+інші!K13</f>
        <v>1587.5</v>
      </c>
      <c r="L13" s="93">
        <f t="shared" si="8"/>
        <v>107.59793954181916</v>
      </c>
      <c r="M13" s="93">
        <f>'насел.'!M13+пільги!M13+субсидії!M13+'держ.бюджет'!M13+'місц.-районн.бюджет'!M13+обласний!M13+інші!M13</f>
        <v>4593.200000000001</v>
      </c>
      <c r="N13" s="93">
        <f>'насел.'!N13+пільги!N13+субсидії!N13+'держ.бюджет'!N13+'місц.-районн.бюджет'!N13+обласний!N13+інші!N13</f>
        <v>2905.5999999999995</v>
      </c>
      <c r="O13" s="93">
        <f t="shared" si="2"/>
        <v>63.25873029696071</v>
      </c>
      <c r="P13" s="95">
        <f>'насел.'!P13+пільги!P13+субсидії!P13+'держ.бюджет'!P13+'місц.-районн.бюджет'!P13+обласний!P13+інші!P13</f>
        <v>478.70000000000005</v>
      </c>
      <c r="Q13" s="95">
        <f>'насел.'!Q13+пільги!Q13+субсидії!Q13+'держ.бюджет'!Q13+'місц.-районн.бюджет'!Q13+обласний!Q13+інші!Q13</f>
        <v>1113.9</v>
      </c>
      <c r="R13" s="95">
        <f t="shared" si="3"/>
        <v>232.69270942134946</v>
      </c>
      <c r="S13" s="95">
        <f>'насел.'!S13+пільги!S13+субсидії!S13+'держ.бюджет'!S13+'місц.-районн.бюджет'!S13+обласний!S13+інші!S13</f>
        <v>0</v>
      </c>
      <c r="T13" s="95">
        <f>'насел.'!T13+пільги!T13+субсидії!T13+'держ.бюджет'!T13+'місц.-районн.бюджет'!T13+обласний!T13+інші!T13</f>
        <v>56.1</v>
      </c>
      <c r="U13" s="93" t="e">
        <f t="shared" si="9"/>
        <v>#DIV/0!</v>
      </c>
      <c r="V13" s="95">
        <f>'насел.'!V13+пільги!V13+субсидії!V13+'держ.бюджет'!V13+'місц.-районн.бюджет'!V13+обласний!V13+інші!V13</f>
        <v>0</v>
      </c>
      <c r="W13" s="95">
        <f>'насел.'!W13+пільги!W13+субсидії!W13+'держ.бюджет'!W13+'місц.-районн.бюджет'!W13+обласний!W13+інші!W13</f>
        <v>738.7</v>
      </c>
      <c r="X13" s="93" t="e">
        <f t="shared" si="10"/>
        <v>#DIV/0!</v>
      </c>
      <c r="Y13" s="95">
        <f>'насел.'!Y13+пільги!Y13+субсидії!Y13+'держ.бюджет'!Y13+'місц.-районн.бюджет'!Y13+обласний!Y13+інші!Y13</f>
        <v>478.70000000000005</v>
      </c>
      <c r="Z13" s="95">
        <f>'насел.'!Z13+пільги!Z13+субсидії!Z13+'держ.бюджет'!Z13+'місц.-районн.бюджет'!Z13+обласний!Z13+інші!Z13</f>
        <v>1908.6999999999998</v>
      </c>
      <c r="AA13" s="93">
        <f t="shared" si="11"/>
        <v>398.72571547942334</v>
      </c>
      <c r="AB13" s="95">
        <f>'насел.'!AB13+пільги!AB13+субсидії!AB13+'держ.бюджет'!AB13+'місц.-районн.бюджет'!AB13+обласний!AB13+інші!AB13</f>
        <v>0</v>
      </c>
      <c r="AC13" s="95">
        <f>'насел.'!AC13+пільги!AC13+субсидії!AC13+'держ.бюджет'!AC13+'місц.-районн.бюджет'!AC13+обласний!AC13+інші!AC13</f>
        <v>0</v>
      </c>
      <c r="AD13" s="93" t="e">
        <f t="shared" si="12"/>
        <v>#DIV/0!</v>
      </c>
      <c r="AE13" s="95">
        <f>'насел.'!AE13+пільги!AE13+субсидії!AE13+'держ.бюджет'!AE13+'місц.-районн.бюджет'!AE13+обласний!AE13+інші!AE13</f>
        <v>0</v>
      </c>
      <c r="AF13" s="95">
        <f>'насел.'!AF13+пільги!AF13+субсидії!AF13+'держ.бюджет'!AF13+'місц.-районн.бюджет'!AF13+обласний!AF13+інші!AF13</f>
        <v>57.9</v>
      </c>
      <c r="AG13" s="93" t="e">
        <f t="shared" si="4"/>
        <v>#DIV/0!</v>
      </c>
      <c r="AH13" s="95">
        <f>'насел.'!AH13+пільги!AH13+субсидії!AH13+'держ.бюджет'!AH13+'місц.-районн.бюджет'!AH13+обласний!AH13+інші!AH13</f>
        <v>0</v>
      </c>
      <c r="AI13" s="95">
        <f>'насел.'!AI13+пільги!AI13+субсидії!AI13+'держ.бюджет'!AI13+'місц.-районн.бюджет'!AI13+обласний!AI13+інші!AI13</f>
        <v>0</v>
      </c>
      <c r="AJ13" s="93" t="e">
        <f t="shared" si="5"/>
        <v>#DIV/0!</v>
      </c>
      <c r="AK13" s="55">
        <f>'насел.'!AK13+пільги!AR13+субсидії!AK13+'держ.бюджет'!AK13+'місц.-районн.бюджет'!AK13+обласний!AK13+інші!AK13</f>
        <v>0</v>
      </c>
      <c r="AL13" s="95">
        <f>'насел.'!AL13+пільги!AK13+субсидії!AL13+'держ.бюджет'!AL13+'місц.-районн.бюджет'!AL13+обласний!AL13+інші!AL13</f>
        <v>57.9</v>
      </c>
      <c r="AM13" s="95" t="e">
        <f t="shared" si="6"/>
        <v>#DIV/0!</v>
      </c>
      <c r="AN13" s="55">
        <f>'насел.'!AN13+пільги!AN13+субсидії!AN13+'держ.бюджет'!AN13+'місц.-районн.бюджет'!AN13+обласний!AN13+інші!AN13</f>
        <v>0</v>
      </c>
      <c r="AO13" s="95">
        <f>'насел.'!AO13+пільги!AN13+субсидії!AO13+'держ.бюджет'!AO13+'місц.-районн.бюджет'!AO13+обласний!AO13+інші!AO13</f>
        <v>0</v>
      </c>
      <c r="AP13" s="95">
        <f>'насел.'!AP13+пільги!AO13+субсидії!AP13+'держ.бюджет'!AP13+'місц.-районн.бюджет'!AP13+обласний!AP13+інші!AP13</f>
        <v>0</v>
      </c>
      <c r="AQ13" s="95">
        <f>'насел.'!AQ13+пільги!AP13+субсидії!AQ13+'держ.бюджет'!AQ13+'місц.-районн.бюджет'!AQ13+обласний!AQ13+інші!AQ13</f>
        <v>0</v>
      </c>
      <c r="AR13" s="95">
        <f>'насел.'!AR13+пільги!AQ13+субсидії!AR13+'держ.бюджет'!AR13+'місц.-районн.бюджет'!AR13+обласний!AR13+інші!AR13</f>
        <v>0</v>
      </c>
      <c r="AS13" s="95">
        <f>'насел.'!AS13+пільги!AR13+субсидії!AS13+'держ.бюджет'!AS13+'місц.-районн.бюджет'!AS13+обласний!AS13+інші!AS13</f>
        <v>0</v>
      </c>
      <c r="AT13" s="95">
        <f>'насел.'!AT13+пільги!AT13+субсидії!AT13+'держ.бюджет'!AT13+'місц.-районн.бюджет'!AT13+обласний!AT13+інші!AT13</f>
        <v>5071.9</v>
      </c>
      <c r="AU13" s="95">
        <f>'насел.'!AU13+пільги!AU13+субсидії!AU13+'держ.бюджет'!AU13+'місц.-районн.бюджет'!AU13+обласний!AU13+інші!AU13</f>
        <v>4872.2</v>
      </c>
      <c r="AV13" s="93">
        <f t="shared" si="7"/>
        <v>96.06261953114218</v>
      </c>
      <c r="AW13" s="95">
        <f t="shared" si="13"/>
        <v>199.69999999999982</v>
      </c>
      <c r="AX13" s="130">
        <f>'насел.'!AX13+пільги!AX13+субсидії!AX13+'держ.бюджет'!AX13+'місц.-районн.бюджет'!AX13+обласний!AX13+інші!AX13</f>
        <v>-454.0999999999997</v>
      </c>
      <c r="AY13" s="124"/>
      <c r="AZ13" s="124"/>
      <c r="BA13" s="124"/>
      <c r="BB13" s="124"/>
    </row>
    <row r="14" spans="1:54" s="133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36353.200000000004</v>
      </c>
      <c r="I14" s="56">
        <f t="shared" si="1"/>
        <v>75.9067817313575</v>
      </c>
      <c r="J14" s="55">
        <f>'насел.'!J14+пільги!J14+субсидії!J14+'держ.бюджет'!J14+'місц.-районн.бюджет'!J14+обласний!J14+інші!J14</f>
        <v>40398.5</v>
      </c>
      <c r="K14" s="55">
        <f>'насел.'!K14+пільги!K14+субсидії!K14+'держ.бюджет'!K14+'місц.-районн.бюджет'!K14+обласний!K14+інші!K14</f>
        <v>40176.9</v>
      </c>
      <c r="L14" s="56">
        <f t="shared" si="8"/>
        <v>99.45146478210825</v>
      </c>
      <c r="M14" s="56">
        <f>'насел.'!M14+пільги!M14+субсидії!M14+'держ.бюджет'!M14+'місц.-районн.бюджет'!M14+обласний!M14+інші!M14</f>
        <v>133759.69999999998</v>
      </c>
      <c r="N14" s="56">
        <f>'насел.'!N14+пільги!N14+субсидії!N14+'держ.бюджет'!N14+'місц.-районн.бюджет'!N14+обласний!N14+інші!N14</f>
        <v>103439.7</v>
      </c>
      <c r="O14" s="56">
        <f t="shared" si="2"/>
        <v>77.33248504594434</v>
      </c>
      <c r="P14" s="55">
        <f>'насел.'!P14+пільги!P14+субсидії!P14+'держ.бюджет'!P14+'місц.-районн.бюджет'!P14+обласний!P14+інші!P14</f>
        <v>12031.9</v>
      </c>
      <c r="Q14" s="55">
        <f>'насел.'!Q14+пільги!Q14+субсидії!Q14+'держ.бюджет'!Q14+'місц.-районн.бюджет'!Q14+обласний!Q14+інші!Q14</f>
        <v>30442.100000000002</v>
      </c>
      <c r="R14" s="55">
        <f t="shared" si="3"/>
        <v>253.01157755632943</v>
      </c>
      <c r="S14" s="55">
        <f>'насел.'!S14+пільги!S14+субсидії!S14+'держ.бюджет'!S14+'місц.-районн.бюджет'!S14+обласний!S14+інші!S14</f>
        <v>1847.6999999999998</v>
      </c>
      <c r="T14" s="55">
        <f>'насел.'!T14+пільги!T14+субсидії!T14+'держ.бюджет'!T14+'місц.-районн.бюджет'!T14+обласний!T14+інші!T14</f>
        <v>12431.3</v>
      </c>
      <c r="U14" s="56">
        <f t="shared" si="9"/>
        <v>672.7986144936949</v>
      </c>
      <c r="V14" s="55">
        <f>'насел.'!V14+пільги!V14+субсидії!V14+'держ.бюджет'!V14+'місц.-районн.бюджет'!V14+обласний!V14+інші!V14</f>
        <v>1848.5999999999997</v>
      </c>
      <c r="W14" s="55">
        <f>'насел.'!W14+пільги!W14+субсидії!W14+'держ.бюджет'!W14+'місц.-районн.бюджет'!W14+обласний!W14+інші!W14</f>
        <v>7707.7</v>
      </c>
      <c r="X14" s="56">
        <f t="shared" si="10"/>
        <v>416.94796061884676</v>
      </c>
      <c r="Y14" s="55">
        <f>'насел.'!Y14+пільги!Y14+субсидії!Y14+'держ.бюджет'!Y14+'місц.-районн.бюджет'!Y14+обласний!Y14+інші!Y14</f>
        <v>15728.2</v>
      </c>
      <c r="Z14" s="55">
        <f>'насел.'!Z14+пільги!Z14+субсидії!Z14+'держ.бюджет'!Z14+'місц.-районн.бюджет'!Z14+обласний!Z14+інші!Z14</f>
        <v>50581.100000000006</v>
      </c>
      <c r="AA14" s="56">
        <f t="shared" si="11"/>
        <v>321.5949695451482</v>
      </c>
      <c r="AB14" s="55">
        <f>'насел.'!AB14+пільги!AB14+субсидії!AB14+'держ.бюджет'!AB14+'місц.-районн.бюджет'!AB14+обласний!AB14+інші!AB14</f>
        <v>1847</v>
      </c>
      <c r="AC14" s="55">
        <f>'насел.'!AC14+пільги!AC14+субсидії!AC14+'держ.бюджет'!AC14+'місц.-районн.бюджет'!AC14+обласний!AC14+інші!AC14</f>
        <v>5699.000000000001</v>
      </c>
      <c r="AD14" s="56">
        <f t="shared" si="12"/>
        <v>308.55441256090967</v>
      </c>
      <c r="AE14" s="55">
        <f>'насел.'!AE14+пільги!AE14+субсидії!AE14+'держ.бюджет'!AE14+'місц.-районн.бюджет'!AE14+обласний!AE14+інші!AE14</f>
        <v>1848.6</v>
      </c>
      <c r="AF14" s="55">
        <f>'насел.'!AF14+пільги!AF14+субсидії!AF14+'держ.бюджет'!AF14+'місц.-районн.бюджет'!AF14+обласний!AF14+інші!AF14</f>
        <v>4028.9999999999995</v>
      </c>
      <c r="AG14" s="56">
        <f t="shared" si="4"/>
        <v>217.94871794871793</v>
      </c>
      <c r="AH14" s="55">
        <f>'насел.'!AH14+пільги!AH14+субсидії!AH14+'держ.бюджет'!AH14+'місц.-районн.бюджет'!AH14+обласний!AH14+інші!AH14</f>
        <v>0</v>
      </c>
      <c r="AI14" s="55">
        <f>'насел.'!AI14+пільги!AI14+субсидії!AI14+'держ.бюджет'!AI14+'місц.-районн.бюджет'!AI14+обласний!AI14+інші!AI14</f>
        <v>0</v>
      </c>
      <c r="AJ14" s="56" t="e">
        <f t="shared" si="5"/>
        <v>#DIV/0!</v>
      </c>
      <c r="AK14" s="55">
        <f>'насел.'!AK14+пільги!AR14+субсидії!AK14+'держ.бюджет'!AK14+'місц.-районн.бюджет'!AK14+обласний!AK14+інші!AK14</f>
        <v>3695.6000000000004</v>
      </c>
      <c r="AL14" s="55">
        <f>'насел.'!AL14+пільги!AK14+субсидії!AL14+'держ.бюджет'!AL14+'місц.-районн.бюджет'!AL14+обласний!AL14+інші!AL14</f>
        <v>9728</v>
      </c>
      <c r="AM14" s="55">
        <f t="shared" si="6"/>
        <v>263.23195150990364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153183.5</v>
      </c>
      <c r="AU14" s="55">
        <f>'насел.'!AU14+пільги!AU14+субсидії!AU14+'держ.бюджет'!AU14+'місц.-районн.бюджет'!AU14+обласний!AU14+інші!AU14</f>
        <v>163748.80000000002</v>
      </c>
      <c r="AV14" s="56">
        <f t="shared" si="7"/>
        <v>106.89715276123081</v>
      </c>
      <c r="AW14" s="55">
        <f t="shared" si="13"/>
        <v>-10565.300000000017</v>
      </c>
      <c r="AX14" s="130">
        <f>'насел.'!AX14+пільги!AX14+субсидії!AX14+'держ.бюджет'!AX14+'місц.-районн.бюджет'!AX14+обласний!AX14+інші!AX14</f>
        <v>90809</v>
      </c>
      <c r="AY14" s="129"/>
      <c r="AZ14" s="129"/>
      <c r="BA14" s="129"/>
      <c r="BB14" s="129"/>
    </row>
    <row r="15" spans="1:54" ht="34.5" customHeight="1">
      <c r="A15" s="48" t="s">
        <v>2</v>
      </c>
      <c r="B15" s="51" t="s">
        <v>147</v>
      </c>
      <c r="C15" s="95">
        <f>'насел.'!C15+пільги!C15+субсидії!C15+'держ.бюджет'!C15+'місц.-районн.бюджет'!C15+обласний!C15+інші!C15</f>
        <v>47656.799999999996</v>
      </c>
      <c r="D15" s="95">
        <f>'насел.'!D15+пільги!D15+субсидії!D15+'держ.бюджет'!D15+'місц.-районн.бюджет'!D15+обласний!D15+інші!D15</f>
        <v>16488.6</v>
      </c>
      <c r="E15" s="95">
        <f>'насел.'!E15+пільги!E15+субсидії!E15+'держ.бюджет'!E15+'місц.-районн.бюджет'!E15+обласний!E15+інші!E15</f>
        <v>10255.000000000002</v>
      </c>
      <c r="F15" s="93">
        <f t="shared" si="0"/>
        <v>62.19448588721907</v>
      </c>
      <c r="G15" s="95">
        <f>'насел.'!G15+пільги!G15+субсидії!G15+'держ.бюджет'!G15+'місц.-районн.бюджет'!G15+обласний!G15+інші!G15</f>
        <v>17947.9</v>
      </c>
      <c r="H15" s="95">
        <f>'насел.'!H15+пільги!H15+субсидії!H15+'держ.бюджет'!H15+'місц.-районн.бюджет'!H15+обласний!H15+інші!H15</f>
        <v>12720.9</v>
      </c>
      <c r="I15" s="93">
        <f t="shared" si="1"/>
        <v>70.87681567202847</v>
      </c>
      <c r="J15" s="95">
        <f>'насел.'!J15+пільги!J15+субсидії!J15+'держ.бюджет'!J15+'місц.-районн.бюджет'!J15+обласний!J15+інші!J15</f>
        <v>14116.500000000002</v>
      </c>
      <c r="K15" s="95">
        <f>'насел.'!K15+пільги!K15+субсидії!K15+'держ.бюджет'!K15+'місц.-районн.бюджет'!K15+обласний!K15+інші!K15</f>
        <v>15024.400000000001</v>
      </c>
      <c r="L15" s="93">
        <f>K15/J15*100</f>
        <v>106.43148089115573</v>
      </c>
      <c r="M15" s="93">
        <f>'насел.'!M15+пільги!M15+субсидії!M15+'держ.бюджет'!M15+'місц.-районн.бюджет'!M15+обласний!M15+інші!M15</f>
        <v>48553</v>
      </c>
      <c r="N15" s="93">
        <f>'насел.'!N15+пільги!N15+субсидії!N15+'держ.бюджет'!N15+'місц.-районн.бюджет'!N15+обласний!N15+інші!N15</f>
        <v>38000.299999999996</v>
      </c>
      <c r="O15" s="93">
        <f t="shared" si="2"/>
        <v>78.26560665664324</v>
      </c>
      <c r="P15" s="95">
        <f>'насел.'!P15+пільги!P15+субсидії!P15+'держ.бюджет'!P15+'місц.-районн.бюджет'!P15+обласний!P15+інші!P15</f>
        <v>3493.2</v>
      </c>
      <c r="Q15" s="95">
        <f>'насел.'!Q15+пільги!Q15+субсидії!Q15+'держ.бюджет'!Q15+'місц.-районн.бюджет'!Q15+обласний!Q15+інші!Q15</f>
        <v>11517.300000000001</v>
      </c>
      <c r="R15" s="95">
        <f t="shared" si="3"/>
        <v>329.70628649948475</v>
      </c>
      <c r="S15" s="95">
        <f>'насел.'!S15+пільги!S15+субсидії!S15+'держ.бюджет'!S15+'місц.-районн.бюджет'!S15+обласний!S15+інші!S15</f>
        <v>0</v>
      </c>
      <c r="T15" s="95">
        <f>'насел.'!T15+пільги!T15+субсидії!T15+'держ.бюджет'!T15+'місц.-районн.бюджет'!T15+обласний!T15+інші!T15</f>
        <v>3494.2</v>
      </c>
      <c r="U15" s="93" t="e">
        <f>T15/S15*100</f>
        <v>#DIV/0!</v>
      </c>
      <c r="V15" s="95">
        <f>'насел.'!V15+пільги!V15+субсидії!V15+'держ.бюджет'!V15+'місц.-районн.бюджет'!V15+обласний!V15+інші!V15</f>
        <v>0</v>
      </c>
      <c r="W15" s="95">
        <f>'насел.'!W15+пільги!W15+субсидії!W15+'держ.бюджет'!W15+'місц.-районн.бюджет'!W15+обласний!W15+інші!W15</f>
        <v>2290.7</v>
      </c>
      <c r="X15" s="93" t="e">
        <f>W15/V15*100</f>
        <v>#DIV/0!</v>
      </c>
      <c r="Y15" s="95">
        <f>'насел.'!Y15+пільги!Y15+субсидії!Y15+'держ.бюджет'!Y15+'місц.-районн.бюджет'!Y15+обласний!Y15+інші!Y15</f>
        <v>3493.2</v>
      </c>
      <c r="Z15" s="95">
        <f>'насел.'!Z15+пільги!Z15+субсидії!Z15+'держ.бюджет'!Z15+'місц.-районн.бюджет'!Z15+обласний!Z15+інші!Z15</f>
        <v>17302.199999999997</v>
      </c>
      <c r="AA15" s="93">
        <f>Z15/Y15*100</f>
        <v>495.3108897286155</v>
      </c>
      <c r="AB15" s="95">
        <f>'насел.'!AB15+пільги!AB15+субсидії!AB15+'держ.бюджет'!AB15+'місц.-районн.бюджет'!AB15+обласний!AB15+інші!AB15</f>
        <v>0</v>
      </c>
      <c r="AC15" s="95">
        <f>'насел.'!AC15+пільги!AC15+субсидії!AC15+'держ.бюджет'!AC15+'місц.-районн.бюджет'!AC15+обласний!AC15+інші!AC15</f>
        <v>1592.5</v>
      </c>
      <c r="AD15" s="93" t="e">
        <f>AC15/AB15*100</f>
        <v>#DIV/0!</v>
      </c>
      <c r="AE15" s="95">
        <f>'насел.'!AE15+пільги!AE15+субсидії!AE15+'держ.бюджет'!AE15+'місц.-районн.бюджет'!AE15+обласний!AE15+інші!AE15</f>
        <v>0</v>
      </c>
      <c r="AF15" s="95">
        <f>'насел.'!AF15+пільги!AF15+субсидії!AF15+'держ.бюджет'!AF15+'місц.-районн.бюджет'!AF15+обласний!AF15+інші!AF15</f>
        <v>1387.9</v>
      </c>
      <c r="AG15" s="93" t="e">
        <f t="shared" si="4"/>
        <v>#DIV/0!</v>
      </c>
      <c r="AH15" s="95">
        <f>'насел.'!AH15+пільги!AH15+субсидії!AH15+'держ.бюджет'!AH15+'місц.-районн.бюджет'!AH15+обласний!AH15+інші!AH15</f>
        <v>0</v>
      </c>
      <c r="AI15" s="95">
        <f>'насел.'!AI15+пільги!AI15+субсидії!AI15+'держ.бюджет'!AI15+'місц.-районн.бюджет'!AI15+обласний!AI15+інші!AI15</f>
        <v>0</v>
      </c>
      <c r="AJ15" s="93" t="e">
        <f t="shared" si="5"/>
        <v>#DIV/0!</v>
      </c>
      <c r="AK15" s="55">
        <f>'насел.'!AK15+пільги!AR15+субсидії!AK15+'держ.бюджет'!AK15+'місц.-районн.бюджет'!AK15+обласний!AK15+інші!AK15</f>
        <v>0</v>
      </c>
      <c r="AL15" s="95">
        <f>'насел.'!AL15+пільги!AK15+субсидії!AL15+'держ.бюджет'!AL15+'місц.-районн.бюджет'!AL15+обласний!AL15+інші!AL15</f>
        <v>2980.3999999999996</v>
      </c>
      <c r="AM15" s="95" t="e">
        <f t="shared" si="6"/>
        <v>#DIV/0!</v>
      </c>
      <c r="AN15" s="55">
        <f>'насел.'!AN15+пільги!AN15+субсидії!AN15+'держ.бюджет'!AN15+'місц.-районн.бюджет'!AN15+обласний!AN15+інші!AN15</f>
        <v>0</v>
      </c>
      <c r="AO15" s="95">
        <f>'насел.'!AO15+пільги!AN15+субсидії!AO15+'держ.бюджет'!AO15+'місц.-районн.бюджет'!AO15+обласний!AO15+інші!AO15</f>
        <v>0</v>
      </c>
      <c r="AP15" s="95">
        <f>'насел.'!AP15+пільги!AO15+субсидії!AP15+'держ.бюджет'!AP15+'місц.-районн.бюджет'!AP15+обласний!AP15+інші!AP15</f>
        <v>0</v>
      </c>
      <c r="AQ15" s="95">
        <f>'насел.'!AQ15+пільги!AP15+субсидії!AQ15+'держ.бюджет'!AQ15+'місц.-районн.бюджет'!AQ15+обласний!AQ15+інші!AQ15</f>
        <v>0</v>
      </c>
      <c r="AR15" s="95">
        <f>'насел.'!AR15+пільги!AQ15+субсидії!AR15+'держ.бюджет'!AR15+'місц.-районн.бюджет'!AR15+обласний!AR15+інші!AR15</f>
        <v>0</v>
      </c>
      <c r="AS15" s="95">
        <f>'насел.'!AS15+пільги!AR15+субсидії!AS15+'держ.бюджет'!AS15+'місц.-районн.бюджет'!AS15+обласний!AS15+інші!AS15</f>
        <v>0</v>
      </c>
      <c r="AT15" s="95">
        <f>'насел.'!AT15+пільги!AT15+субсидії!AT15+'держ.бюджет'!AT15+'місц.-районн.бюджет'!AT15+обласний!AT15+інші!AT15</f>
        <v>52046.200000000004</v>
      </c>
      <c r="AU15" s="95">
        <f>'насел.'!AU15+пільги!AU15+субсидії!AU15+'держ.бюджет'!AU15+'місц.-районн.бюджет'!AU15+обласний!AU15+інші!AU15</f>
        <v>58282.89999999999</v>
      </c>
      <c r="AV15" s="93">
        <f t="shared" si="7"/>
        <v>111.98300740495941</v>
      </c>
      <c r="AW15" s="95">
        <f t="shared" si="13"/>
        <v>-6236.6999999999825</v>
      </c>
      <c r="AX15" s="130">
        <f>'насел.'!AX15+пільги!AX15+субсидії!AX15+'держ.бюджет'!AX15+'місц.-районн.бюджет'!AX15+обласний!AX15+інші!AX15</f>
        <v>41420.100000000006</v>
      </c>
      <c r="AY15" s="124"/>
      <c r="AZ15" s="124"/>
      <c r="BA15" s="124"/>
      <c r="BB15" s="124"/>
    </row>
    <row r="16" spans="1:54" ht="34.5" customHeight="1">
      <c r="A16" s="48" t="s">
        <v>3</v>
      </c>
      <c r="B16" s="89" t="s">
        <v>148</v>
      </c>
      <c r="C16" s="95">
        <f>'насел.'!C16+пільги!C16+субсидії!C16+'держ.бюджет'!C16+'місц.-районн.бюджет'!C16+обласний!C16+інші!C16</f>
        <v>-709.2</v>
      </c>
      <c r="D16" s="95">
        <f>'насел.'!D16+пільги!D16+субсидії!D16+'держ.бюджет'!D16+'місц.-районн.бюджет'!D16+обласний!D16+інші!D16</f>
        <v>2522.9</v>
      </c>
      <c r="E16" s="95">
        <f>'насел.'!E16+пільги!E16+субсидії!E16+'держ.бюджет'!E16+'місц.-районн.бюджет'!E16+обласний!E16+інші!E16</f>
        <v>243.7</v>
      </c>
      <c r="F16" s="93">
        <f t="shared" si="0"/>
        <v>9.659518807721271</v>
      </c>
      <c r="G16" s="95">
        <f>'насел.'!G16+пільги!G16+субсидії!G16+'держ.бюджет'!G16+'місц.-районн.бюджет'!G16+обласний!G16+інші!G16</f>
        <v>2817.7</v>
      </c>
      <c r="H16" s="95">
        <f>'насел.'!H16+пільги!H16+субсидії!H16+'держ.бюджет'!H16+'місц.-районн.бюджет'!H16+обласний!H16+інші!H16</f>
        <v>2698</v>
      </c>
      <c r="I16" s="93">
        <f t="shared" si="1"/>
        <v>95.75185434929199</v>
      </c>
      <c r="J16" s="95">
        <f>'насел.'!J16+пільги!J16+субсидії!J16+'держ.бюджет'!J16+'місц.-районн.бюджет'!J16+обласний!J16+інші!J16</f>
        <v>2166.9</v>
      </c>
      <c r="K16" s="95">
        <f>'насел.'!K16+пільги!K16+субсидії!K16+'держ.бюджет'!K16+'місц.-районн.бюджет'!K16+обласний!K16+інші!K16</f>
        <v>1511.2</v>
      </c>
      <c r="L16" s="93">
        <f>K16/J16*100</f>
        <v>69.74018182657252</v>
      </c>
      <c r="M16" s="93">
        <f>'насел.'!M16+пільги!M16+субсидії!M16+'держ.бюджет'!M16+'місц.-районн.бюджет'!M16+обласний!M16+інші!M16</f>
        <v>7507.500000000001</v>
      </c>
      <c r="N16" s="93">
        <f>'насел.'!N16+пільги!N16+субсидії!N16+'держ.бюджет'!N16+'місц.-районн.бюджет'!N16+обласний!N16+інші!N16</f>
        <v>4452.9</v>
      </c>
      <c r="O16" s="93">
        <f t="shared" si="2"/>
        <v>59.312687312687295</v>
      </c>
      <c r="P16" s="95">
        <f>'насел.'!P16+пільги!P16+субсидії!P16+'держ.бюджет'!P16+'місц.-районн.бюджет'!P16+обласний!P16+інші!P16</f>
        <v>304.6</v>
      </c>
      <c r="Q16" s="95">
        <f>'насел.'!Q16+пільги!Q16+субсидії!Q16+'держ.бюджет'!Q16+'місц.-районн.бюджет'!Q16+обласний!Q16+інші!Q16</f>
        <v>2340</v>
      </c>
      <c r="R16" s="95">
        <f t="shared" si="3"/>
        <v>768.220617202889</v>
      </c>
      <c r="S16" s="95">
        <f>'насел.'!S16+пільги!S16+субсидії!S16+'держ.бюджет'!S16+'місц.-районн.бюджет'!S16+обласний!S16+інші!S16</f>
        <v>0</v>
      </c>
      <c r="T16" s="95">
        <f>'насел.'!T16+пільги!T16+субсидії!T16+'держ.бюджет'!T16+'місц.-районн.бюджет'!T16+обласний!T16+інші!T16</f>
        <v>53.099999999999994</v>
      </c>
      <c r="U16" s="93" t="e">
        <f>T16/S16*100</f>
        <v>#DIV/0!</v>
      </c>
      <c r="V16" s="95">
        <f>'насел.'!V16+пільги!V16+субсидії!V16+'держ.бюджет'!V16+'місц.-районн.бюджет'!V16+обласний!V16+інші!V16</f>
        <v>0</v>
      </c>
      <c r="W16" s="95">
        <f>'насел.'!W16+пільги!W16+субсидії!W16+'держ.бюджет'!W16+'місц.-районн.бюджет'!W16+обласний!W16+інші!W16</f>
        <v>46.6</v>
      </c>
      <c r="X16" s="93" t="e">
        <f>W16/V16*100</f>
        <v>#DIV/0!</v>
      </c>
      <c r="Y16" s="95">
        <f>'насел.'!Y16+пільги!Y16+субсидії!Y16+'держ.бюджет'!Y16+'місц.-районн.бюджет'!Y16+обласний!Y16+інші!Y16</f>
        <v>304.6</v>
      </c>
      <c r="Z16" s="95">
        <f>'насел.'!Z16+пільги!Z16+субсидії!Z16+'держ.бюджет'!Z16+'місц.-районн.бюджет'!Z16+обласний!Z16+інші!Z16</f>
        <v>2439.7000000000003</v>
      </c>
      <c r="AA16" s="93">
        <f>Z16/Y16*100</f>
        <v>800.9520682862772</v>
      </c>
      <c r="AB16" s="95">
        <f>'насел.'!AB16+пільги!AB16+субсидії!AB16+'держ.бюджет'!AB16+'місц.-районн.бюджет'!AB16+обласний!AB16+інші!AB16</f>
        <v>0</v>
      </c>
      <c r="AC16" s="95">
        <f>'насел.'!AC16+пільги!AC16+субсидії!AC16+'держ.бюджет'!AC16+'місц.-районн.бюджет'!AC16+обласний!AC16+інші!AC16</f>
        <v>53.3</v>
      </c>
      <c r="AD16" s="93" t="e">
        <f>AC16/AB16*100</f>
        <v>#DIV/0!</v>
      </c>
      <c r="AE16" s="95">
        <f>'насел.'!AE16+пільги!AE16+субсидії!AE16+'держ.бюджет'!AE16+'місц.-районн.бюджет'!AE16+обласний!AE16+інші!AE16</f>
        <v>0</v>
      </c>
      <c r="AF16" s="95">
        <f>'насел.'!AF16+пільги!AF16+субсидії!AF16+'держ.бюджет'!AF16+'місц.-районн.бюджет'!AF16+обласний!AF16+інші!AF16</f>
        <v>7.9</v>
      </c>
      <c r="AG16" s="93" t="e">
        <f t="shared" si="4"/>
        <v>#DIV/0!</v>
      </c>
      <c r="AH16" s="95">
        <f>'насел.'!AH16+пільги!AH16+субсидії!AH16+'держ.бюджет'!AH16+'місц.-районн.бюджет'!AH16+обласний!AH16+інші!AH16</f>
        <v>0</v>
      </c>
      <c r="AI16" s="95">
        <f>'насел.'!AI16+пільги!AI16+субсидії!AI16+'держ.бюджет'!AI16+'місц.-районн.бюджет'!AI16+обласний!AI16+інші!AI16</f>
        <v>0</v>
      </c>
      <c r="AJ16" s="93" t="e">
        <f t="shared" si="5"/>
        <v>#DIV/0!</v>
      </c>
      <c r="AK16" s="55">
        <f>'насел.'!AK16+пільги!AR16+субсидії!AK16+'держ.бюджет'!AK16+'місц.-районн.бюджет'!AK16+обласний!AK16+інші!AK16</f>
        <v>0</v>
      </c>
      <c r="AL16" s="95">
        <f>'насел.'!AL16+пільги!AK16+субсидії!AL16+'держ.бюджет'!AL16+'місц.-районн.бюджет'!AL16+обласний!AL16+інші!AL16</f>
        <v>61.199999999999996</v>
      </c>
      <c r="AM16" s="95" t="e">
        <f t="shared" si="6"/>
        <v>#DIV/0!</v>
      </c>
      <c r="AN16" s="55">
        <f>'насел.'!AN16+пільги!AN16+субсидії!AN16+'держ.бюджет'!AN16+'місц.-районн.бюджет'!AN16+обласний!AN16+інші!AN16</f>
        <v>0</v>
      </c>
      <c r="AO16" s="95">
        <f>'насел.'!AO16+пільги!AN16+субсидії!AO16+'держ.бюджет'!AO16+'місц.-районн.бюджет'!AO16+обласний!AO16+інші!AO16</f>
        <v>0</v>
      </c>
      <c r="AP16" s="95">
        <f>'насел.'!AP16+пільги!AO16+субсидії!AP16+'держ.бюджет'!AP16+'місц.-районн.бюджет'!AP16+обласний!AP16+інші!AP16</f>
        <v>0</v>
      </c>
      <c r="AQ16" s="95">
        <f>'насел.'!AQ16+пільги!AP16+субсидії!AQ16+'держ.бюджет'!AQ16+'місц.-районн.бюджет'!AQ16+обласний!AQ16+інші!AQ16</f>
        <v>0</v>
      </c>
      <c r="AR16" s="95">
        <f>'насел.'!AR16+пільги!AQ16+субсидії!AR16+'держ.бюджет'!AR16+'місц.-районн.бюджет'!AR16+обласний!AR16+інші!AR16</f>
        <v>0</v>
      </c>
      <c r="AS16" s="95">
        <f>'насел.'!AS16+пільги!AR16+субсидії!AS16+'держ.бюджет'!AS16+'місц.-районн.бюджет'!AS16+обласний!AS16+інші!AS16</f>
        <v>0</v>
      </c>
      <c r="AT16" s="95">
        <f>'насел.'!AT16+пільги!AT16+субсидії!AT16+'держ.бюджет'!AT16+'місц.-районн.бюджет'!AT16+обласний!AT16+інші!AT16</f>
        <v>7812.1</v>
      </c>
      <c r="AU16" s="95">
        <f>'насел.'!AU16+пільги!AU16+субсидії!AU16+'держ.бюджет'!AU16+'місц.-районн.бюджет'!AU16+обласний!AU16+інші!AU16</f>
        <v>6953.799999999999</v>
      </c>
      <c r="AV16" s="93">
        <f t="shared" si="7"/>
        <v>89.01319747571075</v>
      </c>
      <c r="AW16" s="95">
        <f t="shared" si="13"/>
        <v>858.3000000000011</v>
      </c>
      <c r="AX16" s="130">
        <f>'насел.'!AX16+пільги!AX16+субсидії!AX16+'держ.бюджет'!AX16+'місц.-районн.бюджет'!AX16+обласний!AX16+інші!AX16</f>
        <v>149.10000000000085</v>
      </c>
      <c r="AY16" s="124">
        <f>46.2+102.9</f>
        <v>149.10000000000002</v>
      </c>
      <c r="AZ16" s="124"/>
      <c r="BA16" s="124"/>
      <c r="BB16" s="124"/>
    </row>
    <row r="17" spans="1:54" s="135" customFormat="1" ht="34.5" customHeight="1">
      <c r="A17" s="134" t="s">
        <v>6</v>
      </c>
      <c r="B17" s="51" t="s">
        <v>149</v>
      </c>
      <c r="C17" s="95">
        <f>'насел.'!C17+пільги!C17+субсидії!C17+'держ.бюджет'!C17+'місц.-районн.бюджет'!C17+обласний!C17+інші!C17</f>
        <v>6193.3</v>
      </c>
      <c r="D17" s="95">
        <f>'насел.'!D17+пільги!D17+субсидії!D17+'держ.бюджет'!D17+'місц.-районн.бюджет'!D17+обласний!D17+інші!D17</f>
        <v>5783</v>
      </c>
      <c r="E17" s="95">
        <f>'насел.'!E17+пільги!E17+субсидії!E17+'держ.бюджет'!E17+'місц.-районн.бюджет'!E17+обласний!E17+інші!E17</f>
        <v>3042.4</v>
      </c>
      <c r="F17" s="93">
        <f t="shared" si="0"/>
        <v>52.60937229811516</v>
      </c>
      <c r="G17" s="95">
        <f>'насел.'!G17+пільги!G17+субсидії!G17+'держ.бюджет'!G17+'місц.-районн.бюджет'!G17+обласний!G17+інші!G17</f>
        <v>5830.9</v>
      </c>
      <c r="H17" s="95">
        <f>'насел.'!H17+пільги!H17+субсидії!H17+'держ.бюджет'!H17+'місц.-районн.бюджет'!H17+обласний!H17+інші!H17</f>
        <v>4720.9</v>
      </c>
      <c r="I17" s="93">
        <f t="shared" si="1"/>
        <v>80.96348762626697</v>
      </c>
      <c r="J17" s="95">
        <f>'насел.'!J17+пільги!J17+субсидії!J17+'держ.бюджет'!J17+'місц.-районн.бюджет'!J17+обласний!J17+інші!J17</f>
        <v>4811.5</v>
      </c>
      <c r="K17" s="95">
        <f>'насел.'!K17+пільги!K17+субсидії!K17+'держ.бюджет'!K17+'місц.-районн.бюджет'!K17+обласний!K17+інші!K17</f>
        <v>5552.1</v>
      </c>
      <c r="L17" s="94">
        <f>K17/J17*100</f>
        <v>115.39228930686897</v>
      </c>
      <c r="M17" s="93">
        <f>'насел.'!M17+пільги!M17+субсидії!M17+'держ.бюджет'!M17+'місц.-районн.бюджет'!M17+обласний!M17+інші!M17</f>
        <v>16425.399999999998</v>
      </c>
      <c r="N17" s="93">
        <f>'насел.'!N17+пільги!N17+субсидії!N17+'держ.бюджет'!N17+'місц.-районн.бюджет'!N17+обласний!N17+інші!N17</f>
        <v>13315.400000000001</v>
      </c>
      <c r="O17" s="93">
        <f t="shared" si="2"/>
        <v>81.06591011482219</v>
      </c>
      <c r="P17" s="95">
        <f>'насел.'!P17+пільги!P17+субсидії!P17+'держ.бюджет'!P17+'місц.-районн.бюджет'!P17+обласний!P17+інші!P17</f>
        <v>688</v>
      </c>
      <c r="Q17" s="95">
        <f>'насел.'!Q17+пільги!Q17+субсидії!Q17+'держ.бюджет'!Q17+'місц.-районн.бюджет'!Q17+обласний!Q17+інші!Q17</f>
        <v>3368.6</v>
      </c>
      <c r="R17" s="95">
        <f t="shared" si="3"/>
        <v>489.6220930232558</v>
      </c>
      <c r="S17" s="95">
        <f>'насел.'!S17+пільги!S17+субсидії!S17+'держ.бюджет'!S17+'місц.-районн.бюджет'!S17+обласний!S17+інші!S17</f>
        <v>0</v>
      </c>
      <c r="T17" s="95">
        <f>'насел.'!T17+пільги!T17+субсидії!T17+'держ.бюджет'!T17+'місц.-районн.бюджет'!T17+обласний!T17+інші!T17</f>
        <v>1915.9</v>
      </c>
      <c r="U17" s="171" t="e">
        <f>T17/S17*100</f>
        <v>#DIV/0!</v>
      </c>
      <c r="V17" s="95">
        <f>'насел.'!V17+пільги!V17+субсидії!V17+'держ.бюджет'!V17+'місц.-районн.бюджет'!V17+обласний!V17+інші!V17</f>
        <v>0</v>
      </c>
      <c r="W17" s="95">
        <f>'насел.'!W17+пільги!W17+субсидії!W17+'держ.бюджет'!W17+'місц.-районн.бюджет'!W17+обласний!W17+інші!W17</f>
        <v>556</v>
      </c>
      <c r="X17" s="171" t="e">
        <f>W17/V17*100</f>
        <v>#DIV/0!</v>
      </c>
      <c r="Y17" s="95">
        <f>'насел.'!Y17+пільги!Y17+субсидії!Y17+'держ.бюджет'!Y17+'місц.-районн.бюджет'!Y17+обласний!Y17+інші!Y17</f>
        <v>688</v>
      </c>
      <c r="Z17" s="95">
        <f>'насел.'!Z17+пільги!Z17+субсидії!Z17+'держ.бюджет'!Z17+'місц.-районн.бюджет'!Z17+обласний!Z17+інші!Z17</f>
        <v>5840.5</v>
      </c>
      <c r="AA17" s="93">
        <f>Z17/Y17*100</f>
        <v>848.9098837209303</v>
      </c>
      <c r="AB17" s="95">
        <f>'насел.'!AB17+пільги!AB17+субсидії!AB17+'держ.бюджет'!AB17+'місц.-районн.бюджет'!AB17+обласний!AB17+інші!AB17</f>
        <v>0</v>
      </c>
      <c r="AC17" s="95">
        <f>'насел.'!AC17+пільги!AC17+субсидії!AC17+'держ.бюджет'!AC17+'місц.-районн.бюджет'!AC17+обласний!AC17+інші!AC17</f>
        <v>627.1</v>
      </c>
      <c r="AD17" s="171" t="e">
        <f>AC17/AB17*100</f>
        <v>#DIV/0!</v>
      </c>
      <c r="AE17" s="95">
        <f>'насел.'!AE17+пільги!AE17+субсидії!AE17+'держ.бюджет'!AE17+'місц.-районн.бюджет'!AE17+обласний!AE17+інші!AE17</f>
        <v>0</v>
      </c>
      <c r="AF17" s="95">
        <f>'насел.'!AF17+пільги!AF17+субсидії!AF17+'держ.бюджет'!AF17+'місц.-районн.бюджет'!AF17+обласний!AF17+інші!AF17</f>
        <v>168.79999999999998</v>
      </c>
      <c r="AG17" s="93" t="e">
        <f t="shared" si="4"/>
        <v>#DIV/0!</v>
      </c>
      <c r="AH17" s="95">
        <f>'насел.'!AH17+пільги!AH17+субсидії!AH17+'держ.бюджет'!AH17+'місц.-районн.бюджет'!AH17+обласний!AH17+інші!AH17</f>
        <v>0</v>
      </c>
      <c r="AI17" s="95">
        <f>'насел.'!AI17+пільги!AI17+субсидії!AI17+'держ.бюджет'!AI17+'місц.-районн.бюджет'!AI17+обласний!AI17+інші!AI17</f>
        <v>0</v>
      </c>
      <c r="AJ17" s="93" t="e">
        <f t="shared" si="5"/>
        <v>#DIV/0!</v>
      </c>
      <c r="AK17" s="55">
        <f>'насел.'!AK17+пільги!AR17+субсидії!AK17+'держ.бюджет'!AK17+'місц.-районн.бюджет'!AK17+обласний!AK17+інші!AK17</f>
        <v>0</v>
      </c>
      <c r="AL17" s="95">
        <f>'насел.'!AL17+пільги!AK17+субсидії!AL17+'держ.бюджет'!AL17+'місц.-районн.бюджет'!AL17+обласний!AL17+інші!AL17</f>
        <v>795.9000000000001</v>
      </c>
      <c r="AM17" s="95" t="e">
        <f t="shared" si="6"/>
        <v>#DIV/0!</v>
      </c>
      <c r="AN17" s="55">
        <f>'насел.'!AN17+пільги!AN17+субсидії!AN17+'держ.бюджет'!AN17+'місц.-районн.бюджет'!AN17+обласний!AN17+інші!AN17</f>
        <v>0</v>
      </c>
      <c r="AO17" s="95">
        <f>'насел.'!AO17+пільги!AN17+субсидії!AO17+'держ.бюджет'!AO17+'місц.-районн.бюджет'!AO17+обласний!AO17+інші!AO17</f>
        <v>0</v>
      </c>
      <c r="AP17" s="95">
        <f>'насел.'!AP17+пільги!AO17+субсидії!AP17+'держ.бюджет'!AP17+'місц.-районн.бюджет'!AP17+обласний!AP17+інші!AP17</f>
        <v>0</v>
      </c>
      <c r="AQ17" s="95">
        <f>'насел.'!AQ17+пільги!AP17+субсидії!AQ17+'держ.бюджет'!AQ17+'місц.-районн.бюджет'!AQ17+обласний!AQ17+інші!AQ17</f>
        <v>0</v>
      </c>
      <c r="AR17" s="95">
        <f>'насел.'!AR17+пільги!AQ17+субсидії!AR17+'держ.бюджет'!AR17+'місц.-районн.бюджет'!AR17+обласний!AR17+інші!AR17</f>
        <v>0</v>
      </c>
      <c r="AS17" s="95">
        <f>'насел.'!AS17+пільги!AR17+субсидії!AS17+'держ.бюджет'!AS17+'місц.-районн.бюджет'!AS17+обласний!AS17+інші!AS17</f>
        <v>0</v>
      </c>
      <c r="AT17" s="95">
        <f>'насел.'!AT17+пільги!AT17+субсидії!AT17+'держ.бюджет'!AT17+'місц.-районн.бюджет'!AT17+обласний!AT17+інші!AT17</f>
        <v>17113.399999999998</v>
      </c>
      <c r="AU17" s="95">
        <f>'насел.'!AU17+пільги!AU17+субсидії!AU17+'держ.бюджет'!AU17+'місц.-районн.бюджет'!AU17+обласний!AU17+інші!AU17</f>
        <v>19951.800000000003</v>
      </c>
      <c r="AV17" s="93">
        <f t="shared" si="7"/>
        <v>116.5858333235944</v>
      </c>
      <c r="AW17" s="95">
        <f t="shared" si="13"/>
        <v>-2838.400000000005</v>
      </c>
      <c r="AX17" s="130">
        <f>'насел.'!AX17+пільги!AX17+субсидії!AX17+'держ.бюджет'!AX17+'місц.-районн.бюджет'!AX17+обласний!AX17+інші!AX17</f>
        <v>3354.899999999995</v>
      </c>
      <c r="AY17" s="124"/>
      <c r="AZ17" s="124"/>
      <c r="BA17" s="124"/>
      <c r="BB17" s="124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30">
        <f>'насел.'!AX18+пільги!AX18+субсидії!AX18+'держ.бюджет'!AX18+'місц.-районн.бюджет'!AX18+обласний!AX18+інші!AX18</f>
        <v>0</v>
      </c>
      <c r="AY18" s="124"/>
      <c r="AZ18" s="124"/>
      <c r="BA18" s="124"/>
      <c r="BB18" s="124"/>
    </row>
    <row r="19" spans="1:54" ht="34.5" customHeight="1">
      <c r="A19" s="48" t="s">
        <v>2</v>
      </c>
      <c r="B19" s="51" t="s">
        <v>150</v>
      </c>
      <c r="C19" s="95">
        <f>'насел.'!C19+пільги!C19+субсидії!C19+'держ.бюджет'!C19+'місц.-районн.бюджет'!C19+обласний!C19+інші!C19</f>
        <v>48404.00000000001</v>
      </c>
      <c r="D19" s="95">
        <f>'насел.'!D19+пільги!D19+субсидії!D19+'держ.бюджет'!D19+'місц.-районн.бюджет'!D19+обласний!D19+інші!D19</f>
        <v>20070.1</v>
      </c>
      <c r="E19" s="95">
        <f>'насел.'!E19+пільги!E19+субсидії!E19+'держ.бюджет'!E19+'місц.-районн.бюджет'!E19+обласний!E19+інші!E19</f>
        <v>12934.4</v>
      </c>
      <c r="F19" s="93">
        <f aca="true" t="shared" si="14" ref="F19:F31">E19/D19*100</f>
        <v>64.44611636215066</v>
      </c>
      <c r="G19" s="95">
        <f>'насел.'!G19+пільги!G19+субсидії!G19+'держ.бюджет'!G19+'місц.-районн.бюджет'!G19+обласний!G19+інші!G19</f>
        <v>20626.1</v>
      </c>
      <c r="H19" s="95">
        <f>'насел.'!H19+пільги!H19+субсидії!H19+'держ.бюджет'!H19+'місц.-районн.бюджет'!H19+обласний!H19+інші!H19</f>
        <v>16213.4</v>
      </c>
      <c r="I19" s="93">
        <f aca="true" t="shared" si="15" ref="I19:I31">H19/G19*100</f>
        <v>78.60623191005571</v>
      </c>
      <c r="J19" s="95">
        <f>'насел.'!J19+пільги!J19+субсидії!J19+'держ.бюджет'!J19+'місц.-районн.бюджет'!J19+обласний!J19+інші!J19</f>
        <v>18588.6</v>
      </c>
      <c r="K19" s="95">
        <f>'насел.'!K19+пільги!K19+субсидії!K19+'держ.бюджет'!K19+'місц.-районн.бюджет'!K19+обласний!K19+інші!K19</f>
        <v>17419.9</v>
      </c>
      <c r="L19" s="93">
        <f aca="true" t="shared" si="16" ref="L19:L31">K19/J19*100</f>
        <v>93.71281322961387</v>
      </c>
      <c r="M19" s="93">
        <f>'насел.'!M19+пільги!M19+субсидії!M19+'держ.бюджет'!M19+'місц.-районн.бюджет'!M19+обласний!M19+інші!M19</f>
        <v>59284.799999999996</v>
      </c>
      <c r="N19" s="93">
        <f>'насел.'!N19+пільги!N19+субсидії!N19+'держ.бюджет'!N19+'місц.-районн.бюджет'!N19+обласний!N19+інші!N19</f>
        <v>46567.7</v>
      </c>
      <c r="O19" s="93">
        <f aca="true" t="shared" si="17" ref="O19:O31">N19/M19*100</f>
        <v>78.54913907106037</v>
      </c>
      <c r="P19" s="95">
        <f>'насел.'!P19+пільги!P19+субсидії!P19+'держ.бюджет'!P19+'місц.-районн.бюджет'!P19+обласний!P19+інші!P19</f>
        <v>7116.699999999999</v>
      </c>
      <c r="Q19" s="95">
        <f>'насел.'!Q19+пільги!Q19+субсидії!Q19+'держ.бюджет'!Q19+'місц.-районн.бюджет'!Q19+обласний!Q19+інші!Q19</f>
        <v>12501.199999999999</v>
      </c>
      <c r="R19" s="95">
        <f aca="true" t="shared" si="18" ref="R19:R31">Q19/P19*100</f>
        <v>175.66006716596178</v>
      </c>
      <c r="S19" s="95">
        <f>'насел.'!S19+пільги!S19+субсидії!S19+'держ.бюджет'!S19+'місц.-районн.бюджет'!S19+обласний!S19+інші!S19</f>
        <v>1618.3</v>
      </c>
      <c r="T19" s="95">
        <f>'насел.'!T19+пільги!T19+субсидії!T19+'держ.бюджет'!T19+'місц.-районн.бюджет'!T19+обласний!T19+інші!T19</f>
        <v>6538.7</v>
      </c>
      <c r="U19" s="93">
        <f aca="true" t="shared" si="19" ref="U19:U31">T19/S19*100</f>
        <v>404.04745720818147</v>
      </c>
      <c r="V19" s="95">
        <f>'насел.'!V19+пільги!V19+субсидії!V19+'держ.бюджет'!V19+'місц.-районн.бюджет'!V19+обласний!V19+інші!V19</f>
        <v>1619.1999999999998</v>
      </c>
      <c r="W19" s="95">
        <f>'насел.'!W19+пільги!W19+субсидії!W19+'держ.бюджет'!W19+'місц.-районн.бюджет'!W19+обласний!W19+інші!W19</f>
        <v>4585</v>
      </c>
      <c r="X19" s="93">
        <f aca="true" t="shared" si="20" ref="X19:X31">W19/V19*100</f>
        <v>283.1645256916997</v>
      </c>
      <c r="Y19" s="95">
        <f>'насел.'!Y19+пільги!Y19+субсидії!Y19+'держ.бюджет'!Y19+'місц.-районн.бюджет'!Y19+обласний!Y19+інші!Y19</f>
        <v>10354.199999999999</v>
      </c>
      <c r="Z19" s="95">
        <f>'насел.'!Z19+пільги!Z19+субсидії!Z19+'держ.бюджет'!Z19+'місц.-районн.бюджет'!Z19+обласний!Z19+інші!Z19</f>
        <v>23624.899999999998</v>
      </c>
      <c r="AA19" s="93">
        <f aca="true" t="shared" si="21" ref="AA19:AA31">Z19/Y19*100</f>
        <v>228.1673137470785</v>
      </c>
      <c r="AB19" s="95">
        <f>'насел.'!AB19+пільги!AB19+субсидії!AB19+'держ.бюджет'!AB19+'місц.-районн.бюджет'!AB19+обласний!AB19+інші!AB19</f>
        <v>1617.6000000000001</v>
      </c>
      <c r="AC19" s="95">
        <f>'насел.'!AC19+пільги!AC19+субсидії!AC19+'держ.бюджет'!AC19+'місц.-районн.бюджет'!AC19+обласний!AC19+інші!AC19</f>
        <v>3196.7</v>
      </c>
      <c r="AD19" s="93">
        <f aca="true" t="shared" si="22" ref="AD19:AD31">AC19/AB19*100</f>
        <v>197.61993076162213</v>
      </c>
      <c r="AE19" s="95">
        <f>'насел.'!AE19+пільги!AE19+субсидії!AE19+'держ.бюджет'!AE19+'місц.-районн.бюджет'!AE19+обласний!AE19+інші!AE19</f>
        <v>1619.2</v>
      </c>
      <c r="AF19" s="95">
        <f>'насел.'!AF19+пільги!AF19+субсидії!AF19+'держ.бюджет'!AF19+'місц.-районн.бюджет'!AF19+обласний!AF19+інші!AF19</f>
        <v>2234.9999999999995</v>
      </c>
      <c r="AG19" s="93">
        <f aca="true" t="shared" si="23" ref="AG19:AG31">AF19/AE19*100</f>
        <v>138.0311264822134</v>
      </c>
      <c r="AH19" s="95">
        <f>'насел.'!AH19+пільги!AH19+субсидії!AH19+'держ.бюджет'!AH19+'місц.-районн.бюджет'!AH19+обласний!AH19+інші!AH19</f>
        <v>0</v>
      </c>
      <c r="AI19" s="95">
        <f>'насел.'!AI19+пільги!AI19+субсидії!AI19+'держ.бюджет'!AI19+'місц.-районн.бюджет'!AI19+обласний!AI19+інші!AI19</f>
        <v>0</v>
      </c>
      <c r="AJ19" s="93" t="e">
        <f aca="true" t="shared" si="24" ref="AJ19:AJ31">AI19/AH19*100</f>
        <v>#DIV/0!</v>
      </c>
      <c r="AK19" s="55">
        <f>'насел.'!AK19+пільги!AR19+субсидії!AK19+'держ.бюджет'!AK19+'місц.-районн.бюджет'!AK19+обласний!AK19+інші!AK19</f>
        <v>3236.8</v>
      </c>
      <c r="AL19" s="95">
        <f>'насел.'!AL19+пільги!AK19+субсидії!AL19+'держ.бюджет'!AL19+'місц.-районн.бюджет'!AL19+обласний!AL19+інші!AL19</f>
        <v>5431.700000000001</v>
      </c>
      <c r="AM19" s="95">
        <f aca="true" t="shared" si="25" ref="AM19:AM31">AL19/AK19*100</f>
        <v>167.8108007909046</v>
      </c>
      <c r="AN19" s="55">
        <f>'насел.'!AN19+пільги!AN19+субсидії!AN19+'держ.бюджет'!AN19+'місц.-районн.бюджет'!AN19+обласний!AN19+інші!AN19</f>
        <v>0</v>
      </c>
      <c r="AO19" s="95">
        <f>'насел.'!AO19+пільги!AN19+субсидії!AO19+'держ.бюджет'!AO19+'місц.-районн.бюджет'!AO19+обласний!AO19+інші!AO19</f>
        <v>0</v>
      </c>
      <c r="AP19" s="95">
        <f>'насел.'!AP19+пільги!AO19+субсидії!AP19+'держ.бюджет'!AP19+'місц.-районн.бюджет'!AP19+обласний!AP19+інші!AP19</f>
        <v>0</v>
      </c>
      <c r="AQ19" s="95">
        <f>'насел.'!AQ19+пільги!AP19+субсидії!AQ19+'держ.бюджет'!AQ19+'місц.-районн.бюджет'!AQ19+обласний!AQ19+інші!AQ19</f>
        <v>0</v>
      </c>
      <c r="AR19" s="95">
        <f>'насел.'!AR19+пільги!AQ19+субсидії!AR19+'держ.бюджет'!AR19+'місц.-районн.бюджет'!AR19+обласний!AR19+інші!AR19</f>
        <v>0</v>
      </c>
      <c r="AS19" s="95">
        <f>'насел.'!AS19+пільги!AR19+субсидії!AS19+'держ.бюджет'!AS19+'місц.-районн.бюджет'!AS19+обласний!AS19+інші!AS19</f>
        <v>0</v>
      </c>
      <c r="AT19" s="95">
        <f>'насел.'!AT19+пільги!AT19+субсидії!AT19+'держ.бюджет'!AT19+'місц.-районн.бюджет'!AT19+обласний!AT19+інші!AT19</f>
        <v>72875.8</v>
      </c>
      <c r="AU19" s="95">
        <f>'насел.'!AU19+пільги!AU19+субсидії!AU19+'держ.бюджет'!AU19+'місц.-районн.бюджет'!AU19+обласний!AU19+інші!AU19</f>
        <v>75624.3</v>
      </c>
      <c r="AV19" s="93">
        <f aca="true" t="shared" si="26" ref="AV19:AV31">AU19/AT19*100</f>
        <v>103.7714851843822</v>
      </c>
      <c r="AW19" s="95">
        <f t="shared" si="13"/>
        <v>-2748.5</v>
      </c>
      <c r="AX19" s="130">
        <f>'насел.'!AX19+пільги!AX19+субсидії!AX19+'держ.бюджет'!AX19+'місц.-районн.бюджет'!AX19+обласний!AX19+інші!AX19</f>
        <v>45655.50000000002</v>
      </c>
      <c r="AY19" s="124"/>
      <c r="AZ19" s="124"/>
      <c r="BA19" s="124"/>
      <c r="BB19" s="124"/>
    </row>
    <row r="20" spans="1:54" ht="34.5" customHeight="1" hidden="1">
      <c r="A20" s="48" t="s">
        <v>3</v>
      </c>
      <c r="B20" s="89" t="s">
        <v>100</v>
      </c>
      <c r="C20" s="95">
        <f>'насел.'!C20+пільги!C20+субсидії!C20+'держ.бюджет'!C20+'місц.-районн.бюджет'!C20+обласний!C20+інші!C20</f>
        <v>0</v>
      </c>
      <c r="D20" s="95">
        <f>'насел.'!D20+пільги!D20+субсидії!D20+'держ.бюджет'!D20+'місц.-районн.бюджет'!D20+обласний!D20+інші!D20</f>
        <v>0</v>
      </c>
      <c r="E20" s="95">
        <f>'насел.'!E20+пільги!E20+субсидії!E20+'держ.бюджет'!E20+'місц.-районн.бюджет'!E20+обласний!E20+інші!E20</f>
        <v>0</v>
      </c>
      <c r="F20" s="93" t="e">
        <f t="shared" si="14"/>
        <v>#DIV/0!</v>
      </c>
      <c r="G20" s="95">
        <f>'насел.'!G20+пільги!G20+субсидії!G20+'держ.бюджет'!G20+'місц.-районн.бюджет'!G20+обласний!G20+інші!G20</f>
        <v>0</v>
      </c>
      <c r="H20" s="95">
        <f>'насел.'!H20+пільги!H20+субсидії!H20+'держ.бюджет'!H20+'місц.-районн.бюджет'!H20+обласний!H20+інші!H20</f>
        <v>0</v>
      </c>
      <c r="I20" s="93" t="e">
        <f t="shared" si="15"/>
        <v>#DIV/0!</v>
      </c>
      <c r="J20" s="95">
        <f>'насел.'!J20+пільги!J20+субсидії!J20+'держ.бюджет'!J20+'місц.-районн.бюджет'!J20+обласний!J20+інші!J20</f>
        <v>0</v>
      </c>
      <c r="K20" s="95">
        <f>'насел.'!K20+пільги!K20+субсидії!K20+'держ.бюджет'!K20+'місц.-районн.бюджет'!K20+обласний!K20+інші!K20</f>
        <v>0</v>
      </c>
      <c r="L20" s="93" t="e">
        <f t="shared" si="16"/>
        <v>#DIV/0!</v>
      </c>
      <c r="M20" s="93">
        <f>'насел.'!M20+пільги!M20+субсидії!M20+'держ.бюджет'!M20+'місц.-районн.бюджет'!M20+обласний!M20+інші!M20</f>
        <v>0</v>
      </c>
      <c r="N20" s="93">
        <f>'насел.'!N20+пільги!N20+субсидії!N20+'держ.бюджет'!N20+'місц.-районн.бюджет'!N20+обласний!N20+інші!N20</f>
        <v>0</v>
      </c>
      <c r="O20" s="93" t="e">
        <f t="shared" si="17"/>
        <v>#DIV/0!</v>
      </c>
      <c r="P20" s="95">
        <f>'насел.'!P20+пільги!P20+субсидії!P20+'держ.бюджет'!P20+'місц.-районн.бюджет'!P20+обласний!P20+інші!P20</f>
        <v>0</v>
      </c>
      <c r="Q20" s="95">
        <f>'насел.'!Q20+пільги!Q20+субсидії!Q20+'держ.бюджет'!Q20+'місц.-районн.бюджет'!Q20+обласний!Q20+інші!Q20</f>
        <v>0</v>
      </c>
      <c r="R20" s="95" t="e">
        <f t="shared" si="18"/>
        <v>#DIV/0!</v>
      </c>
      <c r="S20" s="95">
        <f>'насел.'!S20+пільги!S20+субсидії!S20+'держ.бюджет'!S20+'місц.-районн.бюджет'!S20+обласний!S20+інші!S20</f>
        <v>0</v>
      </c>
      <c r="T20" s="95">
        <f>'насел.'!T20+пільги!T20+субсидії!T20+'держ.бюджет'!T20+'місц.-районн.бюджет'!T20+обласний!T20+інші!T20</f>
        <v>0</v>
      </c>
      <c r="U20" s="93" t="e">
        <f t="shared" si="19"/>
        <v>#DIV/0!</v>
      </c>
      <c r="V20" s="95">
        <f>'насел.'!V20+пільги!V20+субсидії!V20+'держ.бюджет'!V20+'місц.-районн.бюджет'!V20+обласний!V20+інші!V20</f>
        <v>0</v>
      </c>
      <c r="W20" s="95">
        <f>'насел.'!W20+пільги!W20+субсидії!W20+'держ.бюджет'!W20+'місц.-районн.бюджет'!W20+обласний!W20+інші!W20</f>
        <v>0</v>
      </c>
      <c r="X20" s="93" t="e">
        <f t="shared" si="20"/>
        <v>#DIV/0!</v>
      </c>
      <c r="Y20" s="95">
        <f>'насел.'!Y20+пільги!Y20+субсидії!Y20+'держ.бюджет'!Y20+'місц.-районн.бюджет'!Y20+обласний!Y20+інші!Y20</f>
        <v>0</v>
      </c>
      <c r="Z20" s="95">
        <f>'насел.'!Z20+пільги!Z20+субсидії!Z20+'держ.бюджет'!Z20+'місц.-районн.бюджет'!Z20+обласний!Z20+інші!Z20</f>
        <v>0</v>
      </c>
      <c r="AA20" s="93" t="e">
        <f t="shared" si="21"/>
        <v>#DIV/0!</v>
      </c>
      <c r="AB20" s="95">
        <f>'насел.'!AB20+пільги!AB20+субсидії!AB20+'держ.бюджет'!AB20+'місц.-районн.бюджет'!AB20+обласний!AB20+інші!AB20</f>
        <v>0</v>
      </c>
      <c r="AC20" s="95">
        <f>'насел.'!AC20+пільги!AC20+субсидії!AC20+'держ.бюджет'!AC20+'місц.-районн.бюджет'!AC20+обласний!AC20+інші!AC20</f>
        <v>0</v>
      </c>
      <c r="AD20" s="93" t="e">
        <f t="shared" si="22"/>
        <v>#DIV/0!</v>
      </c>
      <c r="AE20" s="95">
        <f>'насел.'!AE20+пільги!AE20+субсидії!AE20+'держ.бюджет'!AE20+'місц.-районн.бюджет'!AE20+обласний!AE20+інші!AE20</f>
        <v>0</v>
      </c>
      <c r="AF20" s="95">
        <f>'насел.'!AF20+пільги!AF20+субсидії!AF20+'держ.бюджет'!AF20+'місц.-районн.бюджет'!AF20+обласний!AF20+інші!AF20</f>
        <v>0</v>
      </c>
      <c r="AG20" s="93" t="e">
        <f t="shared" si="23"/>
        <v>#DIV/0!</v>
      </c>
      <c r="AH20" s="95">
        <f>'насел.'!AH20+пільги!AH20+субсидії!AH20+'держ.бюджет'!AH20+'місц.-районн.бюджет'!AH20+обласний!AH20+інші!AH20</f>
        <v>0</v>
      </c>
      <c r="AI20" s="95">
        <f>'насел.'!AI20+пільги!AI20+субсидії!AI20+'держ.бюджет'!AI20+'місц.-районн.бюджет'!AI20+обласний!AI20+інші!AI20</f>
        <v>0</v>
      </c>
      <c r="AJ20" s="93" t="e">
        <f t="shared" si="24"/>
        <v>#DIV/0!</v>
      </c>
      <c r="AK20" s="55">
        <f>'насел.'!AK20+пільги!AR20+субсидії!AK20+'держ.бюджет'!AK20+'місц.-районн.бюджет'!AK20+обласний!AK20+інші!AK20</f>
        <v>0</v>
      </c>
      <c r="AL20" s="95">
        <f>'насел.'!AL20+пільги!AK20+субсидії!AL20+'держ.бюджет'!AL20+'місц.-районн.бюджет'!AL20+обласний!AL20+інші!AL20</f>
        <v>0</v>
      </c>
      <c r="AM20" s="95" t="e">
        <f t="shared" si="25"/>
        <v>#DIV/0!</v>
      </c>
      <c r="AN20" s="55">
        <f>'насел.'!AN20+пільги!AN20+субсидії!AN20+'держ.бюджет'!AN20+'місц.-районн.бюджет'!AN20+обласний!AN20+інші!AN20</f>
        <v>0</v>
      </c>
      <c r="AO20" s="95">
        <f>'насел.'!AO20+пільги!AN20+субсидії!AO20+'держ.бюджет'!AO20+'місц.-районн.бюджет'!AO20+обласний!AO20+інші!AO20</f>
        <v>0</v>
      </c>
      <c r="AP20" s="95">
        <f>'насел.'!AP20+пільги!AO20+субсидії!AP20+'держ.бюджет'!AP20+'місц.-районн.бюджет'!AP20+обласний!AP20+інші!AP20</f>
        <v>0</v>
      </c>
      <c r="AQ20" s="95">
        <f>'насел.'!AQ20+пільги!AP20+субсидії!AQ20+'держ.бюджет'!AQ20+'місц.-районн.бюджет'!AQ20+обласний!AQ20+інші!AQ20</f>
        <v>0</v>
      </c>
      <c r="AR20" s="95">
        <f>'насел.'!AR20+пільги!AQ20+субсидії!AR20+'держ.бюджет'!AR20+'місц.-районн.бюджет'!AR20+обласний!AR20+інші!AR20</f>
        <v>0</v>
      </c>
      <c r="AS20" s="95">
        <f>'насел.'!AS20+пільги!AR20+субсидії!AS20+'держ.бюджет'!AS20+'місц.-районн.бюджет'!AS20+обласний!AS20+інші!AS20</f>
        <v>0</v>
      </c>
      <c r="AT20" s="95">
        <f>'насел.'!AT20+пільги!AT20+субсидії!AT20+'держ.бюджет'!AT20+'місц.-районн.бюджет'!AT20+обласний!AT20+інші!AT20</f>
        <v>0</v>
      </c>
      <c r="AU20" s="95">
        <f>'насел.'!AU20+пільги!AU20+субсидії!AU20+'держ.бюджет'!AU20+'місц.-районн.бюджет'!AU20+обласний!AU20+інші!AU20</f>
        <v>0</v>
      </c>
      <c r="AV20" s="93" t="e">
        <f t="shared" si="26"/>
        <v>#DIV/0!</v>
      </c>
      <c r="AW20" s="95">
        <f t="shared" si="13"/>
        <v>0</v>
      </c>
      <c r="AX20" s="130">
        <f>'насел.'!AX20+пільги!AX20+субсидії!AX20+'держ.бюджет'!AX20+'місц.-районн.бюджет'!AX20+обласний!AX20+інші!AX20</f>
        <v>0</v>
      </c>
      <c r="AY20" s="124"/>
      <c r="AZ20" s="124"/>
      <c r="BA20" s="124"/>
      <c r="BB20" s="124"/>
    </row>
    <row r="21" spans="1:54" s="135" customFormat="1" ht="34.5" customHeight="1">
      <c r="A21" s="134" t="s">
        <v>6</v>
      </c>
      <c r="B21" s="51" t="s">
        <v>151</v>
      </c>
      <c r="C21" s="95">
        <f>'насел.'!C21+пільги!C21+субсидії!C21+'держ.бюджет'!C21+'місц.-районн.бюджет'!C21+обласний!C21+інші!C21</f>
        <v>-170.6</v>
      </c>
      <c r="D21" s="95">
        <f>'насел.'!D21+пільги!D21+субсидії!D21+'держ.бюджет'!D21+'місц.-районн.бюджет'!D21+обласний!D21+інші!D21</f>
        <v>604.7</v>
      </c>
      <c r="E21" s="95">
        <f>'насел.'!E21+пільги!E21+субсидії!E21+'держ.бюджет'!E21+'місц.-районн.бюджет'!E21+обласний!E21+інші!E21</f>
        <v>434.1</v>
      </c>
      <c r="F21" s="93">
        <f t="shared" si="14"/>
        <v>71.78766330411774</v>
      </c>
      <c r="G21" s="95">
        <f>'насел.'!G21+пільги!G21+субсидії!G21+'держ.бюджет'!G21+'місц.-районн.бюджет'!G21+обласний!G21+інші!G21</f>
        <v>669.3</v>
      </c>
      <c r="H21" s="95">
        <f>'насел.'!H21+пільги!H21+субсидії!H21+'держ.бюджет'!H21+'місц.-районн.бюджет'!H21+обласний!H21+інші!H21</f>
        <v>0</v>
      </c>
      <c r="I21" s="93">
        <f t="shared" si="15"/>
        <v>0</v>
      </c>
      <c r="J21" s="95">
        <f>'насел.'!J21+пільги!J21+субсидії!J21+'держ.бюджет'!J21+'місц.-районн.бюджет'!J21+обласний!J21+інші!J21</f>
        <v>715</v>
      </c>
      <c r="K21" s="95">
        <f>'насел.'!K21+пільги!K21+субсидії!K21+'держ.бюджет'!K21+'місц.-районн.бюджет'!K21+обласний!K21+інші!K21</f>
        <v>669.3</v>
      </c>
      <c r="L21" s="94">
        <f t="shared" si="16"/>
        <v>93.6083916083916</v>
      </c>
      <c r="M21" s="93">
        <f>'насел.'!M21+пільги!M21+субсидії!M21+'держ.бюджет'!M21+'місц.-районн.бюджет'!M21+обласний!M21+інші!M21</f>
        <v>1989</v>
      </c>
      <c r="N21" s="93">
        <f>'насел.'!N21+пільги!N21+субсидії!N21+'держ.бюджет'!N21+'місц.-районн.бюджет'!N21+обласний!N21+інші!N21</f>
        <v>1103.4</v>
      </c>
      <c r="O21" s="93">
        <f t="shared" si="17"/>
        <v>55.47511312217195</v>
      </c>
      <c r="P21" s="95">
        <f>'насел.'!P21+пільги!P21+субсидії!P21+'держ.бюджет'!P21+'місц.-районн.бюджет'!P21+обласний!P21+інші!P21</f>
        <v>429.4</v>
      </c>
      <c r="Q21" s="95">
        <f>'насел.'!Q21+пільги!Q21+субсидії!Q21+'держ.бюджет'!Q21+'місц.-районн.бюджет'!Q21+обласний!Q21+інші!Q21</f>
        <v>715</v>
      </c>
      <c r="R21" s="95">
        <f t="shared" si="18"/>
        <v>166.5114112715417</v>
      </c>
      <c r="S21" s="95">
        <f>'насел.'!S21+пільги!S21+субсидії!S21+'держ.бюджет'!S21+'місц.-районн.бюджет'!S21+обласний!S21+інші!S21</f>
        <v>229.4</v>
      </c>
      <c r="T21" s="95">
        <f>'насел.'!T21+пільги!T21+субсидії!T21+'держ.бюджет'!T21+'місц.-районн.бюджет'!T21+обласний!T21+інші!T21</f>
        <v>429.4</v>
      </c>
      <c r="U21" s="171">
        <f t="shared" si="19"/>
        <v>187.18395815170007</v>
      </c>
      <c r="V21" s="95">
        <f>'насел.'!V21+пільги!V21+субсидії!V21+'держ.бюджет'!V21+'місц.-районн.бюджет'!V21+обласний!V21+інші!V21</f>
        <v>229.4</v>
      </c>
      <c r="W21" s="95">
        <f>'насел.'!W21+пільги!W21+субсидії!W21+'держ.бюджет'!W21+'місц.-районн.бюджет'!W21+обласний!W21+інші!W21</f>
        <v>229.4</v>
      </c>
      <c r="X21" s="171">
        <f t="shared" si="20"/>
        <v>100</v>
      </c>
      <c r="Y21" s="95">
        <f>'насел.'!Y21+пільги!Y21+субсидії!Y21+'держ.бюджет'!Y21+'місц.-районн.бюджет'!Y21+обласний!Y21+інші!Y21</f>
        <v>888.1999999999999</v>
      </c>
      <c r="Z21" s="95">
        <f>'насел.'!Z21+пільги!Z21+субсидії!Z21+'держ.бюджет'!Z21+'місц.-районн.бюджет'!Z21+обласний!Z21+інші!Z21</f>
        <v>1373.8000000000002</v>
      </c>
      <c r="AA21" s="93">
        <f t="shared" si="21"/>
        <v>154.67237108759292</v>
      </c>
      <c r="AB21" s="95">
        <f>'насел.'!AB21+пільги!AB21+субсидії!AB21+'держ.бюджет'!AB21+'місц.-районн.бюджет'!AB21+обласний!AB21+інші!AB21</f>
        <v>229.4</v>
      </c>
      <c r="AC21" s="95">
        <f>'насел.'!AC21+пільги!AC21+субсидії!AC21+'держ.бюджет'!AC21+'місц.-районн.бюджет'!AC21+обласний!AC21+інші!AC21</f>
        <v>229.4</v>
      </c>
      <c r="AD21" s="171">
        <f t="shared" si="22"/>
        <v>100</v>
      </c>
      <c r="AE21" s="95">
        <f>'насел.'!AE21+пільги!AE21+субсидії!AE21+'держ.бюджет'!AE21+'місц.-районн.бюджет'!AE21+обласний!AE21+інші!AE21</f>
        <v>229.4</v>
      </c>
      <c r="AF21" s="95">
        <f>'насел.'!AF21+пільги!AF21+субсидії!AF21+'держ.бюджет'!AF21+'місц.-районн.бюджет'!AF21+обласний!AF21+інші!AF21</f>
        <v>229.4</v>
      </c>
      <c r="AG21" s="93">
        <f t="shared" si="23"/>
        <v>100</v>
      </c>
      <c r="AH21" s="95">
        <f>'насел.'!AH21+пільги!AH21+субсидії!AH21+'держ.бюджет'!AH21+'місц.-районн.бюджет'!AH21+обласний!AH21+інші!AH21</f>
        <v>0</v>
      </c>
      <c r="AI21" s="95">
        <f>'насел.'!AI21+пільги!AI21+субсидії!AI21+'держ.бюджет'!AI21+'місц.-районн.бюджет'!AI21+обласний!AI21+інші!AI21</f>
        <v>0</v>
      </c>
      <c r="AJ21" s="93" t="e">
        <f t="shared" si="24"/>
        <v>#DIV/0!</v>
      </c>
      <c r="AK21" s="55">
        <f>'насел.'!AK21+пільги!AR21+субсидії!AK21+'держ.бюджет'!AK21+'місц.-районн.бюджет'!AK21+обласний!AK21+інші!AK21</f>
        <v>458.8</v>
      </c>
      <c r="AL21" s="95">
        <f>'насел.'!AL21+пільги!AK21+субсидії!AL21+'держ.бюджет'!AL21+'місц.-районн.бюджет'!AL21+обласний!AL21+інші!AL21</f>
        <v>458.8</v>
      </c>
      <c r="AM21" s="95">
        <f t="shared" si="25"/>
        <v>100</v>
      </c>
      <c r="AN21" s="55">
        <f>'насел.'!AN21+пільги!AN21+субсидії!AN21+'держ.бюджет'!AN21+'місц.-районн.бюджет'!AN21+обласний!AN21+інші!AN21</f>
        <v>0</v>
      </c>
      <c r="AO21" s="95">
        <f>'насел.'!AO21+пільги!AN21+субсидії!AO21+'держ.бюджет'!AO21+'місц.-районн.бюджет'!AO21+обласний!AO21+інші!AO21</f>
        <v>0</v>
      </c>
      <c r="AP21" s="95">
        <f>'насел.'!AP21+пільги!AO21+субсидії!AP21+'держ.бюджет'!AP21+'місц.-районн.бюджет'!AP21+обласний!AP21+інші!AP21</f>
        <v>0</v>
      </c>
      <c r="AQ21" s="95">
        <f>'насел.'!AQ21+пільги!AP21+субсидії!AQ21+'держ.бюджет'!AQ21+'місц.-районн.бюджет'!AQ21+обласний!AQ21+інші!AQ21</f>
        <v>0</v>
      </c>
      <c r="AR21" s="95">
        <f>'насел.'!AR21+пільги!AQ21+субсидії!AR21+'держ.бюджет'!AR21+'місц.-районн.бюджет'!AR21+обласний!AR21+інші!AR21</f>
        <v>0</v>
      </c>
      <c r="AS21" s="95">
        <f>'насел.'!AS21+пільги!AR21+субсидії!AS21+'держ.бюджет'!AS21+'місц.-районн.бюджет'!AS21+обласний!AS21+інші!AS21</f>
        <v>0</v>
      </c>
      <c r="AT21" s="95">
        <f>'насел.'!AT21+пільги!AT21+субсидії!AT21+'держ.бюджет'!AT21+'місц.-районн.бюджет'!AT21+обласний!AT21+інші!AT21</f>
        <v>3336</v>
      </c>
      <c r="AU21" s="95">
        <f>'насел.'!AU21+пільги!AU21+субсидії!AU21+'держ.бюджет'!AU21+'місц.-районн.бюджет'!AU21+обласний!AU21+інші!AU21</f>
        <v>2936.0000000000005</v>
      </c>
      <c r="AV21" s="93">
        <f t="shared" si="26"/>
        <v>88.00959232613911</v>
      </c>
      <c r="AW21" s="95">
        <f t="shared" si="13"/>
        <v>399.99999999999955</v>
      </c>
      <c r="AX21" s="130">
        <f>'насел.'!AX21+пільги!AX21+субсидії!AX21+'держ.бюджет'!AX21+'місц.-районн.бюджет'!AX21+обласний!AX21+інші!AX21</f>
        <v>229.39999999999964</v>
      </c>
      <c r="AY21" s="124"/>
      <c r="AZ21" s="124"/>
      <c r="BA21" s="124"/>
      <c r="BB21" s="124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30">
        <f>'насел.'!AX22+пільги!AX22+субсидії!AX22+'держ.бюджет'!AX22+'місц.-районн.бюджет'!AX22+обласний!AX22+інші!AX22</f>
        <v>0</v>
      </c>
      <c r="AY22" s="124"/>
      <c r="AZ22" s="124"/>
      <c r="BA22" s="124"/>
      <c r="BB22" s="124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15981.7</v>
      </c>
      <c r="K23" s="55">
        <f>'насел.'!K23+пільги!K23+субсидії!K23+'держ.бюджет'!K23+'місц.-районн.бюджет'!K23+обласний!K23+інші!K23</f>
        <v>18912.5</v>
      </c>
      <c r="L23" s="56">
        <f t="shared" si="16"/>
        <v>118.33847463035848</v>
      </c>
      <c r="M23" s="56">
        <f>'насел.'!M23+пільги!M23+субсидії!M23+'держ.бюджет'!M23+'місц.-районн.бюджет'!M23+обласний!M23+інші!M23</f>
        <v>55617.4</v>
      </c>
      <c r="N23" s="56">
        <f>'насел.'!N23+пільги!N23+субсидії!N23+'держ.бюджет'!N23+'місц.-районн.бюджет'!N23+обласний!N23+інші!N23</f>
        <v>39605.5</v>
      </c>
      <c r="O23" s="56">
        <f t="shared" si="17"/>
        <v>71.21062832854467</v>
      </c>
      <c r="P23" s="55">
        <f>'насел.'!P23+пільги!P23+субсидії!P23+'держ.бюджет'!P23+'місц.-районн.бюджет'!P23+обласний!P23+інші!P23</f>
        <v>2437</v>
      </c>
      <c r="Q23" s="55">
        <f>'насел.'!Q23+пільги!Q23+субсидії!Q23+'держ.бюджет'!Q23+'місц.-районн.бюджет'!Q23+обласний!Q23+інші!Q23</f>
        <v>13250.9</v>
      </c>
      <c r="R23" s="55">
        <f t="shared" si="18"/>
        <v>543.7382027082479</v>
      </c>
      <c r="S23" s="55">
        <f>'насел.'!S23+пільги!S23+субсидії!S23+'держ.бюджет'!S23+'місц.-районн.бюджет'!S23+обласний!S23+інші!S23</f>
        <v>-231.9</v>
      </c>
      <c r="T23" s="55">
        <f>'насел.'!T23+пільги!T23+субсидії!T23+'держ.бюджет'!T23+'місц.-районн.бюджет'!T23+обласний!T23+інші!T23</f>
        <v>6575.799999999999</v>
      </c>
      <c r="U23" s="56">
        <f t="shared" si="19"/>
        <v>-2835.6188012074167</v>
      </c>
      <c r="V23" s="55">
        <f>'насел.'!V23+пільги!V23+субсидії!V23+'держ.бюджет'!V23+'місц.-районн.бюджет'!V23+обласний!V23+інші!V23</f>
        <v>-26</v>
      </c>
      <c r="W23" s="55">
        <f>'насел.'!W23+пільги!W23+субсидії!W23+'держ.бюджет'!W23+'місц.-районн.бюджет'!W23+обласний!W23+інші!W23</f>
        <v>1945.3</v>
      </c>
      <c r="X23" s="56">
        <f t="shared" si="20"/>
        <v>-7481.923076923077</v>
      </c>
      <c r="Y23" s="55">
        <f>'насел.'!Y23+пільги!Y23+субсидії!Y23+'держ.бюджет'!Y23+'місц.-районн.бюджет'!Y23+обласний!Y23+інші!Y23</f>
        <v>2179.1</v>
      </c>
      <c r="Z23" s="55">
        <f>'насел.'!Z23+пільги!Z23+субсидії!Z23+'держ.бюджет'!Z23+'місц.-районн.бюджет'!Z23+обласний!Z23+інші!Z23</f>
        <v>21772.000000000004</v>
      </c>
      <c r="AA23" s="56">
        <f t="shared" si="21"/>
        <v>999.1280804001655</v>
      </c>
      <c r="AB23" s="55">
        <f>'насел.'!AB23+пільги!AB23+субсидії!AB23+'держ.бюджет'!AB23+'місц.-районн.бюджет'!AB23+обласний!AB23+інші!AB23</f>
        <v>-17.3</v>
      </c>
      <c r="AC23" s="55">
        <f>'насел.'!AC23+пільги!AC23+субсидії!AC23+'держ.бюджет'!AC23+'місц.-районн.бюджет'!AC23+обласний!AC23+інші!AC23</f>
        <v>1807.8000000000002</v>
      </c>
      <c r="AD23" s="56">
        <f t="shared" si="22"/>
        <v>-10449.71098265896</v>
      </c>
      <c r="AE23" s="55">
        <f>'насел.'!AE23+пільги!AE23+субсидії!AE23+'держ.бюджет'!AE23+'місц.-районн.бюджет'!AE23+обласний!AE23+інші!AE23</f>
        <v>-16.6</v>
      </c>
      <c r="AF23" s="55">
        <f>'насел.'!AF23+пільги!AF23+субсидії!AF23+'держ.бюджет'!AF23+'місц.-районн.бюджет'!AF23+обласний!AF23+інші!AF23</f>
        <v>1552.8999999999999</v>
      </c>
      <c r="AG23" s="56">
        <f t="shared" si="23"/>
        <v>-9354.819277108432</v>
      </c>
      <c r="AH23" s="55">
        <f>'насел.'!AH23+пільги!AH23+субсидії!AH23+'держ.бюджет'!AH23+'місц.-районн.бюджет'!AH23+обласний!AH23+інші!AH23</f>
        <v>0</v>
      </c>
      <c r="AI23" s="55">
        <f>'насел.'!AI23+пільги!AI23+субсидії!AI23+'держ.бюджет'!AI23+'місц.-районн.бюджет'!AI23+обласний!AI23+інші!AI23</f>
        <v>0</v>
      </c>
      <c r="AJ23" s="56" t="e">
        <f t="shared" si="24"/>
        <v>#DIV/0!</v>
      </c>
      <c r="AK23" s="55">
        <f>'насел.'!AK23+пільги!AR23+субсидії!AK23+'держ.бюджет'!AK23+'місц.-районн.бюджет'!AK23+обласний!AK23+інші!AK23</f>
        <v>-33.900000000000006</v>
      </c>
      <c r="AL23" s="55">
        <f>'насел.'!AL23+пільги!AK23+субсидії!AL23+'держ.бюджет'!AL23+'місц.-районн.бюджет'!AL23+обласний!AL23+інші!AL23</f>
        <v>3360.7</v>
      </c>
      <c r="AM23" s="55">
        <f t="shared" si="25"/>
        <v>-9913.569321533922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57762.6</v>
      </c>
      <c r="AU23" s="55">
        <f>'насел.'!AU23+пільги!AU23+субсидії!AU23+'держ.бюджет'!AU23+'місц.-районн.бюджет'!AU23+обласний!AU23+інші!AU23</f>
        <v>64738.2</v>
      </c>
      <c r="AV23" s="56">
        <f t="shared" si="26"/>
        <v>112.07632620415286</v>
      </c>
      <c r="AW23" s="55">
        <f t="shared" si="13"/>
        <v>-6975.5999999999985</v>
      </c>
      <c r="AX23" s="130">
        <f>'насел.'!AX23+пільги!AX23+субсидії!AX23+'держ.бюджет'!AX23+'місц.-районн.бюджет'!AX23+обласний!AX23+інші!AX23</f>
        <v>13222.5</v>
      </c>
      <c r="AY23" s="129"/>
      <c r="AZ23" s="129"/>
      <c r="BA23" s="129"/>
      <c r="BB23" s="129"/>
    </row>
    <row r="24" spans="1:54" ht="34.5" customHeight="1">
      <c r="A24" s="48" t="s">
        <v>12</v>
      </c>
      <c r="B24" s="52" t="s">
        <v>152</v>
      </c>
      <c r="C24" s="95">
        <f>'насел.'!C24+пільги!C24+субсидії!C24+'держ.бюджет'!C24+'місц.-районн.бюджет'!C24+обласний!C24+інші!C24</f>
        <v>-94.5</v>
      </c>
      <c r="D24" s="95">
        <f>'насел.'!D24+пільги!D24+субсидії!D24+'держ.бюджет'!D24+'місц.-районн.бюджет'!D24+обласний!D24+інші!D24</f>
        <v>515.4</v>
      </c>
      <c r="E24" s="95">
        <f>'насел.'!E24+пільги!E24+субсидії!E24+'держ.бюджет'!E24+'місц.-районн.бюджет'!E24+обласний!E24+інші!E24</f>
        <v>0</v>
      </c>
      <c r="F24" s="93">
        <f t="shared" si="14"/>
        <v>0</v>
      </c>
      <c r="G24" s="95">
        <f>'насел.'!G24+пільги!G24+субсидії!G24+'держ.бюджет'!G24+'місц.-районн.бюджет'!G24+обласний!G24+інші!G24</f>
        <v>719.5999999999999</v>
      </c>
      <c r="H24" s="95">
        <f>'насел.'!H24+пільги!H24+субсидії!H24+'держ.бюджет'!H24+'місц.-районн.бюджет'!H24+обласний!H24+інші!H24</f>
        <v>270.1</v>
      </c>
      <c r="I24" s="93">
        <f t="shared" si="15"/>
        <v>37.53474152306838</v>
      </c>
      <c r="J24" s="95">
        <f>'насел.'!J24+пільги!J24+субсидії!J24+'держ.бюджет'!J24+'місц.-районн.бюджет'!J24+обласний!J24+інші!J24</f>
        <v>575.7</v>
      </c>
      <c r="K24" s="95">
        <f>'насел.'!K24+пільги!K24+субсидії!K24+'держ.бюджет'!K24+'місц.-районн.бюджет'!K24+обласний!K24+інші!K24</f>
        <v>756.7</v>
      </c>
      <c r="L24" s="93">
        <f t="shared" si="16"/>
        <v>131.43998610387357</v>
      </c>
      <c r="M24" s="93">
        <f>'насел.'!M24+пільги!M24+субсидії!M24+'держ.бюджет'!M24+'місц.-районн.бюджет'!M24+обласний!M24+інші!M24</f>
        <v>1810.6999999999998</v>
      </c>
      <c r="N24" s="93">
        <f>'насел.'!N24+пільги!N24+субсидії!N24+'держ.бюджет'!N24+'місц.-районн.бюджет'!N24+обласний!N24+інші!N24</f>
        <v>1026.8000000000002</v>
      </c>
      <c r="O24" s="93">
        <f t="shared" si="17"/>
        <v>56.70735074832939</v>
      </c>
      <c r="P24" s="95">
        <f>'насел.'!P24+пільги!P24+субсидії!P24+'держ.бюджет'!P24+'місц.-районн.бюджет'!P24+обласний!P24+інші!P24</f>
        <v>118.3</v>
      </c>
      <c r="Q24" s="95">
        <f>'насел.'!Q24+пільги!Q24+субсидії!Q24+'держ.бюджет'!Q24+'місц.-районн.бюджет'!Q24+обласний!Q24+інші!Q24</f>
        <v>618.5</v>
      </c>
      <c r="R24" s="95">
        <f t="shared" si="18"/>
        <v>522.8233305156382</v>
      </c>
      <c r="S24" s="95">
        <f>'насел.'!S24+пільги!S24+субсидії!S24+'держ.бюджет'!S24+'місц.-районн.бюджет'!S24+обласний!S24+інші!S24</f>
        <v>0</v>
      </c>
      <c r="T24" s="95">
        <f>'насел.'!T24+пільги!T24+субсидії!T24+'держ.бюджет'!T24+'місц.-районн.бюджет'!T24+обласний!T24+інші!T24</f>
        <v>159.5</v>
      </c>
      <c r="U24" s="93" t="e">
        <f t="shared" si="19"/>
        <v>#DIV/0!</v>
      </c>
      <c r="V24" s="95">
        <f>'насел.'!V24+пільги!V24+субсидії!V24+'держ.бюджет'!V24+'місц.-районн.бюджет'!V24+обласний!V24+інші!V24</f>
        <v>0</v>
      </c>
      <c r="W24" s="95">
        <f>'насел.'!W24+пільги!W24+субсидії!W24+'держ.бюджет'!W24+'місц.-районн.бюджет'!W24+обласний!W24+інші!W24</f>
        <v>29.8</v>
      </c>
      <c r="X24" s="93" t="e">
        <f t="shared" si="20"/>
        <v>#DIV/0!</v>
      </c>
      <c r="Y24" s="95">
        <f>'насел.'!Y24+пільги!Y24+субсидії!Y24+'держ.бюджет'!Y24+'місц.-районн.бюджет'!Y24+обласний!Y24+інші!Y24</f>
        <v>118.3</v>
      </c>
      <c r="Z24" s="95">
        <f>'насел.'!Z24+пільги!Z24+субсидії!Z24+'держ.бюджет'!Z24+'місц.-районн.бюджет'!Z24+обласний!Z24+інші!Z24</f>
        <v>807.8</v>
      </c>
      <c r="AA24" s="93">
        <f t="shared" si="21"/>
        <v>682.8402366863905</v>
      </c>
      <c r="AB24" s="95">
        <f>'насел.'!AB24+пільги!AB24+субсидії!AB24+'держ.бюджет'!AB24+'місц.-районн.бюджет'!AB24+обласний!AB24+інші!AB24</f>
        <v>0</v>
      </c>
      <c r="AC24" s="95">
        <f>'насел.'!AC24+пільги!AC24+субсидії!AC24+'держ.бюджет'!AC24+'місц.-районн.бюджет'!AC24+обласний!AC24+інші!AC24</f>
        <v>0</v>
      </c>
      <c r="AD24" s="93" t="e">
        <f t="shared" si="22"/>
        <v>#DIV/0!</v>
      </c>
      <c r="AE24" s="95">
        <f>'насел.'!AE24+пільги!AE24+субсидії!AE24+'держ.бюджет'!AE24+'місц.-районн.бюджет'!AE24+обласний!AE24+інші!AE24</f>
        <v>0</v>
      </c>
      <c r="AF24" s="95">
        <f>'насел.'!AF24+пільги!AF24+субсидії!AF24+'держ.бюджет'!AF24+'місц.-районн.бюджет'!AF24+обласний!AF24+інші!AF24</f>
        <v>0</v>
      </c>
      <c r="AG24" s="93" t="e">
        <f t="shared" si="23"/>
        <v>#DIV/0!</v>
      </c>
      <c r="AH24" s="95">
        <f>'насел.'!AH24+пільги!AH24+субсидії!AH24+'держ.бюджет'!AH24+'місц.-районн.бюджет'!AH24+обласний!AH24+інші!AH24</f>
        <v>0</v>
      </c>
      <c r="AI24" s="95">
        <f>'насел.'!AI24+пільги!AI24+субсидії!AI24+'держ.бюджет'!AI24+'місц.-районн.бюджет'!AI24+обласний!AI24+інші!AI24</f>
        <v>0</v>
      </c>
      <c r="AJ24" s="93" t="e">
        <f t="shared" si="24"/>
        <v>#DIV/0!</v>
      </c>
      <c r="AK24" s="55">
        <f>'насел.'!AK24+пільги!AR24+субсидії!AK24+'держ.бюджет'!AK24+'місц.-районн.бюджет'!AK24+обласний!AK24+інші!AK24</f>
        <v>0</v>
      </c>
      <c r="AL24" s="95">
        <f>'насел.'!AL24+пільги!AK24+субсидії!AL24+'держ.бюджет'!AL24+'місц.-районн.бюджет'!AL24+обласний!AL24+інші!AL24</f>
        <v>0</v>
      </c>
      <c r="AM24" s="95" t="e">
        <f t="shared" si="25"/>
        <v>#DIV/0!</v>
      </c>
      <c r="AN24" s="55">
        <f>'насел.'!AN24+пільги!AN24+субсидії!AN24+'держ.бюджет'!AN24+'місц.-районн.бюджет'!AN24+обласний!AN24+інші!AN24</f>
        <v>0</v>
      </c>
      <c r="AO24" s="95">
        <f>'насел.'!AO24+пільги!AN24+субсидії!AO24+'держ.бюджет'!AO24+'місц.-районн.бюджет'!AO24+обласний!AO24+інші!AO24</f>
        <v>0</v>
      </c>
      <c r="AP24" s="95">
        <f>'насел.'!AP24+пільги!AO24+субсидії!AP24+'держ.бюджет'!AP24+'місц.-районн.бюджет'!AP24+обласний!AP24+інші!AP24</f>
        <v>0</v>
      </c>
      <c r="AQ24" s="95">
        <f>'насел.'!AQ24+пільги!AP24+субсидії!AQ24+'держ.бюджет'!AQ24+'місц.-районн.бюджет'!AQ24+обласний!AQ24+інші!AQ24</f>
        <v>0</v>
      </c>
      <c r="AR24" s="95">
        <f>'насел.'!AR24+пільги!AQ24+субсидії!AR24+'держ.бюджет'!AR24+'місц.-районн.бюджет'!AR24+обласний!AR24+інші!AR24</f>
        <v>0</v>
      </c>
      <c r="AS24" s="95">
        <f>'насел.'!AS24+пільги!AR24+субсидії!AS24+'держ.бюджет'!AS24+'місц.-районн.бюджет'!AS24+обласний!AS24+інші!AS24</f>
        <v>0</v>
      </c>
      <c r="AT24" s="95">
        <f>'насел.'!AT24+пільги!AT24+субсидії!AT24+'держ.бюджет'!AT24+'місц.-районн.бюджет'!AT24+обласний!AT24+інші!AT24</f>
        <v>1929</v>
      </c>
      <c r="AU24" s="95">
        <f>'насел.'!AU24+пільги!AU24+субсидії!AU24+'держ.бюджет'!AU24+'місц.-районн.бюджет'!AU24+обласний!AU24+інші!AU24</f>
        <v>1834.6000000000001</v>
      </c>
      <c r="AV24" s="93">
        <f t="shared" si="26"/>
        <v>95.10627268014517</v>
      </c>
      <c r="AW24" s="95">
        <f t="shared" si="13"/>
        <v>94.39999999999986</v>
      </c>
      <c r="AX24" s="130">
        <f>'насел.'!AX24+пільги!AX24+субсидії!AX24+'держ.бюджет'!AX24+'місц.-районн.бюджет'!AX24+обласний!AX24+інші!AX24</f>
        <v>-0.10000000000002274</v>
      </c>
      <c r="AY24" s="124"/>
      <c r="AZ24" s="124"/>
      <c r="BA24" s="124"/>
      <c r="BB24" s="124"/>
    </row>
    <row r="25" spans="1:54" ht="34.5" customHeight="1">
      <c r="A25" s="48" t="s">
        <v>16</v>
      </c>
      <c r="B25" s="52" t="s">
        <v>153</v>
      </c>
      <c r="C25" s="95">
        <f>'насел.'!C25+пільги!C25+субсидії!C25+'держ.бюджет'!C25+'місц.-районн.бюджет'!C25+обласний!C25+інші!C25</f>
        <v>-82.89999999999999</v>
      </c>
      <c r="D25" s="95">
        <f>'насел.'!D25+пільги!D25+субсидії!D25+'держ.бюджет'!D25+'місц.-районн.бюджет'!D25+обласний!D25+інші!D25</f>
        <v>2981.8999999999996</v>
      </c>
      <c r="E25" s="95">
        <f>'насел.'!E25+пільги!E25+субсидії!E25+'держ.бюджет'!E25+'місц.-районн.бюджет'!E25+обласний!E25+інші!E25</f>
        <v>0.5</v>
      </c>
      <c r="F25" s="93">
        <f t="shared" si="14"/>
        <v>0.016767832589959425</v>
      </c>
      <c r="G25" s="95">
        <f>'насел.'!G25+пільги!G25+субсидії!G25+'держ.бюджет'!G25+'місц.-районн.бюджет'!G25+обласний!G25+інші!G25</f>
        <v>2919.5</v>
      </c>
      <c r="H25" s="95">
        <f>'насел.'!H25+пільги!H25+субсидії!H25+'держ.бюджет'!H25+'місц.-районн.бюджет'!H25+обласний!H25+інші!H25</f>
        <v>2840.2</v>
      </c>
      <c r="I25" s="93">
        <f t="shared" si="15"/>
        <v>97.28378146942968</v>
      </c>
      <c r="J25" s="95">
        <f>'насел.'!J25+пільги!J25+субсидії!J25+'держ.бюджет'!J25+'місц.-районн.бюджет'!J25+обласний!J25+інші!J25</f>
        <v>2321.7000000000003</v>
      </c>
      <c r="K25" s="95">
        <f>'насел.'!K25+пільги!K25+субсидії!K25+'держ.бюджет'!K25+'місц.-районн.бюджет'!K25+обласний!K25+інші!K25</f>
        <v>2950.6</v>
      </c>
      <c r="L25" s="93">
        <f t="shared" si="16"/>
        <v>127.08790972132486</v>
      </c>
      <c r="M25" s="93">
        <f>'насел.'!M25+пільги!M25+субсидії!M25+'держ.бюджет'!M25+'місц.-районн.бюджет'!M25+обласний!M25+інші!M25</f>
        <v>8223.1</v>
      </c>
      <c r="N25" s="93">
        <f>'насел.'!N25+пільги!N25+субсидії!N25+'держ.бюджет'!N25+'місц.-районн.бюджет'!N25+обласний!N25+інші!N25</f>
        <v>5791.299999999999</v>
      </c>
      <c r="O25" s="93">
        <f t="shared" si="17"/>
        <v>70.42721114908002</v>
      </c>
      <c r="P25" s="95">
        <f>'насел.'!P25+пільги!P25+субсидії!P25+'держ.бюджет'!P25+'місц.-районн.бюджет'!P25+обласний!P25+інші!P25</f>
        <v>316.90000000000003</v>
      </c>
      <c r="Q25" s="95">
        <f>'насел.'!Q25+пільги!Q25+субсидії!Q25+'держ.бюджет'!Q25+'місц.-районн.бюджет'!Q25+обласний!Q25+інші!Q25</f>
        <v>2309.7999999999997</v>
      </c>
      <c r="R25" s="95">
        <f t="shared" si="18"/>
        <v>728.8734616598294</v>
      </c>
      <c r="S25" s="95">
        <f>'насел.'!S25+пільги!S25+субсидії!S25+'держ.бюджет'!S25+'місц.-районн.бюджет'!S25+обласний!S25+інші!S25</f>
        <v>0</v>
      </c>
      <c r="T25" s="95">
        <f>'насел.'!T25+пільги!T25+субсидії!T25+'держ.бюджет'!T25+'місц.-районн.бюджет'!T25+обласний!T25+інші!T25</f>
        <v>328.6</v>
      </c>
      <c r="U25" s="93" t="e">
        <f t="shared" si="19"/>
        <v>#DIV/0!</v>
      </c>
      <c r="V25" s="95">
        <f>'насел.'!V25+пільги!V25+субсидії!V25+'держ.бюджет'!V25+'місц.-районн.бюджет'!V25+обласний!V25+інші!V25</f>
        <v>0</v>
      </c>
      <c r="W25" s="95">
        <f>'насел.'!W25+пільги!W25+субсидії!W25+'держ.бюджет'!W25+'місц.-районн.бюджет'!W25+обласний!W25+інші!W25</f>
        <v>7.5</v>
      </c>
      <c r="X25" s="93" t="e">
        <f t="shared" si="20"/>
        <v>#DIV/0!</v>
      </c>
      <c r="Y25" s="95">
        <f>'насел.'!Y25+пільги!Y25+субсидії!Y25+'держ.бюджет'!Y25+'місц.-районн.бюджет'!Y25+обласний!Y25+інші!Y25</f>
        <v>316.90000000000003</v>
      </c>
      <c r="Z25" s="95">
        <f>'насел.'!Z25+пільги!Z25+субсидії!Z25+'держ.бюджет'!Z25+'місц.-районн.бюджет'!Z25+обласний!Z25+інші!Z25</f>
        <v>2645.8999999999996</v>
      </c>
      <c r="AA25" s="93">
        <f t="shared" si="21"/>
        <v>834.9321552540232</v>
      </c>
      <c r="AB25" s="95">
        <f>'насел.'!AB25+пільги!AB25+субсидії!AB25+'держ.бюджет'!AB25+'місц.-районн.бюджет'!AB25+обласний!AB25+інші!AB25</f>
        <v>0</v>
      </c>
      <c r="AC25" s="95">
        <f>'насел.'!AC25+пільги!AC25+субсидії!AC25+'держ.бюджет'!AC25+'місц.-районн.бюджет'!AC25+обласний!AC25+інші!AC25</f>
        <v>3.9</v>
      </c>
      <c r="AD25" s="93" t="e">
        <f t="shared" si="22"/>
        <v>#DIV/0!</v>
      </c>
      <c r="AE25" s="95">
        <f>'насел.'!AE25+пільги!AE25+субсидії!AE25+'держ.бюджет'!AE25+'місц.-районн.бюджет'!AE25+обласний!AE25+інші!AE25</f>
        <v>0</v>
      </c>
      <c r="AF25" s="95">
        <f>'насел.'!AF25+пільги!AF25+субсидії!AF25+'держ.бюджет'!AF25+'місц.-районн.бюджет'!AF25+обласний!AF25+інші!AF25</f>
        <v>5</v>
      </c>
      <c r="AG25" s="93" t="e">
        <f t="shared" si="23"/>
        <v>#DIV/0!</v>
      </c>
      <c r="AH25" s="95">
        <f>'насел.'!AH25+пільги!AH25+субсидії!AH25+'держ.бюджет'!AH25+'місц.-районн.бюджет'!AH25+обласний!AH25+інші!AH25</f>
        <v>0</v>
      </c>
      <c r="AI25" s="95">
        <f>'насел.'!AI25+пільги!AI25+субсидії!AI25+'держ.бюджет'!AI25+'місц.-районн.бюджет'!AI25+обласний!AI25+інші!AI25</f>
        <v>0</v>
      </c>
      <c r="AJ25" s="93" t="e">
        <f t="shared" si="24"/>
        <v>#DIV/0!</v>
      </c>
      <c r="AK25" s="55">
        <f>'насел.'!AK25+пільги!AR25+субсидії!AK25+'держ.бюджет'!AK25+'місц.-районн.бюджет'!AK25+обласний!AK25+інші!AK25</f>
        <v>0</v>
      </c>
      <c r="AL25" s="95">
        <f>'насел.'!AL25+пільги!AK25+субсидії!AL25+'держ.бюджет'!AL25+'місц.-районн.бюджет'!AL25+обласний!AL25+інші!AL25</f>
        <v>8.899999999999999</v>
      </c>
      <c r="AM25" s="95" t="e">
        <f t="shared" si="25"/>
        <v>#DIV/0!</v>
      </c>
      <c r="AN25" s="55">
        <f>'насел.'!AN25+пільги!AN25+субсидії!AN25+'держ.бюджет'!AN25+'місц.-районн.бюджет'!AN25+обласний!AN25+інші!AN25</f>
        <v>0</v>
      </c>
      <c r="AO25" s="95">
        <f>'насел.'!AO25+пільги!AN25+субсидії!AO25+'держ.бюджет'!AO25+'місц.-районн.бюджет'!AO25+обласний!AO25+інші!AO25</f>
        <v>0</v>
      </c>
      <c r="AP25" s="95">
        <f>'насел.'!AP25+пільги!AO25+субсидії!AP25+'держ.бюджет'!AP25+'місц.-районн.бюджет'!AP25+обласний!AP25+інші!AP25</f>
        <v>0</v>
      </c>
      <c r="AQ25" s="95">
        <f>'насел.'!AQ25+пільги!AP25+субсидії!AQ25+'держ.бюджет'!AQ25+'місц.-районн.бюджет'!AQ25+обласний!AQ25+інші!AQ25</f>
        <v>0</v>
      </c>
      <c r="AR25" s="95">
        <f>'насел.'!AR25+пільги!AQ25+субсидії!AR25+'держ.бюджет'!AR25+'місц.-районн.бюджет'!AR25+обласний!AR25+інші!AR25</f>
        <v>0</v>
      </c>
      <c r="AS25" s="95">
        <f>'насел.'!AS25+пільги!AR25+субсидії!AS25+'держ.бюджет'!AS25+'місц.-районн.бюджет'!AS25+обласний!AS25+інші!AS25</f>
        <v>0</v>
      </c>
      <c r="AT25" s="95">
        <f>'насел.'!AT25+пільги!AT25+субсидії!AT25+'держ.бюджет'!AT25+'місц.-районн.бюджет'!AT25+обласний!AT25+інші!AT25</f>
        <v>8540</v>
      </c>
      <c r="AU25" s="95">
        <f>'насел.'!AU25+пільги!AU25+субсидії!AU25+'держ.бюджет'!AU25+'місц.-районн.бюджет'!AU25+обласний!AU25+інші!AU25</f>
        <v>8446.099999999999</v>
      </c>
      <c r="AV25" s="93">
        <f t="shared" si="26"/>
        <v>98.90046838407493</v>
      </c>
      <c r="AW25" s="95">
        <f t="shared" si="13"/>
        <v>93.90000000000146</v>
      </c>
      <c r="AX25" s="130">
        <f>'насел.'!AX25+пільги!AX25+субсидії!AX25+'держ.бюджет'!AX25+'місц.-районн.бюджет'!AX25+обласний!AX25+інші!AX25</f>
        <v>11.000000000001812</v>
      </c>
      <c r="AY25" s="124"/>
      <c r="AZ25" s="124"/>
      <c r="BA25" s="124"/>
      <c r="BB25" s="124"/>
    </row>
    <row r="26" spans="1:54" ht="34.5" customHeight="1">
      <c r="A26" s="48" t="s">
        <v>18</v>
      </c>
      <c r="B26" s="52" t="s">
        <v>154</v>
      </c>
      <c r="C26" s="95">
        <f>'насел.'!C26+пільги!C26+субсидії!C26+'держ.бюджет'!C26+'місц.-районн.бюджет'!C26+обласний!C26+інші!C26</f>
        <v>20375.5</v>
      </c>
      <c r="D26" s="95">
        <f>'насел.'!D26+пільги!D26+субсидії!D26+'держ.бюджет'!D26+'місц.-районн.бюджет'!D26+обласний!D26+інші!D26</f>
        <v>16665.9</v>
      </c>
      <c r="E26" s="95">
        <f>'насел.'!E26+пільги!E26+субсидії!E26+'держ.бюджет'!E26+'місц.-районн.бюджет'!E26+обласний!E26+інші!E26</f>
        <v>7661.8</v>
      </c>
      <c r="F26" s="93">
        <f t="shared" si="14"/>
        <v>45.97291475407869</v>
      </c>
      <c r="G26" s="95">
        <f>'насел.'!G26+пільги!G26+субсидії!G26+'держ.бюджет'!G26+'місц.-районн.бюджет'!G26+обласний!G26+інші!G26</f>
        <v>15833.4</v>
      </c>
      <c r="H26" s="95">
        <f>'насел.'!H26+пільги!H26+субсидії!H26+'держ.бюджет'!H26+'місц.-районн.бюджет'!H26+обласний!H26+інші!H26</f>
        <v>9920.400000000001</v>
      </c>
      <c r="I26" s="93">
        <f t="shared" si="15"/>
        <v>62.6548940846565</v>
      </c>
      <c r="J26" s="95">
        <f>'насел.'!J26+пільги!J26+субсидії!J26+'держ.бюджет'!J26+'місц.-районн.бюджет'!J26+обласний!J26+інші!J26</f>
        <v>13084.300000000001</v>
      </c>
      <c r="K26" s="95">
        <f>'насел.'!K26+пільги!K26+субсидії!K26+'держ.бюджет'!K26+'місц.-районн.бюджет'!K26+обласний!K26+інші!K26</f>
        <v>15205.2</v>
      </c>
      <c r="L26" s="93">
        <f t="shared" si="16"/>
        <v>116.20950299213561</v>
      </c>
      <c r="M26" s="93">
        <f>'насел.'!M26+пільги!M26+субсидії!M26+'держ.бюджет'!M26+'місц.-районн.бюджет'!M26+обласний!M26+інші!M26</f>
        <v>45583.6</v>
      </c>
      <c r="N26" s="93">
        <f>'насел.'!N26+пільги!N26+субсидії!N26+'держ.бюджет'!N26+'місц.-районн.бюджет'!N26+обласний!N26+інші!N26</f>
        <v>32787.4</v>
      </c>
      <c r="O26" s="93">
        <f t="shared" si="17"/>
        <v>71.92806184680455</v>
      </c>
      <c r="P26" s="95">
        <f>'насел.'!P26+пільги!P26+субсидії!P26+'держ.бюджет'!P26+'місц.-районн.бюджет'!P26+обласний!P26+інші!P26</f>
        <v>2001.7999999999997</v>
      </c>
      <c r="Q26" s="95">
        <f>'насел.'!Q26+пільги!Q26+субсидії!Q26+'держ.бюджет'!Q26+'місц.-районн.бюджет'!Q26+обласний!Q26+інші!Q26</f>
        <v>10322.599999999999</v>
      </c>
      <c r="R26" s="95">
        <f t="shared" si="18"/>
        <v>515.6659006893796</v>
      </c>
      <c r="S26" s="95">
        <f>'насел.'!S26+пільги!S26+субсидії!S26+'держ.бюджет'!S26+'місц.-районн.бюджет'!S26+обласний!S26+інші!S26</f>
        <v>-231.9</v>
      </c>
      <c r="T26" s="95">
        <f>'насел.'!T26+пільги!T26+субсидії!T26+'держ.бюджет'!T26+'місц.-районн.бюджет'!T26+обласний!T26+інші!T26</f>
        <v>6087.7</v>
      </c>
      <c r="U26" s="93">
        <f t="shared" si="19"/>
        <v>-2625.14014661492</v>
      </c>
      <c r="V26" s="95">
        <f>'насел.'!V26+пільги!V26+субсидії!V26+'держ.бюджет'!V26+'місц.-районн.бюджет'!V26+обласний!V26+інші!V26</f>
        <v>-26</v>
      </c>
      <c r="W26" s="95">
        <f>'насел.'!W26+пільги!W26+субсидії!W26+'держ.бюджет'!W26+'місц.-районн.бюджет'!W26+обласний!W26+інші!W26</f>
        <v>1907.9999999999998</v>
      </c>
      <c r="X26" s="93">
        <f t="shared" si="20"/>
        <v>-7338.461538461537</v>
      </c>
      <c r="Y26" s="95">
        <f>'насел.'!Y26+пільги!Y26+субсидії!Y26+'держ.бюджет'!Y26+'місц.-районн.бюджет'!Y26+обласний!Y26+інші!Y26</f>
        <v>1743.8999999999999</v>
      </c>
      <c r="Z26" s="95">
        <f>'насел.'!Z26+пільги!Z26+субсидії!Z26+'держ.бюджет'!Z26+'місц.-районн.бюджет'!Z26+обласний!Z26+інші!Z26</f>
        <v>18318.300000000003</v>
      </c>
      <c r="AA26" s="93">
        <f t="shared" si="21"/>
        <v>1050.421469120936</v>
      </c>
      <c r="AB26" s="95">
        <f>'насел.'!AB26+пільги!AB26+субсидії!AB26+'держ.бюджет'!AB26+'місц.-районн.бюджет'!AB26+обласний!AB26+інші!AB26</f>
        <v>-17.3</v>
      </c>
      <c r="AC26" s="95">
        <f>'насел.'!AC26+пільги!AC26+субсидії!AC26+'держ.бюджет'!AC26+'місц.-районн.бюджет'!AC26+обласний!AC26+інші!AC26</f>
        <v>1803.9</v>
      </c>
      <c r="AD26" s="93">
        <f t="shared" si="22"/>
        <v>-10427.167630057804</v>
      </c>
      <c r="AE26" s="95">
        <f>'насел.'!AE26+пільги!AE26+субсидії!AE26+'держ.бюджет'!AE26+'місц.-районн.бюджет'!AE26+обласний!AE26+інші!AE26</f>
        <v>-16.6</v>
      </c>
      <c r="AF26" s="95">
        <f>'насел.'!AF26+пільги!AF26+субсидії!AF26+'держ.бюджет'!AF26+'місц.-районн.бюджет'!AF26+обласний!AF26+інші!AF26</f>
        <v>1547.9</v>
      </c>
      <c r="AG26" s="93">
        <f t="shared" si="23"/>
        <v>-9324.698795180722</v>
      </c>
      <c r="AH26" s="95">
        <f>'насел.'!AH26+пільги!AH26+субсидії!AH26+'держ.бюджет'!AH26+'місц.-районн.бюджет'!AH26+обласний!AH26+інші!AH26</f>
        <v>0</v>
      </c>
      <c r="AI26" s="95">
        <f>'насел.'!AI26+пільги!AI26+субсидії!AI26+'держ.бюджет'!AI26+'місц.-районн.бюджет'!AI26+обласний!AI26+інші!AI26</f>
        <v>0</v>
      </c>
      <c r="AJ26" s="93" t="e">
        <f t="shared" si="24"/>
        <v>#DIV/0!</v>
      </c>
      <c r="AK26" s="55">
        <f>'насел.'!AK26+пільги!AR26+субсидії!AK26+'держ.бюджет'!AK26+'місц.-районн.бюджет'!AK26+обласний!AK26+інші!AK26</f>
        <v>-33.900000000000006</v>
      </c>
      <c r="AL26" s="95">
        <f>'насел.'!AL26+пільги!AK26+субсидії!AL26+'держ.бюджет'!AL26+'місц.-районн.бюджет'!AL26+обласний!AL26+інші!AL26</f>
        <v>3351.8</v>
      </c>
      <c r="AM26" s="95">
        <f t="shared" si="25"/>
        <v>-9887.315634218288</v>
      </c>
      <c r="AN26" s="55">
        <f>'насел.'!AN26+пільги!AN26+субсидії!AN26+'держ.бюджет'!AN26+'місц.-районн.бюджет'!AN26+обласний!AN26+інші!AN26</f>
        <v>0</v>
      </c>
      <c r="AO26" s="95">
        <f>'насел.'!AO26+пільги!AN26+субсидії!AO26+'держ.бюджет'!AO26+'місц.-районн.бюджет'!AO26+обласний!AO26+інші!AO26</f>
        <v>0</v>
      </c>
      <c r="AP26" s="95">
        <f>'насел.'!AP26+пільги!AO26+субсидії!AP26+'держ.бюджет'!AP26+'місц.-районн.бюджет'!AP26+обласний!AP26+інші!AP26</f>
        <v>0</v>
      </c>
      <c r="AQ26" s="95">
        <f>'насел.'!AQ26+пільги!AP26+субсидії!AQ26+'держ.бюджет'!AQ26+'місц.-районн.бюджет'!AQ26+обласний!AQ26+інші!AQ26</f>
        <v>0</v>
      </c>
      <c r="AR26" s="95">
        <f>'насел.'!AR26+пільги!AQ26+субсидії!AR26+'держ.бюджет'!AR26+'місц.-районн.бюджет'!AR26+обласний!AR26+інші!AR26</f>
        <v>0</v>
      </c>
      <c r="AS26" s="95">
        <f>'насел.'!AS26+пільги!AR26+субсидії!AS26+'держ.бюджет'!AS26+'місц.-районн.бюджет'!AS26+обласний!AS26+інші!AS26</f>
        <v>0</v>
      </c>
      <c r="AT26" s="95">
        <f>'насел.'!AT26+пільги!AT26+субсидії!AT26+'держ.бюджет'!AT26+'місц.-районн.бюджет'!AT26+обласний!AT26+інші!AT26</f>
        <v>47293.600000000006</v>
      </c>
      <c r="AU26" s="95">
        <f>'насел.'!AU26+пільги!AU26+субсидії!AU26+'держ.бюджет'!AU26+'місц.-районн.бюджет'!AU26+обласний!AU26+інші!AU26</f>
        <v>54457.5</v>
      </c>
      <c r="AV26" s="93">
        <f t="shared" si="26"/>
        <v>115.14771554713532</v>
      </c>
      <c r="AW26" s="95">
        <f t="shared" si="13"/>
        <v>-7163.899999999994</v>
      </c>
      <c r="AX26" s="130">
        <f>'насел.'!AX26+пільги!AX26+субсидії!AX26+'держ.бюджет'!AX26+'місц.-районн.бюджет'!AX26+обласний!AX26+інші!AX26</f>
        <v>13211.599999999999</v>
      </c>
      <c r="AY26" s="124"/>
      <c r="AZ26" s="124"/>
      <c r="BA26" s="124"/>
      <c r="BB26" s="124"/>
    </row>
    <row r="27" spans="1:54" s="135" customFormat="1" ht="34.5" customHeight="1" hidden="1">
      <c r="A27" s="134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30">
        <f>'насел.'!AX27+пільги!AX27+субсидії!AX27+'держ.бюджет'!AX27+'місц.-районн.бюджет'!AX27+обласний!AX27+інші!AX27</f>
        <v>0</v>
      </c>
      <c r="AY27" s="124"/>
      <c r="AZ27" s="124"/>
      <c r="BA27" s="124"/>
      <c r="BB27" s="124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30">
        <f>'насел.'!AX28+пільги!AX28+субсидії!AX28+'держ.бюджет'!AX28+'місц.-районн.бюджет'!AX28+обласний!AX28+інші!AX28</f>
        <v>0</v>
      </c>
      <c r="AY28" s="124"/>
      <c r="AZ28" s="124"/>
      <c r="BA28" s="124"/>
      <c r="BB28" s="124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30">
        <f>'насел.'!AX29+пільги!AX29+субсидії!AX29+'держ.бюджет'!AX29+'місц.-районн.бюджет'!AX29+обласний!AX29+інші!AX29</f>
        <v>0</v>
      </c>
      <c r="AY29" s="124"/>
      <c r="AZ29" s="124"/>
      <c r="BA29" s="124"/>
      <c r="BB29" s="124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28491.199999999997</v>
      </c>
      <c r="K30" s="55">
        <f>'насел.'!K30+пільги!K30+субсидії!K30+'держ.бюджет'!K30+'місц.-районн.бюджет'!K30+обласний!K30+інші!K30</f>
        <v>24200.1</v>
      </c>
      <c r="L30" s="56">
        <f t="shared" si="16"/>
        <v>84.93885831414613</v>
      </c>
      <c r="M30" s="56">
        <f>'насел.'!M30+пільги!M30+субсидії!M30+'держ.бюджет'!M30+'місц.-районн.бюджет'!M30+обласний!M30+інші!M30</f>
        <v>89057.19999999998</v>
      </c>
      <c r="N30" s="56">
        <f>'насел.'!N30+пільги!N30+субсидії!N30+'держ.бюджет'!N30+'місц.-районн.бюджет'!N30+обласний!N30+інші!N30</f>
        <v>62361.8</v>
      </c>
      <c r="O30" s="56">
        <f t="shared" si="17"/>
        <v>70.02443373472332</v>
      </c>
      <c r="P30" s="55">
        <f>'насел.'!P30+пільги!P30+субсидії!P30+'держ.бюджет'!P30+'місц.-районн.бюджет'!P30+обласний!P30+інші!P30</f>
        <v>3319.2999999999997</v>
      </c>
      <c r="Q30" s="55">
        <f>'насел.'!Q30+пільги!Q30+субсидії!Q30+'держ.бюджет'!Q30+'місц.-районн.бюджет'!Q30+обласний!Q30+інші!Q30</f>
        <v>19266.899999999994</v>
      </c>
      <c r="R30" s="55">
        <f t="shared" si="18"/>
        <v>580.4506974362063</v>
      </c>
      <c r="S30" s="55">
        <f>'насел.'!S30+пільги!S30+субсидії!S30+'держ.бюджет'!S30+'місц.-районн.бюджет'!S30+обласний!S30+інші!S30</f>
        <v>61.2</v>
      </c>
      <c r="T30" s="55">
        <f>'насел.'!T30+пільги!T30+субсидії!T30+'держ.бюджет'!T30+'місц.-районн.бюджет'!T30+обласний!T30+інші!T30</f>
        <v>6404.4</v>
      </c>
      <c r="U30" s="56">
        <f t="shared" si="19"/>
        <v>10464.70588235294</v>
      </c>
      <c r="V30" s="55">
        <f>'насел.'!V30+пільги!V30+субсидії!V30+'держ.бюджет'!V30+'місц.-районн.бюджет'!V30+обласний!V30+інші!V30</f>
        <v>55.8</v>
      </c>
      <c r="W30" s="55">
        <f>'насел.'!W30+пільги!W30+субсидії!W30+'держ.бюджет'!W30+'місц.-районн.бюджет'!W30+обласний!W30+інші!W30</f>
        <v>1355.9</v>
      </c>
      <c r="X30" s="56">
        <f t="shared" si="20"/>
        <v>2429.9283154121867</v>
      </c>
      <c r="Y30" s="55">
        <f>'насел.'!Y30+пільги!Y30+субсидії!Y30+'держ.бюджет'!Y30+'місц.-районн.бюджет'!Y30+обласний!Y30+інші!Y30</f>
        <v>3436.3</v>
      </c>
      <c r="Z30" s="55">
        <f>'насел.'!Z30+пільги!Z30+субсидії!Z30+'держ.бюджет'!Z30+'місц.-районн.бюджет'!Z30+обласний!Z30+інші!Z30</f>
        <v>27027.199999999997</v>
      </c>
      <c r="AA30" s="56">
        <f t="shared" si="21"/>
        <v>786.5203852981404</v>
      </c>
      <c r="AB30" s="55">
        <f>'насел.'!AB30+пільги!AB30+субсидії!AB30+'держ.бюджет'!AB30+'місц.-районн.бюджет'!AB30+обласний!AB30+інші!AB30</f>
        <v>55.8</v>
      </c>
      <c r="AC30" s="55">
        <f>'насел.'!AC30+пільги!AC30+субсидії!AC30+'держ.бюджет'!AC30+'місц.-районн.бюджет'!AC30+обласний!AC30+інші!AC30</f>
        <v>1114.5999999999997</v>
      </c>
      <c r="AD30" s="56">
        <f t="shared" si="22"/>
        <v>1997.491039426523</v>
      </c>
      <c r="AE30" s="55">
        <f>'насел.'!AE30+пільги!AE30+субсидії!AE30+'держ.бюджет'!AE30+'місц.-районн.бюджет'!AE30+обласний!AE30+інші!AE30</f>
        <v>52.2</v>
      </c>
      <c r="AF30" s="55">
        <f>'насел.'!AF30+пільги!AF30+субсидії!AF30+'держ.бюджет'!AF30+'місц.-районн.бюджет'!AF30+обласний!AF30+інші!AF30</f>
        <v>1058</v>
      </c>
      <c r="AG30" s="56">
        <f t="shared" si="23"/>
        <v>2026.8199233716473</v>
      </c>
      <c r="AH30" s="55">
        <f>'насел.'!AH30+пільги!AH30+субсидії!AH30+'держ.бюджет'!AH30+'місц.-районн.бюджет'!AH30+обласний!AH30+інші!AH30</f>
        <v>0</v>
      </c>
      <c r="AI30" s="55">
        <f>'насел.'!AI30+пільги!AI30+субсидії!AI30+'держ.бюджет'!AI30+'місц.-районн.бюджет'!AI30+обласний!AI30+інші!AI30</f>
        <v>0</v>
      </c>
      <c r="AJ30" s="56" t="e">
        <f t="shared" si="24"/>
        <v>#DIV/0!</v>
      </c>
      <c r="AK30" s="55">
        <f>'насел.'!AK30+пільги!AR30+субсидії!AK30+'держ.бюджет'!AK30+'місц.-районн.бюджет'!AK30+обласний!AK30+інші!AK30</f>
        <v>108</v>
      </c>
      <c r="AL30" s="55">
        <f>'насел.'!AL30+пільги!AK30+субсидії!AL30+'держ.бюджет'!AL30+'місц.-районн.бюджет'!AL30+обласний!AL30+інші!AL30</f>
        <v>2172.6</v>
      </c>
      <c r="AM30" s="55">
        <f t="shared" si="25"/>
        <v>2011.6666666666667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92601.49999999999</v>
      </c>
      <c r="AU30" s="55">
        <f>'насел.'!AU30+пільги!AU30+субсидії!AU30+'держ.бюджет'!AU30+'місц.-районн.бюджет'!AU30+обласний!AU30+інші!AU30</f>
        <v>91561.59999999999</v>
      </c>
      <c r="AV30" s="56">
        <f t="shared" si="26"/>
        <v>98.87701603105782</v>
      </c>
      <c r="AW30" s="55">
        <f t="shared" si="13"/>
        <v>1039.8999999999942</v>
      </c>
      <c r="AX30" s="130">
        <f>'насел.'!AX30+пільги!AX30+субсидії!AX30+'держ.бюджет'!AX30+'місц.-районн.бюджет'!AX30+обласний!AX30+інші!AX30</f>
        <v>54354.09999999999</v>
      </c>
      <c r="AY30" s="129"/>
      <c r="AZ30" s="129"/>
      <c r="BA30" s="129"/>
      <c r="BB30" s="129"/>
    </row>
    <row r="31" spans="1:54" ht="34.5" customHeight="1">
      <c r="A31" s="48" t="s">
        <v>8</v>
      </c>
      <c r="B31" s="51" t="s">
        <v>155</v>
      </c>
      <c r="C31" s="95">
        <f>'насел.'!C31+пільги!C31+субсидії!C31+'держ.бюджет'!C31+'місц.-районн.бюджет'!C31+обласний!C31+інші!C31</f>
        <v>0</v>
      </c>
      <c r="D31" s="95">
        <f>'насел.'!D31+пільги!D31+субсидії!D31+'держ.бюджет'!D31+'місц.-районн.бюджет'!D31+обласний!D31+інші!D31</f>
        <v>954.0999999999999</v>
      </c>
      <c r="E31" s="95">
        <f>'насел.'!E31+пільги!E31+субсидії!E31+'держ.бюджет'!E31+'місц.-районн.бюджет'!E31+обласний!E31+інші!E31</f>
        <v>0</v>
      </c>
      <c r="F31" s="93">
        <f t="shared" si="14"/>
        <v>0</v>
      </c>
      <c r="G31" s="95">
        <f>'насел.'!G31+пільги!G31+субсидії!G31+'держ.бюджет'!G31+'місц.-районн.бюджет'!G31+обласний!G31+інші!G31</f>
        <v>1083.3</v>
      </c>
      <c r="H31" s="95">
        <f>'насел.'!H31+пільги!H31+субсидії!H31+'держ.бюджет'!H31+'місц.-районн.бюджет'!H31+обласний!H31+інші!H31</f>
        <v>851.9</v>
      </c>
      <c r="I31" s="93">
        <f t="shared" si="15"/>
        <v>78.63934274900767</v>
      </c>
      <c r="J31" s="95">
        <f>'насел.'!J31+пільги!J31+субсидії!J31+'держ.бюджет'!J31+'місц.-районн.бюджет'!J31+обласний!J31+інші!J31</f>
        <v>906.5</v>
      </c>
      <c r="K31" s="95">
        <f>'насел.'!K31+пільги!K31+субсидії!K31+'держ.бюджет'!K31+'місц.-районн.бюджет'!K31+обласний!K31+інші!K31</f>
        <v>1155.2</v>
      </c>
      <c r="L31" s="93">
        <f t="shared" si="16"/>
        <v>127.43519029233315</v>
      </c>
      <c r="M31" s="93">
        <f>'насел.'!M31+пільги!M31+субсидії!M31+'держ.бюджет'!M31+'місц.-районн.бюджет'!M31+обласний!M31+інші!M31</f>
        <v>2943.9</v>
      </c>
      <c r="N31" s="93">
        <f>'насел.'!N31+пільги!N31+субсидії!N31+'держ.бюджет'!N31+'місц.-районн.бюджет'!N31+обласний!N31+інші!N31</f>
        <v>2007.1</v>
      </c>
      <c r="O31" s="93">
        <f t="shared" si="17"/>
        <v>68.1782669248276</v>
      </c>
      <c r="P31" s="95">
        <f>'насел.'!P31+пільги!P31+субсидії!P31+'держ.бюджет'!P31+'місц.-районн.бюджет'!P31+обласний!P31+інші!P31</f>
        <v>239.4</v>
      </c>
      <c r="Q31" s="95">
        <f>'насел.'!Q31+пільги!Q31+субсидії!Q31+'держ.бюджет'!Q31+'місц.-районн.бюджет'!Q31+обласний!Q31+інші!Q31</f>
        <v>1086.2</v>
      </c>
      <c r="R31" s="95">
        <f t="shared" si="18"/>
        <v>453.71762740183794</v>
      </c>
      <c r="S31" s="95">
        <f>'насел.'!S31+пільги!S31+субсидії!S31+'держ.бюджет'!S31+'місц.-районн.бюджет'!S31+обласний!S31+інші!S31</f>
        <v>8.1</v>
      </c>
      <c r="T31" s="95">
        <f>'насел.'!T31+пільги!T31+субсидії!T31+'держ.бюджет'!T31+'місц.-районн.бюджет'!T31+обласний!T31+інші!T31</f>
        <v>63.2</v>
      </c>
      <c r="U31" s="93">
        <f t="shared" si="19"/>
        <v>780.246913580247</v>
      </c>
      <c r="V31" s="95">
        <f>'насел.'!V31+пільги!V31+субсидії!V31+'держ.бюджет'!V31+'місц.-районн.бюджет'!V31+обласний!V31+інші!V31</f>
        <v>0</v>
      </c>
      <c r="W31" s="95">
        <f>'насел.'!W31+пільги!W31+субсидії!W31+'держ.бюджет'!W31+'місц.-районн.бюджет'!W31+обласний!W31+інші!W31</f>
        <v>21.9</v>
      </c>
      <c r="X31" s="93" t="e">
        <f t="shared" si="20"/>
        <v>#DIV/0!</v>
      </c>
      <c r="Y31" s="95">
        <f>'насел.'!Y31+пільги!Y31+субсидії!Y31+'держ.бюджет'!Y31+'місц.-районн.бюджет'!Y31+обласний!Y31+інші!Y31</f>
        <v>247.5</v>
      </c>
      <c r="Z31" s="95">
        <f>'насел.'!Z31+пільги!Z31+субсидії!Z31+'держ.бюджет'!Z31+'місц.-районн.бюджет'!Z31+обласний!Z31+інші!Z31</f>
        <v>1171.3</v>
      </c>
      <c r="AA31" s="93">
        <f t="shared" si="21"/>
        <v>473.25252525252523</v>
      </c>
      <c r="AB31" s="95">
        <f>'насел.'!AB31+пільги!AB31+субсидії!AB31+'держ.бюджет'!AB31+'місц.-районн.бюджет'!AB31+обласний!AB31+інші!AB31</f>
        <v>0</v>
      </c>
      <c r="AC31" s="95">
        <f>'насел.'!AC31+пільги!AC31+субсидії!AC31+'держ.бюджет'!AC31+'місц.-районн.бюджет'!AC31+обласний!AC31+інші!AC31</f>
        <v>4.8</v>
      </c>
      <c r="AD31" s="93" t="e">
        <f t="shared" si="22"/>
        <v>#DIV/0!</v>
      </c>
      <c r="AE31" s="95">
        <f>'насел.'!AE31+пільги!AE31+субсидії!AE31+'держ.бюджет'!AE31+'місц.-районн.бюджет'!AE31+обласний!AE31+інші!AE31</f>
        <v>0</v>
      </c>
      <c r="AF31" s="95">
        <f>'насел.'!AF31+пільги!AF31+субсидії!AF31+'держ.бюджет'!AF31+'місц.-районн.бюджет'!AF31+обласний!AF31+інші!AF31</f>
        <v>0</v>
      </c>
      <c r="AG31" s="93" t="e">
        <f t="shared" si="23"/>
        <v>#DIV/0!</v>
      </c>
      <c r="AH31" s="95">
        <f>'насел.'!AH31+пільги!AH31+субсидії!AH31+'держ.бюджет'!AH31+'місц.-районн.бюджет'!AH31+обласний!AH31+інші!AH31</f>
        <v>0</v>
      </c>
      <c r="AI31" s="95">
        <f>'насел.'!AI31+пільги!AI31+субсидії!AI31+'держ.бюджет'!AI31+'місц.-районн.бюджет'!AI31+обласний!AI31+інші!AI31</f>
        <v>0</v>
      </c>
      <c r="AJ31" s="93" t="e">
        <f t="shared" si="24"/>
        <v>#DIV/0!</v>
      </c>
      <c r="AK31" s="55">
        <f>'насел.'!AK31+пільги!AR31+субсидії!AK31+'держ.бюджет'!AK31+'місц.-районн.бюджет'!AK31+обласний!AK31+інші!AK31</f>
        <v>0</v>
      </c>
      <c r="AL31" s="95">
        <f>'насел.'!AL31+пільги!AK31+субсидії!AL31+'держ.бюджет'!AL31+'місц.-районн.бюджет'!AL31+обласний!AL31+інші!AL31</f>
        <v>4.8</v>
      </c>
      <c r="AM31" s="95" t="e">
        <f t="shared" si="25"/>
        <v>#DIV/0!</v>
      </c>
      <c r="AN31" s="55">
        <f>'насел.'!AN31+пільги!AN31+субсидії!AN31+'держ.бюджет'!AN31+'місц.-районн.бюджет'!AN31+обласний!AN31+інші!AN31</f>
        <v>0</v>
      </c>
      <c r="AO31" s="95">
        <f>'насел.'!AO31+пільги!AN31+субсидії!AO31+'держ.бюджет'!AO31+'місц.-районн.бюджет'!AO31+обласний!AO31+інші!AO31</f>
        <v>0</v>
      </c>
      <c r="AP31" s="95">
        <f>'насел.'!AP31+пільги!AO31+субсидії!AP31+'держ.бюджет'!AP31+'місц.-районн.бюджет'!AP31+обласний!AP31+інші!AP31</f>
        <v>0</v>
      </c>
      <c r="AQ31" s="95">
        <f>'насел.'!AQ31+пільги!AP31+субсидії!AQ31+'держ.бюджет'!AQ31+'місц.-районн.бюджет'!AQ31+обласний!AQ31+інші!AQ31</f>
        <v>0</v>
      </c>
      <c r="AR31" s="95">
        <f>'насел.'!AR31+пільги!AQ31+субсидії!AR31+'держ.бюджет'!AR31+'місц.-районн.бюджет'!AR31+обласний!AR31+інші!AR31</f>
        <v>0</v>
      </c>
      <c r="AS31" s="95">
        <f>'насел.'!AS31+пільги!AR31+субсидії!AS31+'держ.бюджет'!AS31+'місц.-районн.бюджет'!AS31+обласний!AS31+інші!AS31</f>
        <v>0</v>
      </c>
      <c r="AT31" s="95">
        <f>'насел.'!AT31+пільги!AT31+субсидії!AT31+'держ.бюджет'!AT31+'місц.-районн.бюджет'!AT31+обласний!AT31+інші!AT31</f>
        <v>3191.4</v>
      </c>
      <c r="AU31" s="95">
        <f>'насел.'!AU31+пільги!AU31+субсидії!AU31+'держ.бюджет'!AU31+'місц.-районн.бюджет'!AU31+обласний!AU31+інші!AU31</f>
        <v>3183.2</v>
      </c>
      <c r="AV31" s="93">
        <f t="shared" si="26"/>
        <v>99.74305947233188</v>
      </c>
      <c r="AW31" s="95">
        <f t="shared" si="13"/>
        <v>8.200000000000273</v>
      </c>
      <c r="AX31" s="130">
        <f>'насел.'!AX31+пільги!AX31+субсидії!AX31+'держ.бюджет'!AX31+'місц.-районн.бюджет'!AX31+обласний!AX31+інші!AX31</f>
        <v>8.199999999999932</v>
      </c>
      <c r="AY31" s="124"/>
      <c r="AZ31" s="124"/>
      <c r="BA31" s="124"/>
      <c r="BB31" s="124"/>
    </row>
    <row r="32" spans="1:54" ht="34.5" customHeight="1" hidden="1">
      <c r="A32" s="48" t="s">
        <v>8</v>
      </c>
      <c r="B32" s="51" t="s">
        <v>170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30">
        <f>'насел.'!AX32+пільги!AX32+субсидії!AX32+'держ.бюджет'!AX32+'місц.-районн.бюджет'!AX32+обласний!AX32+інші!AX32</f>
        <v>0</v>
      </c>
      <c r="AY32" s="124"/>
      <c r="AZ32" s="124"/>
      <c r="BA32" s="124"/>
      <c r="BB32" s="124"/>
    </row>
    <row r="33" spans="1:54" ht="34.5" customHeight="1">
      <c r="A33" s="48" t="s">
        <v>10</v>
      </c>
      <c r="B33" s="51" t="s">
        <v>156</v>
      </c>
      <c r="C33" s="95">
        <f>'насел.'!C33+пільги!C33+субсидії!C33+'держ.бюджет'!C33+'місц.-районн.бюджет'!C33+обласний!C33+інші!C33</f>
        <v>-65.8</v>
      </c>
      <c r="D33" s="95">
        <f>'насел.'!D33+пільги!D33+субсидії!D33+'держ.бюджет'!D33+'місц.-районн.бюджет'!D33+обласний!D33+інші!D33</f>
        <v>1274.6</v>
      </c>
      <c r="E33" s="95">
        <f>'насел.'!E33+пільги!E33+субсидії!E33+'держ.бюджет'!E33+'місц.-районн.бюджет'!E33+обласний!E33+інші!E33</f>
        <v>0</v>
      </c>
      <c r="F33" s="93">
        <f t="shared" si="27"/>
        <v>0</v>
      </c>
      <c r="G33" s="95">
        <f>'насел.'!G33+пільги!G33+субсидії!G33+'держ.бюджет'!G33+'місц.-районн.бюджет'!G33+обласний!G33+інші!G33</f>
        <v>1778.3</v>
      </c>
      <c r="H33" s="95">
        <f>'насел.'!H33+пільги!H33+субсидії!H33+'держ.бюджет'!H33+'місц.-районн.бюджет'!H33+обласний!H33+інші!H33</f>
        <v>809.1</v>
      </c>
      <c r="I33" s="93">
        <f t="shared" si="28"/>
        <v>45.49850981274251</v>
      </c>
      <c r="J33" s="95">
        <f>'насел.'!J33+пільги!J33+субсидії!J33+'держ.бюджет'!J33+'місц.-районн.бюджет'!J33+обласний!J33+інші!J33</f>
        <v>1627.1</v>
      </c>
      <c r="K33" s="95">
        <f>'насел.'!K33+пільги!K33+субсидії!K33+'держ.бюджет'!K33+'місц.-районн.бюджет'!K33+обласний!K33+інші!K33</f>
        <v>1994.9</v>
      </c>
      <c r="L33" s="93">
        <f t="shared" si="29"/>
        <v>122.6046340114314</v>
      </c>
      <c r="M33" s="93">
        <f>'насел.'!M33+пільги!M33+субсидії!M33+'держ.бюджет'!M33+'місц.-районн.бюджет'!M33+обласний!M33+інші!M33</f>
        <v>4680</v>
      </c>
      <c r="N33" s="93">
        <f>'насел.'!N33+пільги!N33+субсидії!N33+'держ.бюджет'!N33+'місц.-районн.бюджет'!N33+обласний!N33+інші!N33</f>
        <v>2804</v>
      </c>
      <c r="O33" s="93">
        <f t="shared" si="30"/>
        <v>59.914529914529915</v>
      </c>
      <c r="P33" s="95">
        <f>'насел.'!P33+пільги!P33+субсидії!P33+'держ.бюджет'!P33+'місц.-районн.бюджет'!P33+обласний!P33+інші!P33</f>
        <v>73.6</v>
      </c>
      <c r="Q33" s="95">
        <f>'насел.'!Q33+пільги!Q33+субсидії!Q33+'держ.бюджет'!Q33+'місц.-районн.бюджет'!Q33+обласний!Q33+інші!Q33</f>
        <v>1779.1000000000001</v>
      </c>
      <c r="R33" s="95">
        <f t="shared" si="31"/>
        <v>2417.255434782609</v>
      </c>
      <c r="S33" s="95">
        <f>'насел.'!S33+пільги!S33+субсидії!S33+'держ.бюджет'!S33+'місц.-районн.бюджет'!S33+обласний!S33+інші!S33</f>
        <v>0</v>
      </c>
      <c r="T33" s="95">
        <f>'насел.'!T33+пільги!T33+субсидії!T33+'держ.бюджет'!T33+'місц.-районн.бюджет'!T33+обласний!T33+інші!T33</f>
        <v>86.1</v>
      </c>
      <c r="U33" s="93" t="e">
        <f t="shared" si="32"/>
        <v>#DIV/0!</v>
      </c>
      <c r="V33" s="95">
        <f>'насел.'!V33+пільги!V33+субсидії!V33+'держ.бюджет'!V33+'місц.-районн.бюджет'!V33+обласний!V33+інші!V33</f>
        <v>0</v>
      </c>
      <c r="W33" s="95">
        <f>'насел.'!W33+пільги!W33+субсидії!W33+'держ.бюджет'!W33+'місц.-районн.бюджет'!W33+обласний!W33+інші!W33</f>
        <v>18.6</v>
      </c>
      <c r="X33" s="93" t="e">
        <f t="shared" si="33"/>
        <v>#DIV/0!</v>
      </c>
      <c r="Y33" s="95">
        <f>'насел.'!Y33+пільги!Y33+субсидії!Y33+'держ.бюджет'!Y33+'місц.-районн.бюджет'!Y33+обласний!Y33+інші!Y33</f>
        <v>73.6</v>
      </c>
      <c r="Z33" s="95">
        <f>'насел.'!Z33+пільги!Z33+субсидії!Z33+'держ.бюджет'!Z33+'місц.-районн.бюджет'!Z33+обласний!Z33+інші!Z33</f>
        <v>1883.8</v>
      </c>
      <c r="AA33" s="93">
        <f t="shared" si="34"/>
        <v>2559.5108695652175</v>
      </c>
      <c r="AB33" s="95">
        <f>'насел.'!AB33+пільги!AB33+субсидії!AB33+'держ.бюджет'!AB33+'місц.-районн.бюджет'!AB33+обласний!AB33+інші!AB33</f>
        <v>0</v>
      </c>
      <c r="AC33" s="95">
        <f>'насел.'!AC33+пільги!AC33+субсидії!AC33+'держ.бюджет'!AC33+'місц.-районн.бюджет'!AC33+обласний!AC33+інші!AC33</f>
        <v>0</v>
      </c>
      <c r="AD33" s="93" t="e">
        <f t="shared" si="35"/>
        <v>#DIV/0!</v>
      </c>
      <c r="AE33" s="95">
        <f>'насел.'!AE33+пільги!AE33+субсидії!AE33+'держ.бюджет'!AE33+'місц.-районн.бюджет'!AE33+обласний!AE33+інші!AE33</f>
        <v>0</v>
      </c>
      <c r="AF33" s="95">
        <f>'насел.'!AF33+пільги!AF33+субсидії!AF33+'держ.бюджет'!AF33+'місц.-районн.бюджет'!AF33+обласний!AF33+інші!AF33</f>
        <v>0</v>
      </c>
      <c r="AG33" s="93" t="e">
        <f t="shared" si="36"/>
        <v>#DIV/0!</v>
      </c>
      <c r="AH33" s="95">
        <f>'насел.'!AH33+пільги!AH33+субсидії!AH33+'держ.бюджет'!AH33+'місц.-районн.бюджет'!AH33+обласний!AH33+інші!AH33</f>
        <v>0</v>
      </c>
      <c r="AI33" s="95">
        <f>'насел.'!AI33+пільги!AI33+субсидії!AI33+'держ.бюджет'!AI33+'місц.-районн.бюджет'!AI33+обласний!AI33+інші!AI33</f>
        <v>0</v>
      </c>
      <c r="AJ33" s="93" t="e">
        <f t="shared" si="37"/>
        <v>#DIV/0!</v>
      </c>
      <c r="AK33" s="55">
        <f>'насел.'!AK33+пільги!AR33+субсидії!AK33+'держ.бюджет'!AK33+'місц.-районн.бюджет'!AK33+обласний!AK33+інші!AK33</f>
        <v>0</v>
      </c>
      <c r="AL33" s="95">
        <f>'насел.'!AL33+пільги!AK33+субсидії!AL33+'держ.бюджет'!AL33+'місц.-районн.бюджет'!AL33+обласний!AL33+інші!AL33</f>
        <v>0</v>
      </c>
      <c r="AM33" s="95" t="e">
        <f t="shared" si="38"/>
        <v>#DIV/0!</v>
      </c>
      <c r="AN33" s="55">
        <f>'насел.'!AN33+пільги!AN33+субсидії!AN33+'держ.бюджет'!AN33+'місц.-районн.бюджет'!AN33+обласний!AN33+інші!AN33</f>
        <v>0</v>
      </c>
      <c r="AO33" s="95">
        <f>'насел.'!AO33+пільги!AN33+субсидії!AO33+'держ.бюджет'!AO33+'місц.-районн.бюджет'!AO33+обласний!AO33+інші!AO33</f>
        <v>0</v>
      </c>
      <c r="AP33" s="95">
        <f>'насел.'!AP33+пільги!AO33+субсидії!AP33+'держ.бюджет'!AP33+'місц.-районн.бюджет'!AP33+обласний!AP33+інші!AP33</f>
        <v>0</v>
      </c>
      <c r="AQ33" s="95">
        <f>'насел.'!AQ33+пільги!AP33+субсидії!AQ33+'держ.бюджет'!AQ33+'місц.-районн.бюджет'!AQ33+обласний!AQ33+інші!AQ33</f>
        <v>0</v>
      </c>
      <c r="AR33" s="95">
        <f>'насел.'!AR33+пільги!AQ33+субсидії!AR33+'держ.бюджет'!AR33+'місц.-районн.бюджет'!AR33+обласний!AR33+інші!AR33</f>
        <v>0</v>
      </c>
      <c r="AS33" s="95">
        <f>'насел.'!AS33+пільги!AR33+субсидії!AS33+'держ.бюджет'!AS33+'місц.-районн.бюджет'!AS33+обласний!AS33+інші!AS33</f>
        <v>0</v>
      </c>
      <c r="AT33" s="95">
        <f>'насел.'!AT33+пільги!AT33+субсидії!AT33+'держ.бюджет'!AT33+'місц.-районн.бюджет'!AT33+обласний!AT33+інші!AT33</f>
        <v>4753.6</v>
      </c>
      <c r="AU33" s="95">
        <f>'насел.'!AU33+пільги!AU33+субсидії!AU33+'держ.бюджет'!AU33+'місц.-районн.бюджет'!AU33+обласний!AU33+інші!AU33</f>
        <v>4687.8</v>
      </c>
      <c r="AV33" s="93">
        <f t="shared" si="39"/>
        <v>98.61578593066307</v>
      </c>
      <c r="AW33" s="95">
        <f t="shared" si="13"/>
        <v>65.80000000000018</v>
      </c>
      <c r="AX33" s="130">
        <f>'насел.'!AX33+пільги!AX33+субсидії!AX33+'держ.бюджет'!AX33+'місц.-районн.бюджет'!AX33+обласний!AX33+інші!AX33</f>
        <v>0</v>
      </c>
      <c r="AY33" s="124"/>
      <c r="AZ33" s="124"/>
      <c r="BA33" s="124"/>
      <c r="BB33" s="124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30">
        <f>'насел.'!AX34+пільги!AX34+субсидії!AX34+'держ.бюджет'!AX34+'місц.-районн.бюджет'!AX34+обласний!AX34+інші!AX34</f>
        <v>0</v>
      </c>
      <c r="AY34" s="124"/>
      <c r="AZ34" s="124"/>
      <c r="BA34" s="124"/>
      <c r="BB34" s="124"/>
    </row>
    <row r="35" spans="1:54" ht="34.5" customHeight="1">
      <c r="A35" s="48" t="s">
        <v>29</v>
      </c>
      <c r="B35" s="53" t="s">
        <v>141</v>
      </c>
      <c r="C35" s="95">
        <f>'насел.'!C35+пільги!C35+субсидії!C35+'держ.бюджет'!C35+'місц.-районн.бюджет'!C35+обласний!C35+інші!C35</f>
        <v>50154</v>
      </c>
      <c r="D35" s="95">
        <f>'насел.'!D35+пільги!D35+субсидії!D35+'держ.бюджет'!D35+'місц.-районн.бюджет'!D35+обласний!D35+інші!D35</f>
        <v>20133.500000000004</v>
      </c>
      <c r="E35" s="95">
        <f>'насел.'!E35+пільги!E35+субсидії!E35+'держ.бюджет'!E35+'місц.-районн.бюджет'!E35+обласний!E35+інші!E35</f>
        <v>14364</v>
      </c>
      <c r="F35" s="93">
        <f t="shared" si="27"/>
        <v>71.34378026671963</v>
      </c>
      <c r="G35" s="95">
        <f>'насел.'!G35+пільги!G35+субсидії!G35+'держ.бюджет'!G35+'місц.-районн.бюджет'!G35+обласний!G35+інші!G35</f>
        <v>21302</v>
      </c>
      <c r="H35" s="95">
        <f>'насел.'!H35+пільги!H35+субсидії!H35+'держ.бюджет'!H35+'місц.-районн.бюджет'!H35+обласний!H35+інші!H35</f>
        <v>15202.1</v>
      </c>
      <c r="I35" s="93">
        <f t="shared" si="28"/>
        <v>71.36466059524928</v>
      </c>
      <c r="J35" s="95">
        <f>'насел.'!J35+пільги!J35+субсидії!J35+'держ.бюджет'!J35+'місц.-районн.бюджет'!J35+обласний!J35+інші!J35</f>
        <v>20302.7</v>
      </c>
      <c r="K35" s="95">
        <f>'насел.'!K35+пільги!K35+субсидії!K35+'держ.бюджет'!K35+'місц.-районн.бюджет'!K35+обласний!K35+інші!K35</f>
        <v>14752.500000000002</v>
      </c>
      <c r="L35" s="93">
        <f t="shared" si="29"/>
        <v>72.66274928950337</v>
      </c>
      <c r="M35" s="93">
        <f>'насел.'!M35+пільги!M35+субсидії!M35+'держ.бюджет'!M35+'місц.-районн.бюджет'!M35+обласний!M35+інші!M35</f>
        <v>61738.200000000004</v>
      </c>
      <c r="N35" s="93">
        <f>'насел.'!N35+пільги!N35+субсидії!N35+'держ.бюджет'!N35+'місц.-районн.бюджет'!N35+обласний!N35+інші!N35</f>
        <v>44318.6</v>
      </c>
      <c r="O35" s="93">
        <f t="shared" si="30"/>
        <v>71.78472971353229</v>
      </c>
      <c r="P35" s="95">
        <f>'насел.'!P35+пільги!P35+субсидії!P35+'держ.бюджет'!P35+'місц.-районн.бюджет'!P35+обласний!P35+інші!P35</f>
        <v>2296.7999999999997</v>
      </c>
      <c r="Q35" s="95">
        <f>'насел.'!Q35+пільги!Q35+субсидії!Q35+'держ.бюджет'!Q35+'місц.-районн.бюджет'!Q35+обласний!Q35+інші!Q35</f>
        <v>11939.099999999999</v>
      </c>
      <c r="R35" s="95">
        <f t="shared" si="31"/>
        <v>519.8145245559039</v>
      </c>
      <c r="S35" s="95">
        <f>'насел.'!S35+пільги!S35+субсидії!S35+'держ.бюджет'!S35+'місц.-районн.бюджет'!S35+обласний!S35+інші!S35</f>
        <v>0</v>
      </c>
      <c r="T35" s="95">
        <f>'насел.'!T35+пільги!T35+субсидії!T35+'держ.бюджет'!T35+'місц.-районн.бюджет'!T35+обласний!T35+інші!T35</f>
        <v>4307.799999999999</v>
      </c>
      <c r="U35" s="93" t="e">
        <f t="shared" si="32"/>
        <v>#DIV/0!</v>
      </c>
      <c r="V35" s="95">
        <f>'насел.'!V35+пільги!V35+субсидії!V35+'держ.бюджет'!V35+'місц.-районн.бюджет'!V35+обласний!V35+інші!V35</f>
        <v>0</v>
      </c>
      <c r="W35" s="95">
        <f>'насел.'!W35+пільги!W35+субсидії!W35+'держ.бюджет'!W35+'місц.-районн.бюджет'!W35+обласний!W35+інші!W35</f>
        <v>1150.8000000000002</v>
      </c>
      <c r="X35" s="93" t="e">
        <f t="shared" si="33"/>
        <v>#DIV/0!</v>
      </c>
      <c r="Y35" s="95">
        <f>'насел.'!Y35+пільги!Y35+субсидії!Y35+'держ.бюджет'!Y35+'місц.-районн.бюджет'!Y35+обласний!Y35+інші!Y35</f>
        <v>2296.7999999999997</v>
      </c>
      <c r="Z35" s="95">
        <f>'насел.'!Z35+пільги!Z35+субсидії!Z35+'держ.бюджет'!Z35+'місц.-районн.бюджет'!Z35+обласний!Z35+інші!Z35</f>
        <v>17397.699999999997</v>
      </c>
      <c r="AA35" s="93">
        <f t="shared" si="34"/>
        <v>757.4756182514803</v>
      </c>
      <c r="AB35" s="95">
        <f>'насел.'!AB35+пільги!AB35+субсидії!AB35+'держ.бюджет'!AB35+'місц.-районн.бюджет'!AB35+обласний!AB35+інші!AB35</f>
        <v>0</v>
      </c>
      <c r="AC35" s="95">
        <f>'насел.'!AC35+пільги!AC35+субсидії!AC35+'держ.бюджет'!AC35+'місц.-районн.бюджет'!AC35+обласний!AC35+інші!AC35</f>
        <v>995.9</v>
      </c>
      <c r="AD35" s="93" t="e">
        <f t="shared" si="35"/>
        <v>#DIV/0!</v>
      </c>
      <c r="AE35" s="95">
        <f>'насел.'!AE35+пільги!AE35+субсидії!AE35+'держ.бюджет'!AE35+'місц.-районн.бюджет'!AE35+обласний!AE35+інші!AE35</f>
        <v>0</v>
      </c>
      <c r="AF35" s="95">
        <f>'насел.'!AF35+пільги!AF35+субсидії!AF35+'держ.бюджет'!AF35+'місц.-районн.бюджет'!AF35+обласний!AF35+інші!AF35</f>
        <v>924.2</v>
      </c>
      <c r="AG35" s="93" t="e">
        <f t="shared" si="36"/>
        <v>#DIV/0!</v>
      </c>
      <c r="AH35" s="95">
        <f>'насел.'!AH35+пільги!AH35+субсидії!AH35+'держ.бюджет'!AH35+'місц.-районн.бюджет'!AH35+обласний!AH35+інші!AH35</f>
        <v>0</v>
      </c>
      <c r="AI35" s="95">
        <f>'насел.'!AI35+пільги!AI35+субсидії!AI35+'держ.бюджет'!AI35+'місц.-районн.бюджет'!AI35+обласний!AI35+інші!AI35</f>
        <v>0</v>
      </c>
      <c r="AJ35" s="93" t="e">
        <f t="shared" si="37"/>
        <v>#DIV/0!</v>
      </c>
      <c r="AK35" s="55">
        <f>'насел.'!AK35+пільги!AR35+субсидії!AK35+'держ.бюджет'!AK35+'місц.-районн.бюджет'!AK35+обласний!AK35+інші!AK35</f>
        <v>0</v>
      </c>
      <c r="AL35" s="95">
        <f>'насел.'!AL35+пільги!AK35+субсидії!AL35+'держ.бюджет'!AL35+'місц.-районн.бюджет'!AL35+обласний!AL35+інші!AL35</f>
        <v>1920.1</v>
      </c>
      <c r="AM35" s="95" t="e">
        <f t="shared" si="38"/>
        <v>#DIV/0!</v>
      </c>
      <c r="AN35" s="55">
        <f>'насел.'!AN35+пільги!AN35+субсидії!AN35+'держ.бюджет'!AN35+'місц.-районн.бюджет'!AN35+обласний!AN35+інші!AN35</f>
        <v>0</v>
      </c>
      <c r="AO35" s="95">
        <f>'насел.'!AO35+пільги!AN35+субсидії!AO35+'держ.бюджет'!AO35+'місц.-районн.бюджет'!AO35+обласний!AO35+інші!AO35</f>
        <v>0</v>
      </c>
      <c r="AP35" s="95">
        <f>'насел.'!AP35+пільги!AO35+субсидії!AP35+'держ.бюджет'!AP35+'місц.-районн.бюджет'!AP35+обласний!AP35+інші!AP35</f>
        <v>0</v>
      </c>
      <c r="AQ35" s="95">
        <f>'насел.'!AQ35+пільги!AP35+субсидії!AQ35+'держ.бюджет'!AQ35+'місц.-районн.бюджет'!AQ35+обласний!AQ35+інші!AQ35</f>
        <v>0</v>
      </c>
      <c r="AR35" s="95">
        <f>'насел.'!AR35+пільги!AQ35+субсидії!AR35+'держ.бюджет'!AR35+'місц.-районн.бюджет'!AR35+обласний!AR35+інші!AR35</f>
        <v>0</v>
      </c>
      <c r="AS35" s="95">
        <f>'насел.'!AS35+пільги!AR35+субсидії!AS35+'держ.бюджет'!AS35+'місц.-районн.бюджет'!AS35+обласний!AS35+інші!AS35</f>
        <v>0</v>
      </c>
      <c r="AT35" s="55">
        <f>'насел.'!AT35+пільги!AT35+субсидії!AT35+'держ.бюджет'!AT35+'місц.-районн.бюджет'!AT35+обласний!AT35+інші!AT35</f>
        <v>64035.00000000001</v>
      </c>
      <c r="AU35" s="55">
        <f>'насел.'!AU35+пільги!AU35+субсидії!AU35+'держ.бюджет'!AU35+'місц.-районн.бюджет'!AU35+обласний!AU35+інші!AU35</f>
        <v>63636.399999999994</v>
      </c>
      <c r="AV35" s="93">
        <f t="shared" si="39"/>
        <v>99.37752791442178</v>
      </c>
      <c r="AW35" s="95">
        <f t="shared" si="13"/>
        <v>398.6000000000131</v>
      </c>
      <c r="AX35" s="130">
        <f>'насел.'!AX35+пільги!AX35+субсидії!AX35+'держ.бюджет'!AX35+'місц.-районн.бюджет'!AX35+обласний!AX35+інші!AX35</f>
        <v>50552.6</v>
      </c>
      <c r="AY35" s="124">
        <f>16070.8+34481.9</f>
        <v>50552.7</v>
      </c>
      <c r="AZ35" s="124"/>
      <c r="BA35" s="124"/>
      <c r="BB35" s="124"/>
    </row>
    <row r="36" spans="1:54" ht="34.5" customHeight="1">
      <c r="A36" s="48" t="s">
        <v>30</v>
      </c>
      <c r="B36" s="53" t="s">
        <v>157</v>
      </c>
      <c r="C36" s="95">
        <f>'насел.'!C36+пільги!C36+субсидії!C36+'держ.бюджет'!C36+'місц.-районн.бюджет'!C36+обласний!C36+інші!C36</f>
        <v>3132.1000000000004</v>
      </c>
      <c r="D36" s="95">
        <f>'насел.'!D36+пільги!D36+субсидії!D36+'держ.бюджет'!D36+'місц.-районн.бюджет'!D36+обласний!D36+інші!D36</f>
        <v>2677.5</v>
      </c>
      <c r="E36" s="95">
        <f>'насел.'!E36+пільги!E36+субсидії!E36+'держ.бюджет'!E36+'місц.-районн.бюджет'!E36+обласний!E36+інші!E36</f>
        <v>542.5</v>
      </c>
      <c r="F36" s="93">
        <f t="shared" si="27"/>
        <v>20.26143790849673</v>
      </c>
      <c r="G36" s="95">
        <f>'насел.'!G36+пільги!G36+субсидії!G36+'держ.бюджет'!G36+'місц.-районн.бюджет'!G36+обласний!G36+інші!G36</f>
        <v>2317.5</v>
      </c>
      <c r="H36" s="95">
        <f>'насел.'!H36+пільги!H36+субсидії!H36+'держ.бюджет'!H36+'місц.-районн.бюджет'!H36+обласний!H36+інші!H36</f>
        <v>2289</v>
      </c>
      <c r="I36" s="93">
        <f t="shared" si="28"/>
        <v>98.77022653721683</v>
      </c>
      <c r="J36" s="95">
        <f>'насел.'!J36+пільги!J36+субсидії!J36+'держ.бюджет'!J36+'місц.-районн.бюджет'!J36+обласний!J36+інші!J36</f>
        <v>1708.4</v>
      </c>
      <c r="K36" s="95">
        <f>'насел.'!K36+пільги!K36+субсидії!K36+'держ.бюджет'!K36+'місц.-районн.бюджет'!K36+обласний!K36+інші!K36</f>
        <v>1712.6</v>
      </c>
      <c r="L36" s="93">
        <f t="shared" si="29"/>
        <v>100.24584406462185</v>
      </c>
      <c r="M36" s="93">
        <f>'насел.'!M36+пільги!M36+субсидії!M36+'держ.бюджет'!M36+'місц.-районн.бюджет'!M36+обласний!M36+інші!M36</f>
        <v>6703.400000000001</v>
      </c>
      <c r="N36" s="93">
        <f>'насел.'!N36+пільги!N36+субсидії!N36+'держ.бюджет'!N36+'місц.-районн.бюджет'!N36+обласний!N36+інші!N36</f>
        <v>4544.1</v>
      </c>
      <c r="O36" s="93">
        <f t="shared" si="30"/>
        <v>67.7879881851001</v>
      </c>
      <c r="P36" s="95">
        <f>'насел.'!P36+пільги!P36+субсидії!P36+'держ.бюджет'!P36+'місц.-районн.бюджет'!P36+обласний!P36+інші!P36</f>
        <v>57.599999999999994</v>
      </c>
      <c r="Q36" s="95">
        <f>'насел.'!Q36+пільги!Q36+субсидії!Q36+'держ.бюджет'!Q36+'місц.-районн.бюджет'!Q36+обласний!Q36+інші!Q36</f>
        <v>1331.3</v>
      </c>
      <c r="R36" s="95">
        <f t="shared" si="31"/>
        <v>2311.2847222222226</v>
      </c>
      <c r="S36" s="95">
        <f>'насел.'!S36+пільги!S36+субсидії!S36+'держ.бюджет'!S36+'місц.-районн.бюджет'!S36+обласний!S36+інші!S36</f>
        <v>0</v>
      </c>
      <c r="T36" s="95">
        <f>'насел.'!T36+пільги!T36+субсидії!T36+'держ.бюджет'!T36+'місц.-районн.бюджет'!T36+обласний!T36+інші!T36</f>
        <v>187.10000000000002</v>
      </c>
      <c r="U36" s="93" t="e">
        <f t="shared" si="32"/>
        <v>#DIV/0!</v>
      </c>
      <c r="V36" s="95">
        <f>'насел.'!V36+пільги!V36+субсидії!V36+'держ.бюджет'!V36+'місц.-районн.бюджет'!V36+обласний!V36+інші!V36</f>
        <v>0</v>
      </c>
      <c r="W36" s="95">
        <f>'насел.'!W36+пільги!W36+субсидії!W36+'держ.бюджет'!W36+'місц.-районн.бюджет'!W36+обласний!W36+інші!W36</f>
        <v>80.2</v>
      </c>
      <c r="X36" s="93" t="e">
        <f t="shared" si="33"/>
        <v>#DIV/0!</v>
      </c>
      <c r="Y36" s="95">
        <f>'насел.'!Y36+пільги!Y36+субсидії!Y36+'держ.бюджет'!Y36+'місц.-районн.бюджет'!Y36+обласний!Y36+інші!Y36</f>
        <v>57.599999999999994</v>
      </c>
      <c r="Z36" s="95">
        <f>'насел.'!Z36+пільги!Z36+субсидії!Z36+'держ.бюджет'!Z36+'місц.-районн.бюджет'!Z36+обласний!Z36+інші!Z36</f>
        <v>1598.6</v>
      </c>
      <c r="AA36" s="93">
        <f t="shared" si="34"/>
        <v>2775.3472222222226</v>
      </c>
      <c r="AB36" s="95">
        <f>'насел.'!AB36+пільги!AB36+субсидії!AB36+'держ.бюджет'!AB36+'місц.-районн.бюджет'!AB36+обласний!AB36+інші!AB36</f>
        <v>0</v>
      </c>
      <c r="AC36" s="95">
        <f>'насел.'!AC36+пільги!AC36+субсидії!AC36+'держ.бюджет'!AC36+'місц.-районн.бюджет'!AC36+обласний!AC36+інші!AC36</f>
        <v>54.1</v>
      </c>
      <c r="AD36" s="93" t="e">
        <f t="shared" si="35"/>
        <v>#DIV/0!</v>
      </c>
      <c r="AE36" s="95">
        <f>'насел.'!AE36+пільги!AE36+субсидії!AE36+'держ.бюджет'!AE36+'місц.-районн.бюджет'!AE36+обласний!AE36+інші!AE36</f>
        <v>0</v>
      </c>
      <c r="AF36" s="95">
        <f>'насел.'!AF36+пільги!AF36+субсидії!AF36+'держ.бюджет'!AF36+'місц.-районн.бюджет'!AF36+обласний!AF36+інші!AF36</f>
        <v>72.4</v>
      </c>
      <c r="AG36" s="93" t="e">
        <f t="shared" si="36"/>
        <v>#DIV/0!</v>
      </c>
      <c r="AH36" s="95">
        <f>'насел.'!AH36+пільги!AH36+субсидії!AH36+'держ.бюджет'!AH36+'місц.-районн.бюджет'!AH36+обласний!AH36+інші!AH36</f>
        <v>0</v>
      </c>
      <c r="AI36" s="95">
        <f>'насел.'!AI36+пільги!AI36+субсидії!AI36+'держ.бюджет'!AI36+'місц.-районн.бюджет'!AI36+обласний!AI36+інші!AI36</f>
        <v>0</v>
      </c>
      <c r="AJ36" s="93" t="e">
        <f t="shared" si="37"/>
        <v>#DIV/0!</v>
      </c>
      <c r="AK36" s="55">
        <f>'насел.'!AK36+пільги!AR36+субсидії!AK36+'держ.бюджет'!AK36+'місц.-районн.бюджет'!AK36+обласний!AK36+інші!AK36</f>
        <v>0</v>
      </c>
      <c r="AL36" s="95">
        <f>'насел.'!AL36+пільги!AK36+субсидії!AL36+'держ.бюджет'!AL36+'місц.-районн.бюджет'!AL36+обласний!AL36+інші!AL36</f>
        <v>126.5</v>
      </c>
      <c r="AM36" s="95" t="e">
        <f t="shared" si="38"/>
        <v>#DIV/0!</v>
      </c>
      <c r="AN36" s="55">
        <f>'насел.'!AN36+пільги!AN36+субсидії!AN36+'держ.бюджет'!AN36+'місц.-районн.бюджет'!AN36+обласний!AN36+інші!AN36</f>
        <v>0</v>
      </c>
      <c r="AO36" s="95">
        <f>'насел.'!AO36+пільги!AN36+субсидії!AO36+'держ.бюджет'!AO36+'місц.-районн.бюджет'!AO36+обласний!AO36+інші!AO36</f>
        <v>0</v>
      </c>
      <c r="AP36" s="95">
        <f>'насел.'!AP36+пільги!AO36+субсидії!AP36+'держ.бюджет'!AP36+'місц.-районн.бюджет'!AP36+обласний!AP36+інші!AP36</f>
        <v>0</v>
      </c>
      <c r="AQ36" s="95">
        <f>'насел.'!AQ36+пільги!AP36+субсидії!AQ36+'держ.бюджет'!AQ36+'місц.-районн.бюджет'!AQ36+обласний!AQ36+інші!AQ36</f>
        <v>0</v>
      </c>
      <c r="AR36" s="95">
        <f>'насел.'!AR36+пільги!AQ36+субсидії!AR36+'держ.бюджет'!AR36+'місц.-районн.бюджет'!AR36+обласний!AR36+інші!AR36</f>
        <v>0</v>
      </c>
      <c r="AS36" s="95">
        <f>'насел.'!AS36+пільги!AR36+субсидії!AS36+'держ.бюджет'!AS36+'місц.-районн.бюджет'!AS36+обласний!AS36+інші!AS36</f>
        <v>0</v>
      </c>
      <c r="AT36" s="95">
        <f>'насел.'!AT36+пільги!AT36+субсидії!AT36+'держ.бюджет'!AT36+'місц.-районн.бюджет'!AT36+обласний!AT36+інші!AT36</f>
        <v>6761.000000000001</v>
      </c>
      <c r="AU36" s="95">
        <f>'насел.'!AU36+пільги!AU36+субсидії!AU36+'держ.бюджет'!AU36+'місц.-районн.бюджет'!AU36+обласний!AU36+інші!AU36</f>
        <v>6269.2</v>
      </c>
      <c r="AV36" s="93">
        <f t="shared" si="39"/>
        <v>92.72592811714242</v>
      </c>
      <c r="AW36" s="95">
        <f t="shared" si="13"/>
        <v>491.8000000000011</v>
      </c>
      <c r="AX36" s="130">
        <f>'насел.'!AX36+пільги!AX36+субсидії!AX36+'держ.бюджет'!AX36+'місц.-районн.бюджет'!AX36+обласний!AX36+інші!AX36</f>
        <v>3623.9000000000015</v>
      </c>
      <c r="AY36" s="124"/>
      <c r="AZ36" s="124"/>
      <c r="BA36" s="124"/>
      <c r="BB36" s="124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30">
        <f>'насел.'!AX37+пільги!AX37+субсидії!AX37+'держ.бюджет'!AX37+'місц.-районн.бюджет'!AX37+обласний!AX37+інші!AX37</f>
        <v>0</v>
      </c>
      <c r="AY37" s="124"/>
      <c r="AZ37" s="124"/>
      <c r="BA37" s="124"/>
      <c r="BB37" s="124"/>
    </row>
    <row r="38" spans="1:54" ht="34.5" customHeight="1">
      <c r="A38" s="48" t="s">
        <v>27</v>
      </c>
      <c r="B38" s="101" t="s">
        <v>158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3946.4999999999995</v>
      </c>
      <c r="K38" s="95">
        <f>'насел.'!K38+пільги!K38+субсидії!K38+'держ.бюджет'!K38+'місц.-районн.бюджет'!K38+обласний!K38+інші!K38</f>
        <v>4584.9</v>
      </c>
      <c r="L38" s="93">
        <f t="shared" si="29"/>
        <v>116.17635879893578</v>
      </c>
      <c r="M38" s="93">
        <f>'насел.'!M38+пільги!M38+субсидії!M38+'держ.бюджет'!M38+'місц.-районн.бюджет'!M38+обласний!M38+інші!M38</f>
        <v>12991.7</v>
      </c>
      <c r="N38" s="93">
        <f>'насел.'!N38+пільги!N38+субсидії!N38+'держ.бюджет'!N38+'місц.-районн.бюджет'!N38+обласний!N38+інші!N38</f>
        <v>8688</v>
      </c>
      <c r="O38" s="93">
        <f t="shared" si="30"/>
        <v>66.87346536634928</v>
      </c>
      <c r="P38" s="95">
        <f>'насел.'!P38+пільги!P38+субсидії!P38+'держ.бюджет'!P38+'місц.-районн.бюджет'!P38+обласний!P38+інші!P38</f>
        <v>651.9</v>
      </c>
      <c r="Q38" s="95">
        <f>'насел.'!Q38+пільги!Q38+субсидії!Q38+'держ.бюджет'!Q38+'місц.-районн.бюджет'!Q38+обласний!Q38+інші!Q38</f>
        <v>3131.2000000000003</v>
      </c>
      <c r="R38" s="95">
        <f t="shared" si="31"/>
        <v>480.3190673416169</v>
      </c>
      <c r="S38" s="95">
        <f>'насел.'!S38+пільги!S38+субсидії!S38+'держ.бюджет'!S38+'місц.-районн.бюджет'!S38+обласний!S38+інші!S38</f>
        <v>53.1</v>
      </c>
      <c r="T38" s="95">
        <f>'насел.'!T38+пільги!T38+субсидії!T38+'держ.бюджет'!T38+'місц.-районн.бюджет'!T38+обласний!T38+інші!T38</f>
        <v>1760.2</v>
      </c>
      <c r="U38" s="93">
        <f t="shared" si="32"/>
        <v>3314.8775894538608</v>
      </c>
      <c r="V38" s="95">
        <f>'насел.'!V38+пільги!V38+субсидії!V38+'держ.бюджет'!V38+'місц.-районн.бюджет'!V38+обласний!V38+інші!V38</f>
        <v>55.8</v>
      </c>
      <c r="W38" s="95">
        <f>'насел.'!W38+пільги!W38+субсидії!W38+'держ.бюджет'!W38+'місц.-районн.бюджет'!W38+обласний!W38+інші!W38</f>
        <v>84.4</v>
      </c>
      <c r="X38" s="93">
        <f t="shared" si="33"/>
        <v>151.25448028673839</v>
      </c>
      <c r="Y38" s="95">
        <f>'насел.'!Y38+пільги!Y38+субсидії!Y38+'держ.бюджет'!Y38+'місц.-районн.бюджет'!Y38+обласний!Y38+інші!Y38</f>
        <v>760.8000000000001</v>
      </c>
      <c r="Z38" s="95">
        <f>'насел.'!Z38+пільги!Z38+субсидії!Z38+'держ.бюджет'!Z38+'місц.-районн.бюджет'!Z38+обласний!Z38+інші!Z38</f>
        <v>4975.8</v>
      </c>
      <c r="AA38" s="93">
        <f t="shared" si="34"/>
        <v>654.0220820189274</v>
      </c>
      <c r="AB38" s="95">
        <f>'насел.'!AB38+пільги!AB38+субсидії!AB38+'держ.бюджет'!AB38+'місц.-районн.бюджет'!AB38+обласний!AB38+інші!AB38</f>
        <v>55.8</v>
      </c>
      <c r="AC38" s="95">
        <f>'насел.'!AC38+пільги!AC38+субсидії!AC38+'держ.бюджет'!AC38+'місц.-районн.бюджет'!AC38+обласний!AC38+інші!AC38</f>
        <v>59.8</v>
      </c>
      <c r="AD38" s="93">
        <f t="shared" si="35"/>
        <v>107.168458781362</v>
      </c>
      <c r="AE38" s="95">
        <f>'насел.'!AE38+пільги!AE38+субсидії!AE38+'держ.бюджет'!AE38+'місц.-районн.бюджет'!AE38+обласний!AE38+інші!AE38</f>
        <v>52.2</v>
      </c>
      <c r="AF38" s="95">
        <f>'насел.'!AF38+пільги!AF38+субсидії!AF38+'держ.бюджет'!AF38+'місц.-районн.бюджет'!AF38+обласний!AF38+інші!AF38</f>
        <v>61.4</v>
      </c>
      <c r="AG38" s="93">
        <f t="shared" si="36"/>
        <v>117.62452107279692</v>
      </c>
      <c r="AH38" s="95">
        <f>'насел.'!AH38+пільги!AH38+субсидії!AH38+'держ.бюджет'!AH38+'місц.-районн.бюджет'!AH38+обласний!AH38+інші!AH38</f>
        <v>0</v>
      </c>
      <c r="AI38" s="95">
        <f>'насел.'!AI38+пільги!AI38+субсидії!AI38+'держ.бюджет'!AI38+'місц.-районн.бюджет'!AI38+обласний!AI38+інші!AI38</f>
        <v>0</v>
      </c>
      <c r="AJ38" s="93" t="e">
        <f t="shared" si="37"/>
        <v>#DIV/0!</v>
      </c>
      <c r="AK38" s="55">
        <f>'насел.'!AK38+пільги!AR38+субсидії!AK38+'держ.бюджет'!AK38+'місц.-районн.бюджет'!AK38+обласний!AK38+інші!AK38</f>
        <v>108</v>
      </c>
      <c r="AL38" s="95">
        <f>'насел.'!AL38+пільги!AK38+субсидії!AL38+'держ.бюджет'!AL38+'місц.-районн.бюджет'!AL38+обласний!AL38+інші!AL38</f>
        <v>121.2</v>
      </c>
      <c r="AM38" s="95">
        <f t="shared" si="38"/>
        <v>112.22222222222223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13860.5</v>
      </c>
      <c r="AU38" s="95">
        <f>'насел.'!AU38+пільги!AU38+субсидії!AU38+'держ.бюджет'!AU38+'місц.-районн.бюджет'!AU38+обласний!AU38+інші!AU38</f>
        <v>13784.999999999998</v>
      </c>
      <c r="AV38" s="93">
        <f t="shared" si="39"/>
        <v>99.4552866058223</v>
      </c>
      <c r="AW38" s="95">
        <f t="shared" si="13"/>
        <v>75.50000000000182</v>
      </c>
      <c r="AX38" s="130">
        <f>'насел.'!AX38+пільги!AX38+субсидії!AX38+'держ.бюджет'!AX38+'місц.-районн.бюджет'!AX38+обласний!AX38+інші!AX38</f>
        <v>169.4000000000002</v>
      </c>
      <c r="AY38" s="124"/>
      <c r="AZ38" s="124"/>
      <c r="BA38" s="124"/>
      <c r="BB38" s="124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206788.2</v>
      </c>
      <c r="D39" s="55">
        <f>'насел.'!D39+пільги!D39+субсидії!D39+'держ.бюджет'!D39+'місц.-районн.бюджет'!D39+обласний!D39+інші!D39</f>
        <v>82639.50000000001</v>
      </c>
      <c r="E39" s="55">
        <f>'насел.'!E39+пільги!E39+субсидії!E39+'держ.бюджет'!E39+'місц.-районн.бюджет'!E39+обласний!E39+інші!E39</f>
        <v>47260.799999999996</v>
      </c>
      <c r="F39" s="56">
        <f aca="true" t="shared" si="40" ref="F39:F44">E39/D39*100</f>
        <v>57.189116584684065</v>
      </c>
      <c r="G39" s="55">
        <f>'насел.'!G39+пільги!G39+субсидії!G39+'держ.бюджет'!G39+'місц.-районн.бюджет'!G39+обласний!G39+інші!G39</f>
        <v>83024.59999999999</v>
      </c>
      <c r="H39" s="55">
        <f>'насел.'!H39+пільги!H39+субсидії!H39+'держ.бюджет'!H39+'місц.-районн.бюджет'!H39+обласний!H39+інші!H39</f>
        <v>64684.200000000004</v>
      </c>
      <c r="I39" s="56">
        <f aca="true" t="shared" si="41" ref="I39:I44">H39/G39*100</f>
        <v>77.9096797816551</v>
      </c>
      <c r="J39" s="55">
        <f>'насел.'!J39+пільги!J39+субсидії!J39+'держ.бюджет'!J39+'місц.-районн.бюджет'!J39+обласний!J39+інші!J39</f>
        <v>67670.59999999999</v>
      </c>
      <c r="K39" s="55">
        <f>'насел.'!K39+пільги!K39+субсидії!K39+'держ.бюджет'!K39+'місц.-районн.бюджет'!K39+обласний!K39+інші!K39</f>
        <v>61710.8</v>
      </c>
      <c r="L39" s="56">
        <f aca="true" t="shared" si="42" ref="L39:L44">K39/J39*100</f>
        <v>91.1929257314107</v>
      </c>
      <c r="M39" s="56">
        <f>'насел.'!M39+пільги!M39+субсидії!M39+'держ.бюджет'!M39+'місц.-районн.бюджет'!M39+обласний!M39+інші!M39</f>
        <v>233334.7</v>
      </c>
      <c r="N39" s="56">
        <f>'насел.'!N39+пільги!N39+субсидії!N39+'держ.бюджет'!N39+'місц.-районн.бюджет'!N39+обласний!N39+інші!N39</f>
        <v>173655.80000000005</v>
      </c>
      <c r="O39" s="56">
        <f aca="true" t="shared" si="43" ref="O39:O44">N39/M39*100</f>
        <v>74.42347837676952</v>
      </c>
      <c r="P39" s="55">
        <f>'насел.'!P39+пільги!P39+субсидії!P39+'держ.бюджет'!P39+'місц.-районн.бюджет'!P39+обласний!P39+інші!P39</f>
        <v>17227.2</v>
      </c>
      <c r="Q39" s="55">
        <f>'насел.'!Q39+пільги!Q39+субсидії!Q39+'держ.бюджет'!Q39+'місц.-районн.бюджет'!Q39+обласний!Q39+інші!Q39</f>
        <v>48617.1</v>
      </c>
      <c r="R39" s="55">
        <f aca="true" t="shared" si="44" ref="R39:R44">Q39/P39*100</f>
        <v>282.2112705488994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22243.400000000005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11549.8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17227.2</v>
      </c>
      <c r="Z39" s="55">
        <f>'насел.'!Z39+пільги!Z39+субсидії!Z39+'держ.бюджет'!Z39+'місц.-районн.бюджет'!Z39+обласний!Z39+інші!Z39</f>
        <v>82410.3</v>
      </c>
      <c r="AA39" s="56">
        <f aca="true" t="shared" si="47" ref="AA39:AA44">Z39/Y39*100</f>
        <v>478.37315408191694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10406.199999999999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9660.699999999999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0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20066.9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250561.9</v>
      </c>
      <c r="AU39" s="95">
        <f>'насел.'!AU39+пільги!AU39+субсидії!AU39+'держ.бюджет'!AU39+'місц.-районн.бюджет'!AU39+обласний!AU39+інші!AU39</f>
        <v>276133</v>
      </c>
      <c r="AV39" s="56">
        <f aca="true" t="shared" si="52" ref="AV39:AV44">AU39/AT39*100</f>
        <v>110.20550211344981</v>
      </c>
      <c r="AW39" s="55">
        <f t="shared" si="13"/>
        <v>-25571.100000000006</v>
      </c>
      <c r="AX39" s="130">
        <f>'насел.'!AX39+пільги!AX39+субсидії!AX39+'держ.бюджет'!AX39+'місц.-районн.бюджет'!AX39+обласний!AX39+інші!AX39</f>
        <v>181217.10000000003</v>
      </c>
      <c r="AY39" s="129"/>
      <c r="AZ39" s="129"/>
      <c r="BA39" s="129"/>
      <c r="BB39" s="129"/>
    </row>
    <row r="40" spans="1:54" s="135" customFormat="1" ht="34.5" customHeight="1" hidden="1">
      <c r="A40" s="134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30">
        <f>'насел.'!AX40+пільги!AX40+субсидії!AX40+'держ.бюджет'!AX40+'місц.-районн.бюджет'!AX40+обласний!AX40+інші!AX40</f>
        <v>0</v>
      </c>
      <c r="AY40" s="124"/>
      <c r="AZ40" s="124"/>
      <c r="BA40" s="124"/>
      <c r="BB40" s="124"/>
    </row>
    <row r="41" spans="1:54" s="135" customFormat="1" ht="34.5" customHeight="1" hidden="1">
      <c r="A41" s="134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30">
        <f>'насел.'!AX41+пільги!AX41+субсидії!AX41+'держ.бюджет'!AX41+'місц.-районн.бюджет'!AX41+обласний!AX41+інші!AX41</f>
        <v>0</v>
      </c>
      <c r="AY41" s="124"/>
      <c r="AZ41" s="124"/>
      <c r="BA41" s="124"/>
      <c r="BB41" s="124"/>
    </row>
    <row r="42" spans="1:54" ht="45.75" customHeight="1">
      <c r="A42" s="48" t="s">
        <v>30</v>
      </c>
      <c r="B42" s="53" t="s">
        <v>165</v>
      </c>
      <c r="C42" s="95">
        <f>'насел.'!C42+пільги!C42+субсидії!C42+'держ.бюджет'!C42+'місц.-районн.бюджет'!C42+обласний!C42+інші!C42</f>
        <v>150084.2</v>
      </c>
      <c r="D42" s="95">
        <f>'насел.'!D42+пільги!D42+субсидії!D42+'держ.бюджет'!D42+'місц.-районн.бюджет'!D42+обласний!D42+інші!D42</f>
        <v>60100.20000000001</v>
      </c>
      <c r="E42" s="95">
        <f>'насел.'!E42+пільги!E42+субсидії!E42+'держ.бюджет'!E42+'місц.-районн.бюджет'!E42+обласний!E42+інші!E42</f>
        <v>34024.3</v>
      </c>
      <c r="F42" s="93">
        <f t="shared" si="40"/>
        <v>56.612623585279245</v>
      </c>
      <c r="G42" s="95">
        <f>'насел.'!G42+пільги!G42+субсидії!G42+'держ.бюджет'!G42+'місц.-районн.бюджет'!G42+обласний!G42+інші!G42</f>
        <v>60015.5</v>
      </c>
      <c r="H42" s="95">
        <f>'насел.'!H42+пільги!H42+субсидії!H42+'держ.бюджет'!H42+'місц.-районн.бюджет'!H42+обласний!H42+інші!H42</f>
        <v>48612.00000000001</v>
      </c>
      <c r="I42" s="93">
        <f t="shared" si="41"/>
        <v>80.99907523889664</v>
      </c>
      <c r="J42" s="95">
        <f>'насел.'!J42+пільги!J42+субсидії!J42+'держ.бюджет'!J42+'місц.-районн.бюджет'!J42+обласний!J42+інші!J42</f>
        <v>47726.9</v>
      </c>
      <c r="K42" s="95">
        <f>'насел.'!K42+пільги!K42+субсидії!K42+'держ.бюджет'!K42+'місц.-районн.бюджет'!K42+обласний!K42+інші!K42</f>
        <v>44028.100000000006</v>
      </c>
      <c r="L42" s="93">
        <f t="shared" si="42"/>
        <v>92.25007281009243</v>
      </c>
      <c r="M42" s="93">
        <f>'насел.'!M42+пільги!M42+субсидії!M42+'держ.бюджет'!M42+'місц.-районн.бюджет'!M42+обласний!M42+інші!M42</f>
        <v>167842.59999999998</v>
      </c>
      <c r="N42" s="93">
        <f>'насел.'!N42+пільги!N42+субсидії!N42+'держ.бюджет'!N42+'місц.-районн.бюджет'!N42+обласний!N42+інші!N42</f>
        <v>126664.4</v>
      </c>
      <c r="O42" s="93">
        <f t="shared" si="43"/>
        <v>75.4661808146442</v>
      </c>
      <c r="P42" s="95">
        <f>'насел.'!P42+пільги!P42+субсидії!P42+'держ.бюджет'!P42+'місц.-районн.бюджет'!P42+обласний!P42+інші!P42</f>
        <v>11975.4</v>
      </c>
      <c r="Q42" s="95">
        <f>'насел.'!Q42+пільги!Q42+субсидії!Q42+'держ.бюджет'!Q42+'місц.-районн.бюджет'!Q42+обласний!Q42+інші!Q42</f>
        <v>33710</v>
      </c>
      <c r="R42" s="95">
        <f t="shared" si="44"/>
        <v>281.49372881072867</v>
      </c>
      <c r="S42" s="95">
        <f>'насел.'!S42+пільги!S42+субсидії!S42+'держ.бюджет'!S42+'місц.-районн.бюджет'!S42+обласний!S42+інші!S42</f>
        <v>0</v>
      </c>
      <c r="T42" s="95">
        <f>'насел.'!T42+пільги!T42+субсидії!T42+'держ.бюджет'!T42+'місц.-районн.бюджет'!T42+обласний!T42+інші!T42</f>
        <v>16109.1</v>
      </c>
      <c r="U42" s="93" t="e">
        <f t="shared" si="45"/>
        <v>#DIV/0!</v>
      </c>
      <c r="V42" s="95">
        <f>'насел.'!V42+пільги!V42+субсидії!V42+'держ.бюджет'!V42+'місц.-районн.бюджет'!V42+обласний!V42+інші!V42</f>
        <v>0</v>
      </c>
      <c r="W42" s="95">
        <f>'насел.'!W42+пільги!W42+субсидії!W42+'держ.бюджет'!W42+'місц.-районн.бюджет'!W42+обласний!W42+інші!W42</f>
        <v>8388.9</v>
      </c>
      <c r="X42" s="93" t="e">
        <f t="shared" si="46"/>
        <v>#DIV/0!</v>
      </c>
      <c r="Y42" s="95">
        <f>'насел.'!Y42+пільги!Y42+субсидії!Y42+'держ.бюджет'!Y42+'місц.-районн.бюджет'!Y42+обласний!Y42+інші!Y42</f>
        <v>11975.4</v>
      </c>
      <c r="Z42" s="95">
        <f>'насел.'!Z42+пільги!Z42+субсидії!Z42+'держ.бюджет'!Z42+'місц.-районн.бюджет'!Z42+обласний!Z42+інші!Z42</f>
        <v>58207.99999999999</v>
      </c>
      <c r="AA42" s="93">
        <f t="shared" si="47"/>
        <v>486.06309601349426</v>
      </c>
      <c r="AB42" s="95">
        <f>'насел.'!AB42+пільги!AB42+субсидії!AB42+'держ.бюджет'!AB42+'місц.-районн.бюджет'!AB42+обласний!AB42+інші!AB42</f>
        <v>0</v>
      </c>
      <c r="AC42" s="95">
        <f>'насел.'!AC42+пільги!AC42+субсидії!AC42+'держ.бюджет'!AC42+'місц.-районн.бюджет'!AC42+обласний!AC42+інші!AC42</f>
        <v>7619.6</v>
      </c>
      <c r="AD42" s="93" t="e">
        <f t="shared" si="48"/>
        <v>#DIV/0!</v>
      </c>
      <c r="AE42" s="95">
        <f>'насел.'!AE42+пільги!AE42+субсидії!AE42+'держ.бюджет'!AE42+'місц.-районн.бюджет'!AE42+обласний!AE42+інші!AE42</f>
        <v>0</v>
      </c>
      <c r="AF42" s="95">
        <f>'насел.'!AF42+пільги!AF42+субсидії!AF42+'держ.бюджет'!AF42+'місц.-районн.бюджет'!AF42+обласний!AF42+інші!AF42</f>
        <v>7123.700000000001</v>
      </c>
      <c r="AG42" s="93" t="e">
        <f t="shared" si="49"/>
        <v>#DIV/0!</v>
      </c>
      <c r="AH42" s="95">
        <f>'насел.'!AH42+пільги!AH42+субсидії!AH42+'держ.бюджет'!AH42+'місц.-районн.бюджет'!AH42+обласний!AH42+інші!AH42</f>
        <v>0</v>
      </c>
      <c r="AI42" s="95">
        <f>'насел.'!AI42+пільги!AI42+субсидії!AI42+'держ.бюджет'!AI42+'місц.-районн.бюджет'!AI42+обласний!AI42+інші!AI42</f>
        <v>0</v>
      </c>
      <c r="AJ42" s="93" t="e">
        <f t="shared" si="50"/>
        <v>#DIV/0!</v>
      </c>
      <c r="AK42" s="55">
        <f>'насел.'!AK42+пільги!AR42+субсидії!AK42+'держ.бюджет'!AK42+'місц.-районн.бюджет'!AK42+обласний!AK42+інші!AK42</f>
        <v>0</v>
      </c>
      <c r="AL42" s="95">
        <f>'насел.'!AL42+пільги!AK42+субсидії!AL42+'держ.бюджет'!AL42+'місц.-районн.бюджет'!AL42+обласний!AL42+інші!AL42</f>
        <v>14743.3</v>
      </c>
      <c r="AM42" s="95" t="e">
        <f t="shared" si="51"/>
        <v>#DIV/0!</v>
      </c>
      <c r="AN42" s="55">
        <f>'насел.'!AN42+пільги!AN42+субсидії!AN42+'держ.бюджет'!AN42+'місц.-районн.бюджет'!AN42+обласний!AN42+інші!AN42</f>
        <v>0</v>
      </c>
      <c r="AO42" s="95">
        <f>'насел.'!AO42+пільги!AN42+субсидії!AO42+'держ.бюджет'!AO42+'місц.-районн.бюджет'!AO42+обласний!AO42+інші!AO42</f>
        <v>0</v>
      </c>
      <c r="AP42" s="95">
        <f>'насел.'!AP42+пільги!AO42+субсидії!AP42+'держ.бюджет'!AP42+'місц.-районн.бюджет'!AP42+обласний!AP42+інші!AP42</f>
        <v>0</v>
      </c>
      <c r="AQ42" s="95">
        <f>'насел.'!AQ42+пільги!AP42+субсидії!AQ42+'держ.бюджет'!AQ42+'місц.-районн.бюджет'!AQ42+обласний!AQ42+інші!AQ42</f>
        <v>0</v>
      </c>
      <c r="AR42" s="95">
        <f>'насел.'!AR42+пільги!AQ42+субсидії!AR42+'держ.бюджет'!AR42+'місц.-районн.бюджет'!AR42+обласний!AR42+інші!AR42</f>
        <v>0</v>
      </c>
      <c r="AS42" s="95">
        <f>'насел.'!AS42+пільги!AR42+субсидії!AS42+'держ.бюджет'!AS42+'місц.-районн.бюджет'!AS42+обласний!AS42+інші!AS42</f>
        <v>0</v>
      </c>
      <c r="AT42" s="95">
        <f>'насел.'!AT42+пільги!AT42+субсидії!AT42+'держ.бюджет'!AT42+'місц.-районн.бюджет'!AT42+обласний!AT42+інші!AT42</f>
        <v>179817.99999999997</v>
      </c>
      <c r="AU42" s="95">
        <f>'насел.'!AU42+пільги!AU42+субсидії!AU42+'держ.бюджет'!AU42+'місц.-районн.бюджет'!AU42+обласний!AU42+інші!AU42</f>
        <v>199615.69999999998</v>
      </c>
      <c r="AV42" s="93">
        <f t="shared" si="52"/>
        <v>111.00985440834623</v>
      </c>
      <c r="AW42" s="95">
        <f t="shared" si="13"/>
        <v>-19797.70000000001</v>
      </c>
      <c r="AX42" s="130">
        <f>'насел.'!AX42+пільги!AX42+субсидії!AX42+'держ.бюджет'!AX42+'місц.-районн.бюджет'!AX42+обласний!AX42+інші!AX42</f>
        <v>130286.50000000004</v>
      </c>
      <c r="AY42" s="124">
        <f>102596.2+13720.4</f>
        <v>116316.59999999999</v>
      </c>
      <c r="AZ42" s="124"/>
      <c r="BA42" s="124"/>
      <c r="BB42" s="124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30">
        <f>'насел.'!AX43+пільги!AX43+субсидії!AX43+'держ.бюджет'!AX43+'місц.-районн.бюджет'!AX43+обласний!AX43+інші!AX43</f>
        <v>0</v>
      </c>
      <c r="AY43" s="124"/>
      <c r="AZ43" s="124"/>
      <c r="BA43" s="124"/>
      <c r="BB43" s="124"/>
    </row>
    <row r="44" spans="1:54" ht="34.5" customHeight="1">
      <c r="A44" s="48" t="s">
        <v>32</v>
      </c>
      <c r="B44" s="89" t="s">
        <v>159</v>
      </c>
      <c r="C44" s="95">
        <f>'насел.'!C44+пільги!C44+субсидії!C44+'держ.бюджет'!C44+'місц.-районн.бюджет'!C44+обласний!C44+інші!C44</f>
        <v>56704</v>
      </c>
      <c r="D44" s="95">
        <f>'насел.'!D44+пільги!D44+субсидії!D44+'держ.бюджет'!D44+'місц.-районн.бюджет'!D44+обласний!D44+інші!D44</f>
        <v>22539.3</v>
      </c>
      <c r="E44" s="95">
        <f>'насел.'!E44+пільги!E44+субсидії!E44+'держ.бюджет'!E44+'місц.-районн.бюджет'!E44+обласний!E44+інші!E44</f>
        <v>13236.5</v>
      </c>
      <c r="F44" s="93">
        <f t="shared" si="40"/>
        <v>58.72631359447721</v>
      </c>
      <c r="G44" s="95">
        <f>'насел.'!G44+пільги!G44+субсидії!G44+'держ.бюджет'!G44+'місц.-районн.бюджет'!G44+обласний!G44+інші!G44</f>
        <v>23009.1</v>
      </c>
      <c r="H44" s="95">
        <f>'насел.'!H44+пільги!H44+субсидії!H44+'держ.бюджет'!H44+'місц.-районн.бюджет'!H44+обласний!H44+інші!H44</f>
        <v>16072.2</v>
      </c>
      <c r="I44" s="93">
        <f t="shared" si="41"/>
        <v>69.85149353951263</v>
      </c>
      <c r="J44" s="95">
        <f>'насел.'!J44+пільги!J44+субсидії!J44+'держ.бюджет'!J44+'місц.-районн.бюджет'!J44+обласний!J44+інші!J44</f>
        <v>19943.699999999997</v>
      </c>
      <c r="K44" s="95">
        <f>'насел.'!K44+пільги!K44+субсидії!K44+'держ.бюджет'!K44+'місц.-районн.бюджет'!K44+обласний!K44+інші!K44</f>
        <v>17682.699999999997</v>
      </c>
      <c r="L44" s="93">
        <f t="shared" si="42"/>
        <v>88.66308658874732</v>
      </c>
      <c r="M44" s="93">
        <f>'насел.'!M44+пільги!M44+субсидії!M44+'держ.бюджет'!M44+'місц.-районн.бюджет'!M44+обласний!M44+інші!M44</f>
        <v>65492.09999999999</v>
      </c>
      <c r="N44" s="93">
        <f>'насел.'!N44+пільги!N44+субсидії!N44+'держ.бюджет'!N44+'місц.-районн.бюджет'!N44+обласний!N44+інші!N44</f>
        <v>46991.40000000001</v>
      </c>
      <c r="O44" s="93">
        <f t="shared" si="43"/>
        <v>71.7512493873307</v>
      </c>
      <c r="P44" s="95">
        <f>'насел.'!P44+пільги!P44+субсидії!P44+'держ.бюджет'!P44+'місц.-районн.бюджет'!P44+обласний!P44+інші!P44</f>
        <v>5251.799999999999</v>
      </c>
      <c r="Q44" s="95">
        <f>'насел.'!Q44+пільги!Q44+субсидії!Q44+'держ.бюджет'!Q44+'місц.-районн.бюджет'!Q44+обласний!Q44+інші!Q44</f>
        <v>14907.1</v>
      </c>
      <c r="R44" s="95">
        <f t="shared" si="44"/>
        <v>283.84744278152255</v>
      </c>
      <c r="S44" s="95">
        <f>'насел.'!S44+пільги!S44+субсидії!S44+'держ.бюджет'!S44+'місц.-районн.бюджет'!S44+обласний!S44+інші!S44</f>
        <v>0</v>
      </c>
      <c r="T44" s="95">
        <f>'насел.'!T44+пільги!T44+субсидії!T44+'держ.бюджет'!T44+'місц.-районн.бюджет'!T44+обласний!T44+інші!T44</f>
        <v>6134.3</v>
      </c>
      <c r="U44" s="93" t="e">
        <f t="shared" si="45"/>
        <v>#DIV/0!</v>
      </c>
      <c r="V44" s="95">
        <f>'насел.'!V44+пільги!V44+субсидії!V44+'держ.бюджет'!V44+'місц.-районн.бюджет'!V44+обласний!V44+інші!V44</f>
        <v>0</v>
      </c>
      <c r="W44" s="95">
        <f>'насел.'!W44+пільги!W44+субсидії!W44+'держ.бюджет'!W44+'місц.-районн.бюджет'!W44+обласний!W44+інші!W44</f>
        <v>3160.9</v>
      </c>
      <c r="X44" s="93" t="e">
        <f t="shared" si="46"/>
        <v>#DIV/0!</v>
      </c>
      <c r="Y44" s="95">
        <f>'насел.'!Y44+пільги!Y44+субсидії!Y44+'держ.бюджет'!Y44+'місц.-районн.бюджет'!Y44+обласний!Y44+інші!Y44</f>
        <v>5251.799999999999</v>
      </c>
      <c r="Z44" s="95">
        <f>'насел.'!Z44+пільги!Z44+субсидії!Z44+'держ.бюджет'!Z44+'місц.-районн.бюджет'!Z44+обласний!Z44+інші!Z44</f>
        <v>24202.299999999996</v>
      </c>
      <c r="AA44" s="93">
        <f t="shared" si="47"/>
        <v>460.83818881145515</v>
      </c>
      <c r="AB44" s="95">
        <f>'насел.'!AB44+пільги!AB44+субсидії!AB44+'держ.бюджет'!AB44+'місц.-районн.бюджет'!AB44+обласний!AB44+інші!AB44</f>
        <v>0</v>
      </c>
      <c r="AC44" s="95">
        <f>'насел.'!AC44+пільги!AC44+субсидії!AC44+'держ.бюджет'!AC44+'місц.-районн.бюджет'!AC44+обласний!AC44+інші!AC44</f>
        <v>2786.6000000000004</v>
      </c>
      <c r="AD44" s="93" t="e">
        <f t="shared" si="48"/>
        <v>#DIV/0!</v>
      </c>
      <c r="AE44" s="95">
        <f>'насел.'!AE44+пільги!AE44+субсидії!AE44+'держ.бюджет'!AE44+'місц.-районн.бюджет'!AE44+обласний!AE44+інші!AE44</f>
        <v>0</v>
      </c>
      <c r="AF44" s="95">
        <f>'насел.'!AF44+пільги!AF44+субсидії!AF44+'держ.бюджет'!AF44+'місц.-районн.бюджет'!AF44+обласний!AF44+інші!AF44</f>
        <v>2537</v>
      </c>
      <c r="AG44" s="93" t="e">
        <f t="shared" si="49"/>
        <v>#DIV/0!</v>
      </c>
      <c r="AH44" s="95">
        <f>'насел.'!AH44+пільги!AH44+субсидії!AH44+'держ.бюджет'!AH44+'місц.-районн.бюджет'!AH44+обласний!AH44+інші!AH44</f>
        <v>0</v>
      </c>
      <c r="AI44" s="95">
        <f>'насел.'!AI44+пільги!AI44+субсидії!AI44+'держ.бюджет'!AI44+'місц.-районн.бюджет'!AI44+обласний!AI44+інші!AI44</f>
        <v>0</v>
      </c>
      <c r="AJ44" s="93" t="e">
        <f t="shared" si="50"/>
        <v>#DIV/0!</v>
      </c>
      <c r="AK44" s="55">
        <f>'насел.'!AK44+пільги!AR44+субсидії!AK44+'держ.бюджет'!AK44+'місц.-районн.бюджет'!AK44+обласний!AK44+інші!AK44</f>
        <v>0</v>
      </c>
      <c r="AL44" s="95">
        <f>'насел.'!AL44+пільги!AK44+субсидії!AL44+'держ.бюджет'!AL44+'місц.-районн.бюджет'!AL44+обласний!AL44+інші!AL44</f>
        <v>5323.599999999999</v>
      </c>
      <c r="AM44" s="95" t="e">
        <f t="shared" si="51"/>
        <v>#DIV/0!</v>
      </c>
      <c r="AN44" s="55">
        <f>'насел.'!AN44+пільги!AN44+субсидії!AN44+'держ.бюджет'!AN44+'місц.-районн.бюджет'!AN44+обласний!AN44+інші!AN44</f>
        <v>0</v>
      </c>
      <c r="AO44" s="95">
        <f>'насел.'!AO44+пільги!AN44+субсидії!AO44+'держ.бюджет'!AO44+'місц.-районн.бюджет'!AO44+обласний!AO44+інші!AO44</f>
        <v>0</v>
      </c>
      <c r="AP44" s="95">
        <f>'насел.'!AP44+пільги!AO44+субсидії!AP44+'держ.бюджет'!AP44+'місц.-районн.бюджет'!AP44+обласний!AP44+інші!AP44</f>
        <v>0</v>
      </c>
      <c r="AQ44" s="95">
        <f>'насел.'!AQ44+пільги!AP44+субсидії!AQ44+'держ.бюджет'!AQ44+'місц.-районн.бюджет'!AQ44+обласний!AQ44+інші!AQ44</f>
        <v>0</v>
      </c>
      <c r="AR44" s="95">
        <f>'насел.'!AR44+пільги!AQ44+субсидії!AR44+'держ.бюджет'!AR44+'місц.-районн.бюджет'!AR44+обласний!AR44+інші!AR44</f>
        <v>0</v>
      </c>
      <c r="AS44" s="95">
        <f>'насел.'!AS44+пільги!AR44+субсидії!AS44+'держ.бюджет'!AS44+'місц.-районн.бюджет'!AS44+обласний!AS44+інші!AS44</f>
        <v>0</v>
      </c>
      <c r="AT44" s="95">
        <f>'насел.'!AT44+пільги!AT44+субсидії!AT44+'держ.бюджет'!AT44+'місц.-районн.бюджет'!AT44+обласний!AT44+інші!AT44</f>
        <v>70743.9</v>
      </c>
      <c r="AU44" s="95">
        <f>'насел.'!AU44+пільги!AU44+субсидії!AU44+'держ.бюджет'!AU44+'місц.-районн.бюджет'!AU44+обласний!AU44+інші!AU44</f>
        <v>76517.3</v>
      </c>
      <c r="AV44" s="93">
        <f t="shared" si="52"/>
        <v>108.16098631825501</v>
      </c>
      <c r="AW44" s="95">
        <f t="shared" si="13"/>
        <v>-5773.400000000009</v>
      </c>
      <c r="AX44" s="130">
        <f>'насел.'!AX44+пільги!AX44+субсидії!AX44+'держ.бюджет'!AX44+'місц.-районн.бюджет'!AX44+обласний!AX44+інші!AX44</f>
        <v>50930.59999999999</v>
      </c>
      <c r="AY44" s="124"/>
      <c r="AZ44" s="124"/>
      <c r="BA44" s="124"/>
      <c r="BB44" s="124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6891.5</v>
      </c>
      <c r="H45" s="55">
        <f>'насел.'!H45+пільги!H45+субсидії!H45+'держ.бюджет'!H45+'місц.-районн.бюджет'!H45+обласний!H45+інші!H45</f>
        <v>5182.8</v>
      </c>
      <c r="I45" s="56">
        <f aca="true" t="shared" si="54" ref="I45:I71">H45/G45*100</f>
        <v>75.20568816658202</v>
      </c>
      <c r="J45" s="55">
        <f>'насел.'!J45+пільги!J45+субсидії!J45+'держ.бюджет'!J45+'місц.-районн.бюджет'!J45+обласний!J45+інші!J45</f>
        <v>5567.2</v>
      </c>
      <c r="K45" s="55">
        <f>'насел.'!K45+пільги!K45+субсидії!K45+'держ.бюджет'!K45+'місц.-районн.бюджет'!K45+обласний!K45+інші!K45</f>
        <v>5871.9</v>
      </c>
      <c r="L45" s="56">
        <f aca="true" t="shared" si="55" ref="L45:L71">K45/J45*100</f>
        <v>105.47312832303493</v>
      </c>
      <c r="M45" s="56">
        <f>'насел.'!M45+пільги!M45+субсидії!M45+'держ.бюджет'!M45+'місц.-районн.бюджет'!M45+обласний!M45+інші!M45</f>
        <v>32183.100000000002</v>
      </c>
      <c r="N45" s="56">
        <f>'насел.'!N45+пільги!N45+субсидії!N45+'держ.бюджет'!N45+'місц.-районн.бюджет'!N45+обласний!N45+інші!N45</f>
        <v>15024.199999999999</v>
      </c>
      <c r="O45" s="56">
        <f aca="true" t="shared" si="56" ref="O45:O71">N45/M45*100</f>
        <v>46.68350780378521</v>
      </c>
      <c r="P45" s="55">
        <f>'насел.'!P45+пільги!P45+субсидії!P45+'держ.бюджет'!P45+'місц.-районн.бюджет'!P45+обласний!P45+інші!P45</f>
        <v>477.4</v>
      </c>
      <c r="Q45" s="55">
        <f>'насел.'!Q45+пільги!Q45+субсидії!Q45+'держ.бюджет'!Q45+'місц.-районн.бюджет'!Q45+обласний!Q45+інші!Q45</f>
        <v>1356.9</v>
      </c>
      <c r="R45" s="55">
        <f aca="true" t="shared" si="57" ref="R45:R71">Q45/P45*100</f>
        <v>284.22706325932137</v>
      </c>
      <c r="S45" s="55">
        <f>'насел.'!S45+пільги!S45+субсидії!S45+'держ.бюджет'!S45+'місц.-районн.бюджет'!S45+обласний!S45+інші!S45</f>
        <v>34.6</v>
      </c>
      <c r="T45" s="55">
        <f>'насел.'!T45+пільги!T45+субсидії!T45+'держ.бюджет'!T45+'місц.-районн.бюджет'!T45+обласний!T45+інші!T45</f>
        <v>1253.9</v>
      </c>
      <c r="U45" s="56">
        <f aca="true" t="shared" si="58" ref="U45:U71">T45/S45*100</f>
        <v>3623.9884393063585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1.7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512</v>
      </c>
      <c r="Z45" s="55">
        <f>'насел.'!Z45+пільги!Z45+субсидії!Z45+'держ.бюджет'!Z45+'місц.-районн.бюджет'!Z45+обласний!Z45+інші!Z45</f>
        <v>2612.5</v>
      </c>
      <c r="AA45" s="56">
        <f aca="true" t="shared" si="60" ref="AA45:AA71">Z45/Y45*100</f>
        <v>510.25390625</v>
      </c>
      <c r="AB45" s="55">
        <f>'насел.'!AB45+пільги!AB45+субсидії!AB45+'держ.бюджет'!AB45+'місц.-районн.бюджет'!AB45+обласний!AB45+інші!AB45</f>
        <v>16.5</v>
      </c>
      <c r="AC45" s="55">
        <f>'насел.'!AC45+пільги!AC45+субсидії!AC45+'держ.бюджет'!AC45+'місц.-районн.бюджет'!AC45+обласний!AC45+інші!AC45</f>
        <v>36.2</v>
      </c>
      <c r="AD45" s="56">
        <f aca="true" t="shared" si="61" ref="AD45:AD71">AC45/AB45*100</f>
        <v>219.39393939393943</v>
      </c>
      <c r="AE45" s="55">
        <f>'насел.'!AE45+пільги!AE45+субсидії!AE45+'держ.бюджет'!AE45+'місц.-районн.бюджет'!AE45+обласний!AE45+інші!AE45</f>
        <v>11.7</v>
      </c>
      <c r="AF45" s="55">
        <f>'насел.'!AF45+пільги!AF45+субсидії!AF45+'держ.бюджет'!AF45+'місц.-районн.бюджет'!AF45+обласний!AF45+інші!AF45</f>
        <v>17.6</v>
      </c>
      <c r="AG45" s="56">
        <f aca="true" t="shared" si="62" ref="AG45:AG71">AF45/AE45*100</f>
        <v>150.42735042735046</v>
      </c>
      <c r="AH45" s="55">
        <f>'насел.'!AH45+пільги!AH45+субсидії!AH45+'держ.бюджет'!AH45+'місц.-районн.бюджет'!AH45+обласний!AH45+інші!AH45</f>
        <v>0</v>
      </c>
      <c r="AI45" s="55">
        <f>'насел.'!AI45+пільги!AI45+субсидії!AI45+'держ.бюджет'!AI45+'місц.-районн.бюджет'!AI45+обласний!AI45+інші!AI45</f>
        <v>0</v>
      </c>
      <c r="AJ45" s="56" t="e">
        <f aca="true" t="shared" si="63" ref="AJ45:AJ71">AI45/AH45*100</f>
        <v>#DIV/0!</v>
      </c>
      <c r="AK45" s="55">
        <f>'насел.'!AK45+пільги!AR45+субсидії!AK45+'держ.бюджет'!AK45+'місц.-районн.бюджет'!AK45+обласний!AK45+інші!AK45</f>
        <v>28.2</v>
      </c>
      <c r="AL45" s="55">
        <f>'насел.'!AL45+пільги!AK45+субсидії!AL45+'держ.бюджет'!AL45+'місц.-районн.бюджет'!AL45+обласний!AL45+інші!AL45</f>
        <v>53.800000000000004</v>
      </c>
      <c r="AM45" s="55">
        <f aca="true" t="shared" si="64" ref="AM45:AM71">AL45/AK45*100</f>
        <v>190.78014184397165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32723.3</v>
      </c>
      <c r="AU45" s="55">
        <f>'насел.'!AU45+пільги!AU45+субсидії!AU45+'держ.бюджет'!AU45+'місц.-районн.бюджет'!AU45+обласний!AU45+інші!AU45</f>
        <v>17690.5</v>
      </c>
      <c r="AV45" s="56">
        <f aca="true" t="shared" si="65" ref="AV45:AV71">AU45/AT45*100</f>
        <v>54.06086794424768</v>
      </c>
      <c r="AW45" s="55">
        <f t="shared" si="13"/>
        <v>15032.8</v>
      </c>
      <c r="AX45" s="130">
        <f>'насел.'!AX45+пільги!AX45+субсидії!AX45+'держ.бюджет'!AX45+'місц.-районн.бюджет'!AX45+обласний!AX45+інші!AX45</f>
        <v>27699.2</v>
      </c>
      <c r="AY45" s="129"/>
      <c r="AZ45" s="129"/>
      <c r="BA45" s="129"/>
      <c r="BB45" s="129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30">
        <f>'насел.'!AX46+пільги!AX46+субсидії!AX46+'держ.бюджет'!AX46+'місц.-районн.бюджет'!AX46+обласний!AX46+інші!AX46</f>
        <v>0</v>
      </c>
      <c r="AY46" s="124"/>
      <c r="AZ46" s="124"/>
      <c r="BA46" s="124"/>
      <c r="BB46" s="124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30">
        <f>'насел.'!AX47+пільги!AX47+субсидії!AX47+'держ.бюджет'!AX47+'місц.-районн.бюджет'!AX47+обласний!AX47+інші!AX47</f>
        <v>0</v>
      </c>
      <c r="AY47" s="124"/>
      <c r="AZ47" s="124"/>
      <c r="BA47" s="124"/>
      <c r="BB47" s="124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30">
        <f>'насел.'!AX48+пільги!AX48+субсидії!AX48+'держ.бюджет'!AX48+'місц.-районн.бюджет'!AX48+обласний!AX48+інші!AX48</f>
        <v>0</v>
      </c>
      <c r="AY48" s="124"/>
      <c r="AZ48" s="124"/>
      <c r="BA48" s="124"/>
      <c r="BB48" s="124"/>
    </row>
    <row r="49" spans="1:54" ht="34.5" customHeight="1">
      <c r="A49" s="48" t="s">
        <v>11</v>
      </c>
      <c r="B49" s="52" t="s">
        <v>160</v>
      </c>
      <c r="C49" s="95">
        <f>'насел.'!C49+пільги!C49+субсидії!C49+'держ.бюджет'!C49+'місц.-районн.бюджет'!C49+обласний!C49+інші!C49</f>
        <v>1464.3</v>
      </c>
      <c r="D49" s="95">
        <f>'насел.'!D49+пільги!D49+субсидії!D49+'держ.бюджет'!D49+'місц.-районн.бюджет'!D49+обласний!D49+інші!D49</f>
        <v>0</v>
      </c>
      <c r="E49" s="95">
        <f>'насел.'!E49+пільги!E49+субсидії!E49+'держ.бюджет'!E49+'місц.-районн.бюджет'!E49+обласний!E49+інші!E49</f>
        <v>4.6</v>
      </c>
      <c r="F49" s="93" t="e">
        <f t="shared" si="53"/>
        <v>#DIV/0!</v>
      </c>
      <c r="G49" s="95">
        <f>'насел.'!G49+пільги!G49+субсидії!G49+'держ.бюджет'!G49+'місц.-районн.бюджет'!G49+обласний!G49+інші!G49</f>
        <v>0</v>
      </c>
      <c r="H49" s="95">
        <f>'насел.'!H49+пільги!H49+субсидії!H49+'держ.бюджет'!H49+'місц.-районн.бюджет'!H49+обласний!H49+інші!H49</f>
        <v>15.9</v>
      </c>
      <c r="I49" s="93" t="e">
        <f t="shared" si="54"/>
        <v>#DIV/0!</v>
      </c>
      <c r="J49" s="95">
        <f>'насел.'!J49+пільги!J49+субсидії!J49+'держ.бюджет'!J49+'місц.-районн.бюджет'!J49+обласний!J49+інші!J49</f>
        <v>0</v>
      </c>
      <c r="K49" s="95">
        <f>'насел.'!K49+пільги!K49+субсидії!K49+'держ.бюджет'!K49+'місц.-районн.бюджет'!K49+обласний!K49+інші!K49</f>
        <v>14.5</v>
      </c>
      <c r="L49" s="136" t="e">
        <f t="shared" si="55"/>
        <v>#DIV/0!</v>
      </c>
      <c r="M49" s="93">
        <f>'насел.'!M49+пільги!M49+субсидії!M49+'держ.бюджет'!M49+'місц.-районн.бюджет'!M49+обласний!M49+інші!M49</f>
        <v>0</v>
      </c>
      <c r="N49" s="93">
        <f>'насел.'!N49+пільги!N49+субсидії!N49+'держ.бюджет'!N49+'місц.-районн.бюджет'!N49+обласний!N49+інші!N49</f>
        <v>35</v>
      </c>
      <c r="O49" s="93" t="e">
        <f t="shared" si="56"/>
        <v>#DIV/0!</v>
      </c>
      <c r="P49" s="95">
        <f>'насел.'!P49+пільги!P49+субсидії!P49+'держ.бюджет'!P49+'місц.-районн.бюджет'!P49+обласний!P49+інші!P49</f>
        <v>0</v>
      </c>
      <c r="Q49" s="95">
        <f>'насел.'!Q49+пільги!Q49+субсидії!Q49+'держ.бюджет'!Q49+'місц.-районн.бюджет'!Q49+обласний!Q49+інші!Q49</f>
        <v>1.7</v>
      </c>
      <c r="R49" s="95" t="e">
        <f t="shared" si="57"/>
        <v>#DIV/0!</v>
      </c>
      <c r="S49" s="95">
        <f>'насел.'!S49+пільги!S49+субсидії!S49+'держ.бюджет'!S49+'місц.-районн.бюджет'!S49+обласний!S49+інші!S49</f>
        <v>0</v>
      </c>
      <c r="T49" s="95">
        <f>'насел.'!T49+пільги!T49+субсидії!T49+'держ.бюджет'!T49+'місц.-районн.бюджет'!T49+обласний!T49+інші!T49</f>
        <v>2.4</v>
      </c>
      <c r="U49" s="93" t="e">
        <f t="shared" si="58"/>
        <v>#DIV/0!</v>
      </c>
      <c r="V49" s="95">
        <f>'насел.'!V49+пільги!V49+субсидії!V49+'держ.бюджет'!V49+'місц.-районн.бюджет'!V49+обласний!V49+інші!V49</f>
        <v>0</v>
      </c>
      <c r="W49" s="95">
        <f>'насел.'!W49+пільги!W49+субсидії!W49+'держ.бюджет'!W49+'місц.-районн.бюджет'!W49+обласний!W49+інші!W49</f>
        <v>1.7</v>
      </c>
      <c r="X49" s="93" t="e">
        <f t="shared" si="59"/>
        <v>#DIV/0!</v>
      </c>
      <c r="Y49" s="95">
        <f>'насел.'!Y49+пільги!Y49+субсидії!Y49+'держ.бюджет'!Y49+'місц.-районн.бюджет'!Y49+обласний!Y49+інші!Y49</f>
        <v>0</v>
      </c>
      <c r="Z49" s="95">
        <f>'насел.'!Z49+пільги!Z49+субсидії!Z49+'держ.бюджет'!Z49+'місц.-районн.бюджет'!Z49+обласний!Z49+інші!Z49</f>
        <v>5.8</v>
      </c>
      <c r="AA49" s="93" t="e">
        <f t="shared" si="60"/>
        <v>#DIV/0!</v>
      </c>
      <c r="AB49" s="95">
        <f>'насел.'!AB49+пільги!AB49+субсидії!AB49+'держ.бюджет'!AB49+'місц.-районн.бюджет'!AB49+обласний!AB49+інші!AB49</f>
        <v>0</v>
      </c>
      <c r="AC49" s="95">
        <f>'насел.'!AC49+пільги!AC49+субсидії!AC49+'держ.бюджет'!AC49+'місц.-районн.бюджет'!AC49+обласний!AC49+інші!AC49</f>
        <v>1.6</v>
      </c>
      <c r="AD49" s="93" t="e">
        <f t="shared" si="61"/>
        <v>#DIV/0!</v>
      </c>
      <c r="AE49" s="95">
        <f>'насел.'!AE49+пільги!AE49+субсидії!AE49+'держ.бюджет'!AE49+'місц.-районн.бюджет'!AE49+обласний!AE49+інші!AE49</f>
        <v>0</v>
      </c>
      <c r="AF49" s="95">
        <f>'насел.'!AF49+пільги!AF49+субсидії!AF49+'держ.бюджет'!AF49+'місц.-районн.бюджет'!AF49+обласний!AF49+інші!AF49</f>
        <v>1.1</v>
      </c>
      <c r="AG49" s="93" t="e">
        <f t="shared" si="62"/>
        <v>#DIV/0!</v>
      </c>
      <c r="AH49" s="95">
        <f>'насел.'!AH49+пільги!AH49+субсидії!AH49+'держ.бюджет'!AH49+'місц.-районн.бюджет'!AH49+обласний!AH49+інші!AH49</f>
        <v>0</v>
      </c>
      <c r="AI49" s="95">
        <f>'насел.'!AI49+пільги!AI49+субсидії!AI49+'держ.бюджет'!AI49+'місц.-районн.бюджет'!AI49+обласний!AI49+інші!AI49</f>
        <v>0</v>
      </c>
      <c r="AJ49" s="93" t="e">
        <f t="shared" si="63"/>
        <v>#DIV/0!</v>
      </c>
      <c r="AK49" s="55">
        <f>'насел.'!AK49+пільги!AR49+субсидії!AK49+'держ.бюджет'!AK49+'місц.-районн.бюджет'!AK49+обласний!AK49+інші!AK49</f>
        <v>0</v>
      </c>
      <c r="AL49" s="95">
        <f>'насел.'!AL49+пільги!AK49+субсидії!AL49+'держ.бюджет'!AL49+'місц.-районн.бюджет'!AL49+обласний!AL49+інші!AL49</f>
        <v>2.7</v>
      </c>
      <c r="AM49" s="95" t="e">
        <f t="shared" si="64"/>
        <v>#DIV/0!</v>
      </c>
      <c r="AN49" s="55">
        <f>'насел.'!AN49+пільги!AN49+субсидії!AN49+'держ.бюджет'!AN49+'місц.-районн.бюджет'!AN49+обласний!AN49+інші!AN49</f>
        <v>0</v>
      </c>
      <c r="AO49" s="95">
        <f>'насел.'!AO49+пільги!AN49+субсидії!AO49+'держ.бюджет'!AO49+'місц.-районн.бюджет'!AO49+обласний!AO49+інші!AO49</f>
        <v>0</v>
      </c>
      <c r="AP49" s="95">
        <f>'насел.'!AP49+пільги!AO49+субсидії!AP49+'держ.бюджет'!AP49+'місц.-районн.бюджет'!AP49+обласний!AP49+інші!AP49</f>
        <v>0</v>
      </c>
      <c r="AQ49" s="95">
        <f>'насел.'!AQ49+пільги!AP49+субсидії!AQ49+'держ.бюджет'!AQ49+'місц.-районн.бюджет'!AQ49+обласний!AQ49+інші!AQ49</f>
        <v>0</v>
      </c>
      <c r="AR49" s="95">
        <f>'насел.'!AR49+пільги!AQ49+субсидії!AR49+'держ.бюджет'!AR49+'місц.-районн.бюджет'!AR49+обласний!AR49+інші!AR49</f>
        <v>0</v>
      </c>
      <c r="AS49" s="95">
        <f>'насел.'!AS49+пільги!AR49+субсидії!AS49+'держ.бюджет'!AS49+'місц.-районн.бюджет'!AS49+обласний!AS49+інші!AS49</f>
        <v>0</v>
      </c>
      <c r="AT49" s="95">
        <f>'насел.'!AT49+пільги!AT49+субсидії!AT49+'держ.бюджет'!AT49+'місц.-районн.бюджет'!AT49+обласний!AT49+інші!AT49</f>
        <v>0</v>
      </c>
      <c r="AU49" s="95">
        <f>'насел.'!AU49+пільги!AU49+субсидії!AU49+'держ.бюджет'!AU49+'місц.-районн.бюджет'!AU49+обласний!AU49+інші!AU49</f>
        <v>43.5</v>
      </c>
      <c r="AV49" s="136" t="e">
        <f t="shared" si="65"/>
        <v>#DIV/0!</v>
      </c>
      <c r="AW49" s="95">
        <f t="shared" si="13"/>
        <v>-43.5</v>
      </c>
      <c r="AX49" s="130">
        <f>'насел.'!AX49+пільги!AX49+субсидії!AX49+'держ.бюджет'!AX49+'місц.-районн.бюджет'!AX49+обласний!AX49+інші!AX49</f>
        <v>1420.8</v>
      </c>
      <c r="AY49" s="124"/>
      <c r="AZ49" s="124"/>
      <c r="BA49" s="124"/>
      <c r="BB49" s="124"/>
    </row>
    <row r="50" spans="1:54" ht="34.5" customHeight="1">
      <c r="A50" s="48" t="s">
        <v>9</v>
      </c>
      <c r="B50" s="51" t="s">
        <v>138</v>
      </c>
      <c r="C50" s="95">
        <f>'насел.'!C50+пільги!C50+субсидії!C50+'держ.бюджет'!C50+'місц.-районн.бюджет'!C50+обласний!C50+інші!C50</f>
        <v>0</v>
      </c>
      <c r="D50" s="95">
        <f>'насел.'!D50+пільги!D50+субсидії!D50+'держ.бюджет'!D50+'місц.-районн.бюджет'!D50+обласний!D50+інші!D50</f>
        <v>1808.2</v>
      </c>
      <c r="E50" s="95">
        <f>'насел.'!E50+пільги!E50+субсидії!E50+'держ.бюджет'!E50+'місц.-районн.бюджет'!E50+обласний!E50+інші!E50</f>
        <v>0</v>
      </c>
      <c r="F50" s="93">
        <f t="shared" si="53"/>
        <v>0</v>
      </c>
      <c r="G50" s="95">
        <f>'насел.'!G50+пільги!G50+субсидії!G50+'держ.бюджет'!G50+'місц.-районн.бюджет'!G50+обласний!G50+інші!G50</f>
        <v>1978.3000000000002</v>
      </c>
      <c r="H50" s="95">
        <f>'насел.'!H50+пільги!H50+субсидії!H50+'держ.бюджет'!H50+'місц.-районн.бюджет'!H50+обласний!H50+інші!H50</f>
        <v>1545.2</v>
      </c>
      <c r="I50" s="93">
        <f t="shared" si="54"/>
        <v>78.1074660061669</v>
      </c>
      <c r="J50" s="95">
        <f>'насел.'!J50+пільги!J50+субсидії!J50+'держ.бюджет'!J50+'місц.-районн.бюджет'!J50+обласний!J50+інші!J50</f>
        <v>1586.7</v>
      </c>
      <c r="K50" s="95">
        <f>'насел.'!K50+пільги!K50+субсидії!K50+'держ.бюджет'!K50+'місц.-районн.бюджет'!K50+обласний!K50+інші!K50</f>
        <v>1698.7</v>
      </c>
      <c r="L50" s="93">
        <f t="shared" si="55"/>
        <v>107.05867523791517</v>
      </c>
      <c r="M50" s="93">
        <f>'насел.'!M50+пільги!M50+субсидії!M50+'держ.бюджет'!M50+'місц.-районн.бюджет'!M50+обласний!M50+інші!M50</f>
        <v>5373.200000000001</v>
      </c>
      <c r="N50" s="93">
        <f>'насел.'!N50+пільги!N50+субсидії!N50+'держ.бюджет'!N50+'місц.-районн.бюджет'!N50+обласний!N50+інші!N50</f>
        <v>3243.9</v>
      </c>
      <c r="O50" s="93">
        <f t="shared" si="56"/>
        <v>60.37184545522221</v>
      </c>
      <c r="P50" s="95">
        <f>'насел.'!P50+пільги!P50+субсидії!P50+'держ.бюджет'!P50+'місц.-районн.бюджет'!P50+обласний!P50+інші!P50</f>
        <v>477.4</v>
      </c>
      <c r="Q50" s="95">
        <f>'насел.'!Q50+пільги!Q50+субсидії!Q50+'держ.бюджет'!Q50+'місц.-районн.бюджет'!Q50+обласний!Q50+інші!Q50</f>
        <v>1355.2</v>
      </c>
      <c r="R50" s="95">
        <f t="shared" si="57"/>
        <v>283.8709677419355</v>
      </c>
      <c r="S50" s="95">
        <f>'насел.'!S50+пільги!S50+субсидії!S50+'держ.бюджет'!S50+'місц.-районн.бюджет'!S50+обласний!S50+інші!S50</f>
        <v>34.6</v>
      </c>
      <c r="T50" s="95">
        <f>'насел.'!T50+пільги!T50+субсидії!T50+'держ.бюджет'!T50+'місц.-районн.бюджет'!T50+обласний!T50+інші!T50</f>
        <v>1251.5</v>
      </c>
      <c r="U50" s="93">
        <f t="shared" si="58"/>
        <v>3617.0520231213873</v>
      </c>
      <c r="V50" s="95">
        <f>'насел.'!V50+пільги!V50+субсидії!V50+'держ.бюджет'!V50+'місц.-районн.бюджет'!V50+обласний!V50+інші!V50</f>
        <v>0</v>
      </c>
      <c r="W50" s="95">
        <f>'насел.'!W50+пільги!W50+субсидії!W50+'держ.бюджет'!W50+'місц.-районн.бюджет'!W50+обласний!W50+інші!W50</f>
        <v>0</v>
      </c>
      <c r="X50" s="93" t="e">
        <f t="shared" si="59"/>
        <v>#DIV/0!</v>
      </c>
      <c r="Y50" s="95">
        <f>'насел.'!Y50+пільги!Y50+субсидії!Y50+'держ.бюджет'!Y50+'місц.-районн.бюджет'!Y50+обласний!Y50+інші!Y50</f>
        <v>512</v>
      </c>
      <c r="Z50" s="95">
        <f>'насел.'!Z50+пільги!Z50+субсидії!Z50+'держ.бюджет'!Z50+'місц.-районн.бюджет'!Z50+обласний!Z50+інші!Z50</f>
        <v>2606.7</v>
      </c>
      <c r="AA50" s="93">
        <f t="shared" si="60"/>
        <v>509.12109374999994</v>
      </c>
      <c r="AB50" s="95">
        <f>'насел.'!AB50+пільги!AB50+субсидії!AB50+'держ.бюджет'!AB50+'місц.-районн.бюджет'!AB50+обласний!AB50+інші!AB50</f>
        <v>16.5</v>
      </c>
      <c r="AC50" s="95">
        <f>'насел.'!AC50+пільги!AC50+субсидії!AC50+'держ.бюджет'!AC50+'місц.-районн.бюджет'!AC50+обласний!AC50+інші!AC50</f>
        <v>34.6</v>
      </c>
      <c r="AD50" s="93">
        <f t="shared" si="61"/>
        <v>209.69696969696972</v>
      </c>
      <c r="AE50" s="95">
        <f>'насел.'!AE50+пільги!AE50+субсидії!AE50+'держ.бюджет'!AE50+'місц.-районн.бюджет'!AE50+обласний!AE50+інші!AE50</f>
        <v>11.7</v>
      </c>
      <c r="AF50" s="95">
        <f>'насел.'!AF50+пільги!AF50+субсидії!AF50+'держ.бюджет'!AF50+'місц.-районн.бюджет'!AF50+обласний!AF50+інші!AF50</f>
        <v>16.5</v>
      </c>
      <c r="AG50" s="93">
        <f t="shared" si="62"/>
        <v>141.02564102564102</v>
      </c>
      <c r="AH50" s="95">
        <f>'насел.'!AH50+пільги!AH50+субсидії!AH50+'держ.бюджет'!AH50+'місц.-районн.бюджет'!AH50+обласний!AH50+інші!AH50</f>
        <v>0</v>
      </c>
      <c r="AI50" s="95">
        <f>'насел.'!AI50+пільги!AI50+субсидії!AI50+'держ.бюджет'!AI50+'місц.-районн.бюджет'!AI50+обласний!AI50+інші!AI50</f>
        <v>0</v>
      </c>
      <c r="AJ50" s="93" t="e">
        <f t="shared" si="63"/>
        <v>#DIV/0!</v>
      </c>
      <c r="AK50" s="55">
        <f>'насел.'!AK50+пільги!AR50+субсидії!AK50+'держ.бюджет'!AK50+'місц.-районн.бюджет'!AK50+обласний!AK50+інші!AK50</f>
        <v>28.2</v>
      </c>
      <c r="AL50" s="95">
        <f>'насел.'!AL50+пільги!AK50+субсидії!AL50+'держ.бюджет'!AL50+'місц.-районн.бюджет'!AL50+обласний!AL50+інші!AL50</f>
        <v>51.1</v>
      </c>
      <c r="AM50" s="95">
        <f t="shared" si="64"/>
        <v>181.20567375886526</v>
      </c>
      <c r="AN50" s="55">
        <f>'насел.'!AN50+пільги!AN50+субсидії!AN50+'держ.бюджет'!AN50+'місц.-районн.бюджет'!AN50+обласний!AN50+інші!AN50</f>
        <v>0</v>
      </c>
      <c r="AO50" s="95">
        <f>'насел.'!AO50+пільги!AN50+субсидії!AO50+'держ.бюджет'!AO50+'місц.-районн.бюджет'!AO50+обласний!AO50+інші!AO50</f>
        <v>0</v>
      </c>
      <c r="AP50" s="95">
        <f>'насел.'!AP50+пільги!AO50+субсидії!AP50+'держ.бюджет'!AP50+'місц.-районн.бюджет'!AP50+обласний!AP50+інші!AP50</f>
        <v>0</v>
      </c>
      <c r="AQ50" s="95">
        <f>'насел.'!AQ50+пільги!AP50+субсидії!AQ50+'держ.бюджет'!AQ50+'місц.-районн.бюджет'!AQ50+обласний!AQ50+інші!AQ50</f>
        <v>0</v>
      </c>
      <c r="AR50" s="95">
        <f>'насел.'!AR50+пільги!AQ50+субсидії!AR50+'держ.бюджет'!AR50+'місц.-районн.бюджет'!AR50+обласний!AR50+інші!AR50</f>
        <v>0</v>
      </c>
      <c r="AS50" s="95">
        <f>'насел.'!AS50+пільги!AR50+субсидії!AS50+'держ.бюджет'!AS50+'місц.-районн.бюджет'!AS50+обласний!AS50+інші!AS50</f>
        <v>0</v>
      </c>
      <c r="AT50" s="95">
        <f>'насел.'!AT50+пільги!AT50+субсидії!AT50+'держ.бюджет'!AT50+'місц.-районн.бюджет'!AT50+обласний!AT50+інші!AT50</f>
        <v>5913.400000000001</v>
      </c>
      <c r="AU50" s="95">
        <f>'насел.'!AU50+пільги!AU50+субсидії!AU50+'держ.бюджет'!AU50+'місц.-районн.бюджет'!AU50+обласний!AU50+інші!AU50</f>
        <v>5901.700000000001</v>
      </c>
      <c r="AV50" s="93">
        <f t="shared" si="65"/>
        <v>99.80214428247709</v>
      </c>
      <c r="AW50" s="95">
        <f t="shared" si="13"/>
        <v>11.699999999999818</v>
      </c>
      <c r="AX50" s="130">
        <f>'насел.'!AX50+пільги!AX50+субсидії!AX50+'держ.бюджет'!AX50+'місц.-районн.бюджет'!AX50+обласний!AX50+інші!AX50</f>
        <v>11.699999999999818</v>
      </c>
      <c r="AY50" s="124"/>
      <c r="AZ50" s="124"/>
      <c r="BA50" s="124"/>
      <c r="BB50" s="124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30">
        <f>'насел.'!AX51+пільги!AX51+субсидії!AX51+'держ.бюджет'!AX51+'місц.-районн.бюджет'!AX51+обласний!AX51+інші!AX51</f>
        <v>0</v>
      </c>
      <c r="AY51" s="124"/>
      <c r="AZ51" s="124"/>
      <c r="BA51" s="124"/>
      <c r="BB51" s="124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30">
        <f>'насел.'!AX52+пільги!AX52+субсидії!AX52+'держ.бюджет'!AX52+'місц.-районн.бюджет'!AX52+обласний!AX52+інші!AX52</f>
        <v>0</v>
      </c>
      <c r="AY52" s="124"/>
      <c r="AZ52" s="124"/>
      <c r="BA52" s="124"/>
      <c r="BB52" s="124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30">
        <f>'насел.'!AX53+пільги!AX53+субсидії!AX53+'держ.бюджет'!AX53+'місц.-районн.бюджет'!AX53+обласний!AX53+інші!AX53</f>
        <v>0</v>
      </c>
      <c r="AY53" s="124"/>
      <c r="AZ53" s="124"/>
      <c r="BA53" s="124"/>
      <c r="BB53" s="124"/>
    </row>
    <row r="54" spans="1:54" ht="34.5" customHeight="1">
      <c r="A54" s="48" t="s">
        <v>22</v>
      </c>
      <c r="B54" s="100" t="s">
        <v>161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136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30">
        <f>'насел.'!AX54+пільги!AX54+субсидії!AX54+'держ.бюджет'!AX54+'місц.-районн.бюджет'!AX54+обласний!AX54+інші!AX54</f>
        <v>300.69999999999993</v>
      </c>
      <c r="AY54" s="124"/>
      <c r="AZ54" s="124"/>
      <c r="BA54" s="124"/>
      <c r="BB54" s="124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30">
        <f>'насел.'!AX55+пільги!AX55+субсидії!AX55+'держ.бюджет'!AX55+'місц.-районн.бюджет'!AX55+обласний!AX55+інші!AX55</f>
        <v>0</v>
      </c>
      <c r="AY55" s="124"/>
      <c r="AZ55" s="124"/>
      <c r="BA55" s="124"/>
      <c r="BB55" s="124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30">
        <f>'насел.'!AX56+пільги!AX56+субсидії!AX56+'держ.бюджет'!AX56+'місц.-районн.бюджет'!AX56+обласний!AX56+інші!AX56</f>
        <v>0</v>
      </c>
      <c r="AY56" s="124"/>
      <c r="AZ56" s="124"/>
      <c r="BA56" s="124"/>
      <c r="BB56" s="124"/>
    </row>
    <row r="57" spans="1:54" ht="34.5" customHeight="1">
      <c r="A57" s="48" t="s">
        <v>11</v>
      </c>
      <c r="B57" s="52" t="s">
        <v>162</v>
      </c>
      <c r="C57" s="95">
        <f>'насел.'!C57+пільги!C57+субсидії!C57+'держ.бюджет'!C57+'місц.-районн.бюджет'!C57+обласний!C57+інші!C57</f>
        <v>11325.9</v>
      </c>
      <c r="D57" s="95">
        <f>'насел.'!D57+пільги!D57+субсидії!D57+'держ.бюджет'!D57+'місц.-районн.бюджет'!D57+обласний!D57+інші!D57</f>
        <v>6440.4</v>
      </c>
      <c r="E57" s="95">
        <f>'насел.'!E57+пільги!E57+субсидії!E57+'держ.бюджет'!E57+'місц.-районн.бюджет'!E57+обласний!E57+інші!E57</f>
        <v>3747.8</v>
      </c>
      <c r="F57" s="93">
        <f t="shared" si="53"/>
        <v>58.19203776162972</v>
      </c>
      <c r="G57" s="95">
        <f>'насел.'!G57+пільги!G57+субсидії!G57+'держ.бюджет'!G57+'місц.-районн.бюджет'!G57+обласний!G57+інші!G57</f>
        <v>5875.4</v>
      </c>
      <c r="H57" s="95">
        <f>'насел.'!H57+пільги!H57+субсидії!H57+'держ.бюджет'!H57+'місц.-районн.бюджет'!H57+обласний!H57+інші!H57</f>
        <v>4260.799999999999</v>
      </c>
      <c r="I57" s="93">
        <f t="shared" si="54"/>
        <v>72.5193178336794</v>
      </c>
      <c r="J57" s="95">
        <f>'насел.'!J57+пільги!J57+субсидії!J57+'держ.бюджет'!J57+'місц.-районн.бюджет'!J57+обласний!J57+інші!J57</f>
        <v>4768.7</v>
      </c>
      <c r="K57" s="95">
        <f>'насел.'!K57+пільги!K57+субсидії!K57+'держ.бюджет'!K57+'місц.-районн.бюджет'!K57+обласний!K57+інші!K57</f>
        <v>4749.9</v>
      </c>
      <c r="L57" s="93">
        <f t="shared" si="55"/>
        <v>99.6057625768029</v>
      </c>
      <c r="M57" s="93">
        <f>'насел.'!M57+пільги!M57+субсидії!M57+'держ.бюджет'!M57+'місц.-районн.бюджет'!M57+обласний!M57+інші!M57</f>
        <v>17084.5</v>
      </c>
      <c r="N57" s="93">
        <f>'насел.'!N57+пільги!N57+субсидії!N57+'держ.бюджет'!N57+'місц.-районн.бюджет'!N57+обласний!N57+інші!N57</f>
        <v>12758.499999999998</v>
      </c>
      <c r="O57" s="93">
        <f t="shared" si="56"/>
        <v>74.67880242324914</v>
      </c>
      <c r="P57" s="95">
        <f>'насел.'!P57+пільги!P57+субсидії!P57+'держ.бюджет'!P57+'місц.-районн.бюджет'!P57+обласний!P57+інші!P57</f>
        <v>27.400000000000002</v>
      </c>
      <c r="Q57" s="95">
        <f>'насел.'!Q57+пільги!Q57+субсидії!Q57+'держ.бюджет'!Q57+'місц.-районн.бюджет'!Q57+обласний!Q57+інші!Q57</f>
        <v>3958.6</v>
      </c>
      <c r="R57" s="95">
        <f t="shared" si="57"/>
        <v>14447.445255474451</v>
      </c>
      <c r="S57" s="95">
        <f>'насел.'!S57+пільги!S57+субсидії!S57+'держ.бюджет'!S57+'місц.-районн.бюджет'!S57+обласний!S57+інші!S57</f>
        <v>0</v>
      </c>
      <c r="T57" s="95">
        <f>'насел.'!T57+пільги!T57+субсидії!T57+'держ.бюджет'!T57+'місц.-районн.бюджет'!T57+обласний!T57+інші!T57</f>
        <v>852.4</v>
      </c>
      <c r="U57" s="93" t="e">
        <f t="shared" si="58"/>
        <v>#DIV/0!</v>
      </c>
      <c r="V57" s="95">
        <f>'насел.'!V57+пільги!V57+субсидії!V57+'держ.бюджет'!V57+'місц.-районн.бюджет'!V57+обласний!V57+інші!V57</f>
        <v>0</v>
      </c>
      <c r="W57" s="95">
        <f>'насел.'!W57+пільги!W57+субсидії!W57+'держ.бюджет'!W57+'місц.-районн.бюджет'!W57+обласний!W57+інші!W57</f>
        <v>1018.7</v>
      </c>
      <c r="X57" s="93" t="e">
        <f t="shared" si="59"/>
        <v>#DIV/0!</v>
      </c>
      <c r="Y57" s="95">
        <f>'насел.'!Y57+пільги!Y57+субсидії!Y57+'держ.бюджет'!Y57+'місц.-районн.бюджет'!Y57+обласний!Y57+інші!Y57</f>
        <v>27.400000000000002</v>
      </c>
      <c r="Z57" s="95">
        <f>'насел.'!Z57+пільги!Z57+субсидії!Z57+'держ.бюджет'!Z57+'місц.-районн.бюджет'!Z57+обласний!Z57+інші!Z57</f>
        <v>5829.7</v>
      </c>
      <c r="AA57" s="93">
        <f t="shared" si="60"/>
        <v>21276.27737226277</v>
      </c>
      <c r="AB57" s="95">
        <f>'насел.'!AB57+пільги!AB57+субсидії!AB57+'держ.бюджет'!AB57+'місц.-районн.бюджет'!AB57+обласний!AB57+інші!AB57</f>
        <v>0</v>
      </c>
      <c r="AC57" s="95">
        <f>'насел.'!AC57+пільги!AC57+субсидії!AC57+'держ.бюджет'!AC57+'місц.-районн.бюджет'!AC57+обласний!AC57+інші!AC57</f>
        <v>636.5999999999999</v>
      </c>
      <c r="AD57" s="93" t="e">
        <f t="shared" si="61"/>
        <v>#DIV/0!</v>
      </c>
      <c r="AE57" s="95">
        <f>'насел.'!AE57+пільги!AE57+субсидії!AE57+'держ.бюджет'!AE57+'місц.-районн.бюджет'!AE57+обласний!AE57+інші!AE57</f>
        <v>0</v>
      </c>
      <c r="AF57" s="95">
        <f>'насел.'!AF57+пільги!AF57+субсидії!AF57+'держ.бюджет'!AF57+'місц.-районн.бюджет'!AF57+обласний!AF57+інші!AF57</f>
        <v>576.2</v>
      </c>
      <c r="AG57" s="93" t="e">
        <f t="shared" si="62"/>
        <v>#DIV/0!</v>
      </c>
      <c r="AH57" s="95">
        <f>'насел.'!AH57+пільги!AH57+субсидії!AH57+'держ.бюджет'!AH57+'місц.-районн.бюджет'!AH57+обласний!AH57+інші!AH57</f>
        <v>0</v>
      </c>
      <c r="AI57" s="95">
        <f>'насел.'!AI57+пільги!AI57+субсидії!AI57+'держ.бюджет'!AI57+'місц.-районн.бюджет'!AI57+обласний!AI57+інші!AI57</f>
        <v>0</v>
      </c>
      <c r="AJ57" s="93" t="e">
        <f t="shared" si="63"/>
        <v>#DIV/0!</v>
      </c>
      <c r="AK57" s="55">
        <f>'насел.'!AK57+пільги!AR57+субсидії!AK57+'держ.бюджет'!AK57+'місц.-районн.бюджет'!AK57+обласний!AK57+інші!AK57</f>
        <v>0</v>
      </c>
      <c r="AL57" s="95">
        <f>'насел.'!AL57+пільги!AK57+субсидії!AL57+'держ.бюджет'!AL57+'місц.-районн.бюджет'!AL57+обласний!AL57+інші!AL57</f>
        <v>1212.8</v>
      </c>
      <c r="AM57" s="95" t="e">
        <f t="shared" si="64"/>
        <v>#DIV/0!</v>
      </c>
      <c r="AN57" s="55">
        <f>'насел.'!AN57+пільги!AN57+субсидії!AN57+'держ.бюджет'!AN57+'місц.-районн.бюджет'!AN57+обласний!AN57+інші!AN57</f>
        <v>0</v>
      </c>
      <c r="AO57" s="95">
        <f>'насел.'!AO57+пільги!AN57+субсидії!AO57+'держ.бюджет'!AO57+'місц.-районн.бюджет'!AO57+обласний!AO57+інші!AO57</f>
        <v>0</v>
      </c>
      <c r="AP57" s="95">
        <f>'насел.'!AP57+пільги!AO57+субсидії!AP57+'держ.бюджет'!AP57+'місц.-районн.бюджет'!AP57+обласний!AP57+інші!AP57</f>
        <v>0</v>
      </c>
      <c r="AQ57" s="95">
        <f>'насел.'!AQ57+пільги!AP57+субсидії!AQ57+'держ.бюджет'!AQ57+'місц.-районн.бюджет'!AQ57+обласний!AQ57+інші!AQ57</f>
        <v>0</v>
      </c>
      <c r="AR57" s="95">
        <f>'насел.'!AR57+пільги!AQ57+субсидії!AR57+'держ.бюджет'!AR57+'місц.-районн.бюджет'!AR57+обласний!AR57+інші!AR57</f>
        <v>0</v>
      </c>
      <c r="AS57" s="95">
        <f>'насел.'!AS57+пільги!AR57+субсидії!AS57+'держ.бюджет'!AS57+'місц.-районн.бюджет'!AS57+обласний!AS57+інші!AS57</f>
        <v>0</v>
      </c>
      <c r="AT57" s="95">
        <f>'насел.'!AT57+пільги!AT57+субсидії!AT57+'держ.бюджет'!AT57+'місц.-районн.бюджет'!AT57+обласний!AT57+інші!AT57</f>
        <v>17111.899999999998</v>
      </c>
      <c r="AU57" s="95">
        <f>'насел.'!AU57+пільги!AU57+субсидії!AU57+'держ.бюджет'!AU57+'місц.-районн.бюджет'!AU57+обласний!AU57+інші!AU57</f>
        <v>19801</v>
      </c>
      <c r="AV57" s="93">
        <f t="shared" si="65"/>
        <v>115.71479496724504</v>
      </c>
      <c r="AW57" s="95">
        <f t="shared" si="13"/>
        <v>-2689.100000000002</v>
      </c>
      <c r="AX57" s="130">
        <f>'насел.'!AX57+пільги!AX57+субсидії!AX57+'держ.бюджет'!AX57+'місц.-районн.бюджет'!AX57+обласний!AX57+інші!AX57</f>
        <v>8636.8</v>
      </c>
      <c r="AY57" s="124"/>
      <c r="AZ57" s="124"/>
      <c r="BA57" s="124"/>
      <c r="BB57" s="124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30">
        <f>'насел.'!AX58+пільги!AX58+субсидії!AX58+'держ.бюджет'!AX58+'місц.-районн.бюджет'!AX58+обласний!AX58+інші!AX58</f>
        <v>0</v>
      </c>
      <c r="AY58" s="124"/>
      <c r="AZ58" s="124"/>
      <c r="BA58" s="124"/>
      <c r="BB58" s="124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30">
        <f>'насел.'!AX59+пільги!AX59+субсидії!AX59+'держ.бюджет'!AX59+'місц.-районн.бюджет'!AX59+обласний!AX59+інші!AX59</f>
        <v>0</v>
      </c>
      <c r="AY59" s="124"/>
      <c r="AZ59" s="124"/>
      <c r="BA59" s="124"/>
      <c r="BB59" s="124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8510.6</v>
      </c>
      <c r="K60" s="95">
        <f>'насел.'!K60+пільги!K60+субсидії!K60+'держ.бюджет'!K60+'місц.-районн.бюджет'!K60+обласний!K60+інші!K60</f>
        <v>13257.7</v>
      </c>
      <c r="L60" s="93">
        <f t="shared" si="55"/>
        <v>155.77867600404204</v>
      </c>
      <c r="M60" s="93">
        <f>'насел.'!M60+пільги!M60+субсидії!M60+'держ.бюджет'!M60+'місц.-районн.бюджет'!M60+обласний!M60+інші!M60</f>
        <v>30078.399999999998</v>
      </c>
      <c r="N60" s="93">
        <f>'насел.'!N60+пільги!N60+субсидії!N60+'держ.бюджет'!N60+'місц.-районн.бюджет'!N60+обласний!N60+інші!N60</f>
        <v>19014.9</v>
      </c>
      <c r="O60" s="93">
        <f t="shared" si="56"/>
        <v>63.2177908399383</v>
      </c>
      <c r="P60" s="95">
        <f>'насел.'!P60+пільги!P60+субсидії!P60+'держ.бюджет'!P60+'місц.-районн.бюджет'!P60+обласний!P60+інші!P60</f>
        <v>1371.7</v>
      </c>
      <c r="Q60" s="95">
        <f>'насел.'!Q60+пільги!Q60+субсидії!Q60+'держ.бюджет'!Q60+'місц.-районн.бюджет'!Q60+обласний!Q60+інші!Q60</f>
        <v>8372.1</v>
      </c>
      <c r="R60" s="95">
        <f t="shared" si="57"/>
        <v>610.344827586207</v>
      </c>
      <c r="S60" s="95">
        <f>'насел.'!S60+пільги!S60+субсидії!S60+'держ.бюджет'!S60+'місц.-районн.бюджет'!S60+обласний!S60+інші!S60</f>
        <v>47.1</v>
      </c>
      <c r="T60" s="95">
        <f>'насел.'!T60+пільги!T60+субсидії!T60+'держ.бюджет'!T60+'місц.-районн.бюджет'!T60+обласний!T60+інші!T60</f>
        <v>1505.4</v>
      </c>
      <c r="U60" s="93">
        <f t="shared" si="58"/>
        <v>3196.1783439490446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1418.8</v>
      </c>
      <c r="Z60" s="95">
        <f>'насел.'!Z60+пільги!Z60+субсидії!Z60+'держ.бюджет'!Z60+'місц.-районн.бюджет'!Z60+обласний!Z60+інші!Z60</f>
        <v>9877.5</v>
      </c>
      <c r="AA60" s="93">
        <f t="shared" si="60"/>
        <v>696.1869185226954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31497.2</v>
      </c>
      <c r="AU60" s="55">
        <f>'насел.'!AU60+пільги!AU60+субсидії!AU60+'держ.бюджет'!AU60+'місц.-районн.бюджет'!AU60+обласний!AU60+інші!AU60</f>
        <v>28892.4</v>
      </c>
      <c r="AV60" s="93">
        <f t="shared" si="65"/>
        <v>91.73005854488653</v>
      </c>
      <c r="AW60" s="95">
        <f t="shared" si="13"/>
        <v>2604.7999999999993</v>
      </c>
      <c r="AX60" s="130">
        <f>'насел.'!AX60+пільги!AX60+субсидії!AX60+'держ.бюджет'!AX60+'місц.-районн.бюджет'!AX60+обласний!AX60+інші!AX60</f>
        <v>2187.299999999999</v>
      </c>
      <c r="AY60" s="124"/>
      <c r="AZ60" s="124"/>
      <c r="BA60" s="124"/>
      <c r="BB60" s="124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79337.50000000001</v>
      </c>
      <c r="D61" s="55">
        <f>'насел.'!D61+пільги!D61+субсидії!D61+'держ.бюджет'!D61+'місц.-районн.бюджет'!D61+обласний!D61+інші!D61</f>
        <v>49470.69999999999</v>
      </c>
      <c r="E61" s="55">
        <f>'насел.'!E61+пільги!E61+субсидії!E61+'держ.бюджет'!E61+'місц.-районн.бюджет'!E61+обласний!E61+інші!E61</f>
        <v>28332</v>
      </c>
      <c r="F61" s="56">
        <f t="shared" si="53"/>
        <v>57.27026300416207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45356.8</v>
      </c>
      <c r="K61" s="55">
        <f>'насел.'!K61+пільги!K61+субсидії!K61+'держ.бюджет'!K61+'місц.-районн.бюджет'!K61+обласний!K61+інші!K61</f>
        <v>45161.9</v>
      </c>
      <c r="L61" s="56">
        <f t="shared" si="55"/>
        <v>99.57029596444194</v>
      </c>
      <c r="M61" s="56">
        <f>'насел.'!M61+пільги!M61+субсидії!M61+'держ.бюджет'!M61+'місц.-районн.бюджет'!M61+обласний!M61+інші!M61</f>
        <v>145676.3</v>
      </c>
      <c r="N61" s="56">
        <f>'насел.'!N61+пільги!N61+субсидії!N61+'держ.бюджет'!N61+'місц.-районн.бюджет'!N61+обласний!N61+інші!N61</f>
        <v>113789.1</v>
      </c>
      <c r="O61" s="56">
        <f t="shared" si="56"/>
        <v>78.11092126859346</v>
      </c>
      <c r="P61" s="55">
        <f>'насел.'!P61+пільги!P61+субсидії!P61+'держ.бюджет'!P61+'місц.-районн.бюджет'!P61+обласний!P61+інші!P61</f>
        <v>14485.600000000002</v>
      </c>
      <c r="Q61" s="55">
        <f>'насел.'!Q61+пільги!Q61+субсидії!Q61+'держ.бюджет'!Q61+'місц.-районн.бюджет'!Q61+обласний!Q61+інші!Q61</f>
        <v>42207</v>
      </c>
      <c r="R61" s="55">
        <f t="shared" si="57"/>
        <v>291.37212127906326</v>
      </c>
      <c r="S61" s="55">
        <f>'насел.'!S61+пільги!S61+субсидії!S61+'держ.бюджет'!S61+'місц.-районн.бюджет'!S61+обласний!S61+інші!S61</f>
        <v>2145</v>
      </c>
      <c r="T61" s="55">
        <f>'насел.'!T61+пільги!T61+субсидії!T61+'держ.бюджет'!T61+'місц.-районн.бюджет'!T61+обласний!T61+інші!T61</f>
        <v>14454.1</v>
      </c>
      <c r="U61" s="56">
        <f t="shared" si="58"/>
        <v>673.8508158508159</v>
      </c>
      <c r="V61" s="55">
        <f>'насел.'!V61+пільги!V61+субсидії!V61+'держ.бюджет'!V61+'місц.-районн.бюджет'!V61+обласний!V61+інші!V61</f>
        <v>1928.3999999999999</v>
      </c>
      <c r="W61" s="55">
        <f>'насел.'!W61+пільги!W61+субсидії!W61+'держ.бюджет'!W61+'місц.-районн.бюджет'!W61+обласний!W61+інші!W61</f>
        <v>7127.1</v>
      </c>
      <c r="X61" s="56">
        <f t="shared" si="59"/>
        <v>369.5861854387057</v>
      </c>
      <c r="Y61" s="55">
        <f>'насел.'!Y61+пільги!Y61+субсидії!Y61+'держ.бюджет'!Y61+'місц.-районн.бюджет'!Y61+обласний!Y61+інші!Y61</f>
        <v>18559</v>
      </c>
      <c r="Z61" s="55">
        <f>'насел.'!Z61+пільги!Z61+субсидії!Z61+'держ.бюджет'!Z61+'місц.-районн.бюджет'!Z61+обласний!Z61+інші!Z61</f>
        <v>63788.200000000004</v>
      </c>
      <c r="AA61" s="56">
        <f t="shared" si="60"/>
        <v>343.70494099897627</v>
      </c>
      <c r="AB61" s="55">
        <f>'насел.'!AB61+пільги!AB61+субсидії!AB61+'держ.бюджет'!AB61+'місц.-районн.бюджет'!AB61+обласний!AB61+інші!AB61</f>
        <v>1947.8</v>
      </c>
      <c r="AC61" s="55">
        <f>'насел.'!AC61+пільги!AC61+субсидії!AC61+'держ.бюджет'!AC61+'місц.-районн.бюджет'!AC61+обласний!AC61+інші!AC61</f>
        <v>5477.700000000001</v>
      </c>
      <c r="AD61" s="56">
        <f t="shared" si="61"/>
        <v>281.2249717630147</v>
      </c>
      <c r="AE61" s="55">
        <f>'насел.'!AE61+пільги!AE61+субсидії!AE61+'держ.бюджет'!AE61+'місц.-районн.бюджет'!AE61+обласний!AE61+інші!AE61</f>
        <v>2002.5000000000002</v>
      </c>
      <c r="AF61" s="55">
        <f>'насел.'!AF61+пільги!AF61+субсидії!AF61+'держ.бюджет'!AF61+'місц.-районн.бюджет'!AF61+обласний!AF61+інші!AF61</f>
        <v>5969.1</v>
      </c>
      <c r="AG61" s="56">
        <f t="shared" si="62"/>
        <v>298.0823970037453</v>
      </c>
      <c r="AH61" s="55">
        <f>'насел.'!AH61+пільги!AH61+субсидії!AH61+'держ.бюджет'!AH61+'місц.-районн.бюджет'!AH61+обласний!AH61+інші!AH61</f>
        <v>0</v>
      </c>
      <c r="AI61" s="55">
        <f>'насел.'!AI61+пільги!AI61+субсидії!AI61+'держ.бюджет'!AI61+'місц.-районн.бюджет'!AI61+обласний!AI61+інші!AI61</f>
        <v>0</v>
      </c>
      <c r="AJ61" s="56" t="e">
        <f t="shared" si="63"/>
        <v>#DIV/0!</v>
      </c>
      <c r="AK61" s="55">
        <f>'насел.'!AK61+пільги!AR61+субсидії!AK61+'держ.бюджет'!AK61+'місц.-районн.бюджет'!AK61+обласний!AK61+інші!AK61</f>
        <v>3950.2999999999997</v>
      </c>
      <c r="AL61" s="55">
        <f>'насел.'!AL61+пільги!AK61+субсидії!AL61+'держ.бюджет'!AL61+'місц.-районн.бюджет'!AL61+обласний!AL61+інші!AL61</f>
        <v>11446.800000000001</v>
      </c>
      <c r="AM61" s="55">
        <f t="shared" si="64"/>
        <v>289.77039718502397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168185.6</v>
      </c>
      <c r="AU61" s="55">
        <f>'насел.'!AU61+пільги!AU61+субсидії!AU61+'держ.бюджет'!AU61+'місц.-районн.бюджет'!AU61+обласний!AU61+інші!AU61</f>
        <v>189024.1</v>
      </c>
      <c r="AV61" s="56">
        <f t="shared" si="65"/>
        <v>112.39018084782526</v>
      </c>
      <c r="AW61" s="55">
        <f t="shared" si="13"/>
        <v>-20838.5</v>
      </c>
      <c r="AX61" s="130">
        <f>'насел.'!AX61+пільги!AX61+субсидії!AX61+'держ.бюджет'!AX61+'місц.-районн.бюджет'!AX61+обласний!AX61+інші!AX61</f>
        <v>58499.00000000002</v>
      </c>
      <c r="AY61" s="129"/>
      <c r="AZ61" s="129"/>
      <c r="BA61" s="129"/>
      <c r="BB61" s="129"/>
    </row>
    <row r="62" spans="1:54" ht="34.5" customHeight="1">
      <c r="A62" s="48" t="s">
        <v>9</v>
      </c>
      <c r="B62" s="51" t="s">
        <v>163</v>
      </c>
      <c r="C62" s="95">
        <f>'насел.'!C62+пільги!C62+субсидії!C62+'держ.бюджет'!C62+'місц.-районн.бюджет'!C62+обласний!C62+інші!C62</f>
        <v>7372.7</v>
      </c>
      <c r="D62" s="95">
        <f>'насел.'!D62+пільги!D62+субсидії!D62+'держ.бюджет'!D62+'місц.-районн.бюджет'!D62+обласний!D62+інші!D62</f>
        <v>10510</v>
      </c>
      <c r="E62" s="95">
        <f>'насел.'!E62+пільги!E62+субсидії!E62+'держ.бюджет'!E62+'місц.-районн.бюджет'!E62+обласний!E62+інші!E62</f>
        <v>3787.2</v>
      </c>
      <c r="F62" s="93">
        <f t="shared" si="53"/>
        <v>36.03425309229305</v>
      </c>
      <c r="G62" s="95">
        <f>'насел.'!G62+пільги!G62+субсидії!G62+'держ.бюджет'!G62+'місц.-районн.бюджет'!G62+обласний!G62+інші!G62</f>
        <v>10858.2</v>
      </c>
      <c r="H62" s="95">
        <f>'насел.'!H62+пільги!H62+субсидії!H62+'держ.бюджет'!H62+'місц.-районн.бюджет'!H62+обласний!H62+інші!H62</f>
        <v>9938.8</v>
      </c>
      <c r="I62" s="93">
        <f t="shared" si="54"/>
        <v>91.5326665561511</v>
      </c>
      <c r="J62" s="95">
        <f>'насел.'!J62+пільги!J62+субсидії!J62+'держ.бюджет'!J62+'місц.-районн.бюджет'!J62+обласний!J62+інші!J62</f>
        <v>10116</v>
      </c>
      <c r="K62" s="95">
        <f>'насел.'!K62+пільги!K62+субсидії!K62+'держ.бюджет'!K62+'місц.-районн.бюджет'!K62+обласний!K62+інші!K62</f>
        <v>9495.8</v>
      </c>
      <c r="L62" s="93">
        <f t="shared" si="55"/>
        <v>93.86911822854883</v>
      </c>
      <c r="M62" s="93">
        <f>'насел.'!M62+пільги!M62+субсидії!M62+'держ.бюджет'!M62+'місц.-районн.бюджет'!M62+обласний!M62+інші!M62</f>
        <v>31484.199999999997</v>
      </c>
      <c r="N62" s="93">
        <f>'насел.'!N62+пільги!N62+субсидії!N62+'держ.бюджет'!N62+'місц.-районн.бюджет'!N62+обласний!N62+інші!N62</f>
        <v>23221.800000000003</v>
      </c>
      <c r="O62" s="93">
        <f t="shared" si="56"/>
        <v>73.75699557238235</v>
      </c>
      <c r="P62" s="95">
        <f>'насел.'!P62+пільги!P62+субсидії!P62+'держ.бюджет'!P62+'місц.-районн.бюджет'!P62+обласний!P62+інші!P62</f>
        <v>2329.2</v>
      </c>
      <c r="Q62" s="95">
        <f>'насел.'!Q62+пільги!Q62+субсидії!Q62+'держ.бюджет'!Q62+'місц.-районн.бюджет'!Q62+обласний!Q62+інші!Q62</f>
        <v>9890.199999999999</v>
      </c>
      <c r="R62" s="95">
        <f t="shared" si="57"/>
        <v>424.6178945560707</v>
      </c>
      <c r="S62" s="95">
        <f>'насел.'!S62+пільги!S62+субсидії!S62+'держ.бюджет'!S62+'місц.-районн.бюджет'!S62+обласний!S62+інші!S62</f>
        <v>0</v>
      </c>
      <c r="T62" s="95">
        <f>'насел.'!T62+пільги!T62+субсидії!T62+'держ.бюджет'!T62+'місц.-районн.бюджет'!T62+обласний!T62+інші!T62</f>
        <v>2004.5000000000002</v>
      </c>
      <c r="U62" s="93" t="e">
        <f t="shared" si="58"/>
        <v>#DIV/0!</v>
      </c>
      <c r="V62" s="95">
        <f>'насел.'!V62+пільги!V62+субсидії!V62+'держ.бюджет'!V62+'місц.-районн.бюджет'!V62+обласний!V62+інші!V62</f>
        <v>0</v>
      </c>
      <c r="W62" s="95">
        <f>'насел.'!W62+пільги!W62+субсидії!W62+'держ.бюджет'!W62+'місц.-районн.бюджет'!W62+обласний!W62+інші!W62</f>
        <v>1316.5</v>
      </c>
      <c r="X62" s="93" t="e">
        <f t="shared" si="59"/>
        <v>#DIV/0!</v>
      </c>
      <c r="Y62" s="95">
        <f>'насел.'!Y62+пільги!Y62+субсидії!Y62+'держ.бюджет'!Y62+'місц.-районн.бюджет'!Y62+обласний!Y62+інші!Y62</f>
        <v>2329.2</v>
      </c>
      <c r="Z62" s="95">
        <f>'насел.'!Z62+пільги!Z62+субсидії!Z62+'держ.бюджет'!Z62+'місц.-районн.бюджет'!Z62+обласний!Z62+інші!Z62</f>
        <v>13211.2</v>
      </c>
      <c r="AA62" s="93">
        <f t="shared" si="60"/>
        <v>567.1990382964109</v>
      </c>
      <c r="AB62" s="95">
        <f>'насел.'!AB62+пільги!AB62+субсидії!AB62+'держ.бюджет'!AB62+'місц.-районн.бюджет'!AB62+обласний!AB62+інші!AB62</f>
        <v>0</v>
      </c>
      <c r="AC62" s="95">
        <f>'насел.'!AC62+пільги!AC62+субсидії!AC62+'держ.бюджет'!AC62+'місц.-районн.бюджет'!AC62+обласний!AC62+інші!AC62</f>
        <v>542.3000000000001</v>
      </c>
      <c r="AD62" s="93" t="e">
        <f t="shared" si="61"/>
        <v>#DIV/0!</v>
      </c>
      <c r="AE62" s="95">
        <f>'насел.'!AE62+пільги!AE62+субсидії!AE62+'держ.бюджет'!AE62+'місц.-районн.бюджет'!AE62+обласний!AE62+інші!AE62</f>
        <v>0</v>
      </c>
      <c r="AF62" s="95">
        <f>'насел.'!AF62+пільги!AF62+субсидії!AF62+'держ.бюджет'!AF62+'місц.-районн.бюджет'!AF62+обласний!AF62+інші!AF62</f>
        <v>1350.4</v>
      </c>
      <c r="AG62" s="93" t="e">
        <f t="shared" si="62"/>
        <v>#DIV/0!</v>
      </c>
      <c r="AH62" s="95">
        <f>'насел.'!AH62+пільги!AH62+субсидії!AH62+'держ.бюджет'!AH62+'місц.-районн.бюджет'!AH62+обласний!AH62+інші!AH62</f>
        <v>0</v>
      </c>
      <c r="AI62" s="95">
        <f>'насел.'!AI62+пільги!AI62+субсидії!AI62+'держ.бюджет'!AI62+'місц.-районн.бюджет'!AI62+обласний!AI62+інші!AI62</f>
        <v>0</v>
      </c>
      <c r="AJ62" s="93" t="e">
        <f t="shared" si="63"/>
        <v>#DIV/0!</v>
      </c>
      <c r="AK62" s="55">
        <f>'насел.'!AK62+пільги!AR62+субсидії!AK62+'держ.бюджет'!AK62+'місц.-районн.бюджет'!AK62+обласний!AK62+інші!AK62</f>
        <v>0</v>
      </c>
      <c r="AL62" s="95">
        <f>'насел.'!AL62+пільги!AK62+субсидії!AL62+'держ.бюджет'!AL62+'місц.-районн.бюджет'!AL62+обласний!AL62+інші!AL62</f>
        <v>1892.7</v>
      </c>
      <c r="AM62" s="95" t="e">
        <f t="shared" si="64"/>
        <v>#DIV/0!</v>
      </c>
      <c r="AN62" s="55">
        <f>'насел.'!AN62+пільги!AN62+субсидії!AN62+'держ.бюджет'!AN62+'місц.-районн.бюджет'!AN62+обласний!AN62+інші!AN62</f>
        <v>0</v>
      </c>
      <c r="AO62" s="95">
        <f>'насел.'!AO62+пільги!AN62+субсидії!AO62+'держ.бюджет'!AO62+'місц.-районн.бюджет'!AO62+обласний!AO62+інші!AO62</f>
        <v>0</v>
      </c>
      <c r="AP62" s="95">
        <f>'насел.'!AP62+пільги!AO62+субсидії!AP62+'держ.бюджет'!AP62+'місц.-районн.бюджет'!AP62+обласний!AP62+інші!AP62</f>
        <v>0</v>
      </c>
      <c r="AQ62" s="95">
        <f>'насел.'!AQ62+пільги!AP62+субсидії!AQ62+'держ.бюджет'!AQ62+'місц.-районн.бюджет'!AQ62+обласний!AQ62+інші!AQ62</f>
        <v>0</v>
      </c>
      <c r="AR62" s="95">
        <f>'насел.'!AR62+пільги!AQ62+субсидії!AR62+'держ.бюджет'!AR62+'місц.-районн.бюджет'!AR62+обласний!AR62+інші!AR62</f>
        <v>0</v>
      </c>
      <c r="AS62" s="95">
        <f>'насел.'!AS62+пільги!AR62+субсидії!AS62+'держ.бюджет'!AS62+'місц.-районн.бюджет'!AS62+обласний!AS62+інші!AS62</f>
        <v>0</v>
      </c>
      <c r="AT62" s="95">
        <f>'насел.'!AT62+пільги!AT62+субсидії!AT62+'держ.бюджет'!AT62+'місц.-районн.бюджет'!AT62+обласний!AT62+інші!AT62</f>
        <v>33813.4</v>
      </c>
      <c r="AU62" s="95">
        <f>'насел.'!AU62+пільги!AU62+субсидії!AU62+'держ.бюджет'!AU62+'місц.-районн.бюджет'!AU62+обласний!AU62+інші!AU62</f>
        <v>38325.7</v>
      </c>
      <c r="AV62" s="93">
        <f t="shared" si="65"/>
        <v>113.34470949386927</v>
      </c>
      <c r="AW62" s="95">
        <f t="shared" si="13"/>
        <v>-4512.299999999996</v>
      </c>
      <c r="AX62" s="130">
        <f>'насел.'!AX62+пільги!AX62+субсидії!AX62+'держ.бюджет'!AX62+'місц.-районн.бюджет'!AX62+обласний!AX62+інші!AX62</f>
        <v>2860.4000000000024</v>
      </c>
      <c r="AY62" s="124"/>
      <c r="AZ62" s="124"/>
      <c r="BA62" s="124"/>
      <c r="BB62" s="124"/>
    </row>
    <row r="63" spans="1:54" ht="34.5" customHeight="1">
      <c r="A63" s="48" t="s">
        <v>13</v>
      </c>
      <c r="B63" s="51" t="s">
        <v>164</v>
      </c>
      <c r="C63" s="95">
        <f>'насел.'!C63+пільги!C63+субсидії!C63+'держ.бюджет'!C63+'місц.-районн.бюджет'!C63+обласний!C63+інші!C63</f>
        <v>4778.9</v>
      </c>
      <c r="D63" s="95">
        <f>'насел.'!D63+пільги!D63+субсидії!D63+'держ.бюджет'!D63+'місц.-районн.бюджет'!D63+обласний!D63+інші!D63</f>
        <v>3853.6</v>
      </c>
      <c r="E63" s="95">
        <f>'насел.'!E63+пільги!E63+субсидії!E63+'держ.бюджет'!E63+'місц.-районн.бюджет'!E63+обласний!E63+інші!E63</f>
        <v>1083.4</v>
      </c>
      <c r="F63" s="93">
        <f t="shared" si="53"/>
        <v>28.11397135146357</v>
      </c>
      <c r="G63" s="95">
        <f>'насел.'!G63+пільги!G63+субсидії!G63+'держ.бюджет'!G63+'місц.-районн.бюджет'!G63+обласний!G63+інші!G63</f>
        <v>4230</v>
      </c>
      <c r="H63" s="95">
        <f>'насел.'!H63+пільги!H63+субсидії!H63+'держ.бюджет'!H63+'місц.-районн.бюджет'!H63+обласний!H63+інші!H63</f>
        <v>2278.2999999999997</v>
      </c>
      <c r="I63" s="93">
        <f t="shared" si="54"/>
        <v>53.86052009456264</v>
      </c>
      <c r="J63" s="95">
        <f>'насел.'!J63+пільги!J63+субсидії!J63+'держ.бюджет'!J63+'місц.-районн.бюджет'!J63+обласний!J63+інші!J63</f>
        <v>3319</v>
      </c>
      <c r="K63" s="95">
        <f>'насел.'!K63+пільги!K63+субсидії!K63+'держ.бюджет'!K63+'місц.-районн.бюджет'!K63+обласний!K63+інші!K63</f>
        <v>4117.099999999999</v>
      </c>
      <c r="L63" s="93">
        <f t="shared" si="55"/>
        <v>124.04639951792706</v>
      </c>
      <c r="M63" s="93">
        <f>'насел.'!M63+пільги!M63+субсидії!M63+'держ.бюджет'!M63+'місц.-районн.бюджет'!M63+обласний!M63+інші!M63</f>
        <v>11402.599999999999</v>
      </c>
      <c r="N63" s="93">
        <f>'насел.'!N63+пільги!N63+субсидії!N63+'держ.бюджет'!N63+'місц.-районн.бюджет'!N63+обласний!N63+інші!N63</f>
        <v>7478.8</v>
      </c>
      <c r="O63" s="93">
        <f t="shared" si="56"/>
        <v>65.58854997982917</v>
      </c>
      <c r="P63" s="95">
        <f>'насел.'!P63+пільги!P63+субсидії!P63+'держ.бюджет'!P63+'місц.-районн.бюджет'!P63+обласний!P63+інші!P63</f>
        <v>1418.1999999999998</v>
      </c>
      <c r="Q63" s="95">
        <f>'насел.'!Q63+пільги!Q63+субсидії!Q63+'держ.бюджет'!Q63+'місц.-районн.бюджет'!Q63+обласний!Q63+інші!Q63</f>
        <v>4874.1</v>
      </c>
      <c r="R63" s="95">
        <f t="shared" si="57"/>
        <v>343.68213228035546</v>
      </c>
      <c r="S63" s="95">
        <f>'насел.'!S63+пільги!S63+субсидії!S63+'держ.бюджет'!S63+'місц.-районн.бюджет'!S63+обласний!S63+інші!S63</f>
        <v>8.499999999999996</v>
      </c>
      <c r="T63" s="95">
        <f>'насел.'!T63+пільги!T63+субсидії!T63+'держ.бюджет'!T63+'місц.-районн.бюджет'!T63+обласний!T63+інші!T63</f>
        <v>901.6000000000001</v>
      </c>
      <c r="U63" s="93">
        <f t="shared" si="58"/>
        <v>10607.058823529418</v>
      </c>
      <c r="V63" s="95">
        <f>'насел.'!V63+пільги!V63+субсидії!V63+'держ.бюджет'!V63+'місц.-районн.бюджет'!V63+обласний!V63+інші!V63</f>
        <v>37.8</v>
      </c>
      <c r="W63" s="95">
        <f>'насел.'!W63+пільги!W63+субсидії!W63+'держ.бюджет'!W63+'місц.-районн.бюджет'!W63+обласний!W63+інші!W63</f>
        <v>260.9</v>
      </c>
      <c r="X63" s="93">
        <f t="shared" si="59"/>
        <v>690.2116402116402</v>
      </c>
      <c r="Y63" s="95">
        <f>'насел.'!Y63+пільги!Y63+субсидії!Y63+'держ.бюджет'!Y63+'місц.-районн.бюджет'!Y63+обласний!Y63+інші!Y63</f>
        <v>1464.4999999999998</v>
      </c>
      <c r="Z63" s="95">
        <f>'насел.'!Z63+пільги!Z63+субсидії!Z63+'держ.бюджет'!Z63+'місц.-районн.бюджет'!Z63+обласний!Z63+інші!Z63</f>
        <v>6036.6</v>
      </c>
      <c r="AA63" s="93">
        <f t="shared" si="60"/>
        <v>412.1952884943668</v>
      </c>
      <c r="AB63" s="95">
        <f>'насел.'!AB63+пільги!AB63+субсидії!AB63+'держ.бюджет'!AB63+'місц.-районн.бюджет'!AB63+обласний!AB63+інші!AB63</f>
        <v>41.6</v>
      </c>
      <c r="AC63" s="95">
        <f>'насел.'!AC63+пільги!AC63+субсидії!AC63+'держ.бюджет'!AC63+'місц.-районн.бюджет'!AC63+обласний!AC63+інші!AC63</f>
        <v>238.60000000000002</v>
      </c>
      <c r="AD63" s="93">
        <f t="shared" si="61"/>
        <v>573.5576923076924</v>
      </c>
      <c r="AE63" s="95">
        <f>'насел.'!AE63+пільги!AE63+субсидії!AE63+'держ.бюджет'!AE63+'місц.-районн.бюджет'!AE63+обласний!AE63+інші!AE63</f>
        <v>35.9</v>
      </c>
      <c r="AF63" s="95">
        <f>'насел.'!AF63+пільги!AF63+субсидії!AF63+'держ.бюджет'!AF63+'місц.-районн.бюджет'!AF63+обласний!AF63+інші!AF63</f>
        <v>257.40000000000003</v>
      </c>
      <c r="AG63" s="93">
        <f t="shared" si="62"/>
        <v>716.9916434540391</v>
      </c>
      <c r="AH63" s="95">
        <f>'насел.'!AH63+пільги!AH63+субсидії!AH63+'держ.бюджет'!AH63+'місц.-районн.бюджет'!AH63+обласний!AH63+інші!AH63</f>
        <v>0</v>
      </c>
      <c r="AI63" s="95">
        <f>'насел.'!AI63+пільги!AI63+субсидії!AI63+'держ.бюджет'!AI63+'місц.-районн.бюджет'!AI63+обласний!AI63+інші!AI63</f>
        <v>0</v>
      </c>
      <c r="AJ63" s="93" t="e">
        <f t="shared" si="63"/>
        <v>#DIV/0!</v>
      </c>
      <c r="AK63" s="55">
        <f>'насел.'!AK63+пільги!AR63+субсидії!AK63+'держ.бюджет'!AK63+'місц.-районн.бюджет'!AK63+обласний!AK63+інші!AK63</f>
        <v>77.5</v>
      </c>
      <c r="AL63" s="95">
        <f>'насел.'!AL63+пільги!AK63+субсидії!AL63+'держ.бюджет'!AL63+'місц.-районн.бюджет'!AL63+обласний!AL63+інші!AL63</f>
        <v>496</v>
      </c>
      <c r="AM63" s="95">
        <f t="shared" si="64"/>
        <v>640</v>
      </c>
      <c r="AN63" s="55">
        <f>'насел.'!AN63+пільги!AN63+субсидії!AN63+'держ.бюджет'!AN63+'місц.-районн.бюджет'!AN63+обласний!AN63+інші!AN63</f>
        <v>0</v>
      </c>
      <c r="AO63" s="95">
        <f>'насел.'!AO63+пільги!AN63+субсидії!AO63+'держ.бюджет'!AO63+'місц.-районн.бюджет'!AO63+обласний!AO63+інші!AO63</f>
        <v>0</v>
      </c>
      <c r="AP63" s="95">
        <f>'насел.'!AP63+пільги!AO63+субсидії!AP63+'держ.бюджет'!AP63+'місц.-районн.бюджет'!AP63+обласний!AP63+інші!AP63</f>
        <v>0</v>
      </c>
      <c r="AQ63" s="95">
        <f>'насел.'!AQ63+пільги!AP63+субсидії!AQ63+'держ.бюджет'!AQ63+'місц.-районн.бюджет'!AQ63+обласний!AQ63+інші!AQ63</f>
        <v>0</v>
      </c>
      <c r="AR63" s="95">
        <f>'насел.'!AR63+пільги!AQ63+субсидії!AR63+'держ.бюджет'!AR63+'місц.-районн.бюджет'!AR63+обласний!AR63+інші!AR63</f>
        <v>0</v>
      </c>
      <c r="AS63" s="95">
        <f>'насел.'!AS63+пільги!AR63+субсидії!AS63+'держ.бюджет'!AS63+'місц.-районн.бюджет'!AS63+обласний!AS63+інші!AS63</f>
        <v>0</v>
      </c>
      <c r="AT63" s="95">
        <f>'насел.'!AT63+пільги!AT63+субсидії!AT63+'держ.бюджет'!AT63+'місц.-районн.бюджет'!AT63+обласний!AT63+інші!AT63</f>
        <v>12944.6</v>
      </c>
      <c r="AU63" s="95">
        <f>'насел.'!AU63+пільги!AU63+субсидії!AU63+'держ.бюджет'!AU63+'місц.-районн.бюджет'!AU63+обласний!AU63+інші!AU63</f>
        <v>14011.4</v>
      </c>
      <c r="AV63" s="93">
        <f t="shared" si="65"/>
        <v>108.24127435378459</v>
      </c>
      <c r="AW63" s="95">
        <f t="shared" si="13"/>
        <v>-1066.7999999999993</v>
      </c>
      <c r="AX63" s="130">
        <f>'насел.'!AX63+пільги!AX63+субсидії!AX63+'держ.бюджет'!AX63+'місц.-районн.бюджет'!AX63+обласний!AX63+інші!AX63</f>
        <v>3712.099999999998</v>
      </c>
      <c r="AY63" s="124">
        <f>3678.5+33.4</f>
        <v>3711.9</v>
      </c>
      <c r="AZ63" s="124"/>
      <c r="BA63" s="124"/>
      <c r="BB63" s="124"/>
    </row>
    <row r="64" spans="1:54" ht="34.5" customHeight="1">
      <c r="A64" s="48" t="s">
        <v>11</v>
      </c>
      <c r="B64" s="52" t="s">
        <v>140</v>
      </c>
      <c r="C64" s="95">
        <f>'насел.'!C64+пільги!C64+субсидії!C64+'держ.бюджет'!C64+'місц.-районн.бюджет'!C64+обласний!C64+інші!C64</f>
        <v>3748.7</v>
      </c>
      <c r="D64" s="95">
        <f>'насел.'!D64+пільги!D64+субсидії!D64+'держ.бюджет'!D64+'місц.-районн.бюджет'!D64+обласний!D64+інші!D64</f>
        <v>1215.1</v>
      </c>
      <c r="E64" s="95">
        <f>'насел.'!E64+пільги!E64+субсидії!E64+'держ.бюджет'!E64+'місц.-районн.бюджет'!E64+обласний!E64+інші!E64</f>
        <v>800.1</v>
      </c>
      <c r="F64" s="93">
        <f t="shared" si="53"/>
        <v>65.8464323923957</v>
      </c>
      <c r="G64" s="95">
        <f>'насел.'!G64+пільги!G64+субсидії!G64+'держ.бюджет'!G64+'місц.-районн.бюджет'!G64+обласний!G64+інші!G64</f>
        <v>1244.5</v>
      </c>
      <c r="H64" s="95">
        <f>'насел.'!H64+пільги!H64+субсидії!H64+'держ.бюджет'!H64+'місц.-районн.бюджет'!H64+обласний!H64+інші!H64</f>
        <v>982.8</v>
      </c>
      <c r="I64" s="93">
        <f t="shared" si="54"/>
        <v>78.97147448774608</v>
      </c>
      <c r="J64" s="95">
        <f>'насел.'!J64+пільги!J64+субсидії!J64+'держ.бюджет'!J64+'місц.-районн.бюджет'!J64+обласний!J64+інші!J64</f>
        <v>1032.1</v>
      </c>
      <c r="K64" s="95">
        <f>'насел.'!K64+пільги!K64+субсидії!K64+'держ.бюджет'!K64+'місц.-районн.бюджет'!K64+обласний!K64+інші!K64</f>
        <v>1035.8999999999999</v>
      </c>
      <c r="L64" s="93">
        <f t="shared" si="55"/>
        <v>100.36818137777345</v>
      </c>
      <c r="M64" s="93">
        <f>'насел.'!M64+пільги!M64+субсидії!M64+'держ.бюджет'!M64+'місц.-районн.бюджет'!M64+обласний!M64+інші!M64</f>
        <v>3491.7</v>
      </c>
      <c r="N64" s="93">
        <f>'насел.'!N64+пільги!N64+субсидії!N64+'держ.бюджет'!N64+'місц.-районн.бюджет'!N64+обласний!N64+інші!N64</f>
        <v>2818.7999999999997</v>
      </c>
      <c r="O64" s="93">
        <f t="shared" si="56"/>
        <v>80.7285849299768</v>
      </c>
      <c r="P64" s="95">
        <f>'насел.'!P64+пільги!P64+субсидії!P64+'держ.бюджет'!P64+'місц.-районн.бюджет'!P64+обласний!P64+інші!P64</f>
        <v>315.2</v>
      </c>
      <c r="Q64" s="95">
        <f>'насел.'!Q64+пільги!Q64+субсидії!Q64+'держ.бюджет'!Q64+'місц.-районн.бюджет'!Q64+обласний!Q64+інші!Q64</f>
        <v>755</v>
      </c>
      <c r="R64" s="95">
        <f t="shared" si="57"/>
        <v>239.53045685279187</v>
      </c>
      <c r="S64" s="95">
        <f>'насел.'!S64+пільги!S64+субсидії!S64+'держ.бюджет'!S64+'місц.-районн.бюджет'!S64+обласний!S64+інші!S64</f>
        <v>0</v>
      </c>
      <c r="T64" s="95">
        <f>'насел.'!T64+пільги!T64+субсидії!T64+'держ.бюджет'!T64+'місц.-районн.бюджет'!T64+обласний!T64+інші!T64</f>
        <v>368.4</v>
      </c>
      <c r="U64" s="93" t="e">
        <f t="shared" si="58"/>
        <v>#DIV/0!</v>
      </c>
      <c r="V64" s="95">
        <f>'насел.'!V64+пільги!V64+субсидії!V64+'держ.бюджет'!V64+'місц.-районн.бюджет'!V64+обласний!V64+інші!V64</f>
        <v>0</v>
      </c>
      <c r="W64" s="95">
        <f>'насел.'!W64+пільги!W64+субсидії!W64+'держ.бюджет'!W64+'місц.-районн.бюджет'!W64+обласний!W64+інші!W64</f>
        <v>145.5</v>
      </c>
      <c r="X64" s="93" t="e">
        <f t="shared" si="59"/>
        <v>#DIV/0!</v>
      </c>
      <c r="Y64" s="95">
        <f>'насел.'!Y64+пільги!Y64+субсидії!Y64+'держ.бюджет'!Y64+'місц.-районн.бюджет'!Y64+обласний!Y64+інші!Y64</f>
        <v>315.2</v>
      </c>
      <c r="Z64" s="95">
        <f>'насел.'!Z64+пільги!Z64+субсидії!Z64+'держ.бюджет'!Z64+'місц.-районн.бюджет'!Z64+обласний!Z64+інші!Z64</f>
        <v>1268.9</v>
      </c>
      <c r="AA64" s="93">
        <f t="shared" si="60"/>
        <v>402.5697969543148</v>
      </c>
      <c r="AB64" s="95">
        <f>'насел.'!AB64+пільги!AB64+субсидії!AB64+'держ.бюджет'!AB64+'місц.-районн.бюджет'!AB64+обласний!AB64+інші!AB64</f>
        <v>0</v>
      </c>
      <c r="AC64" s="95">
        <f>'насел.'!AC64+пільги!AC64+субсидії!AC64+'держ.бюджет'!AC64+'місц.-районн.бюджет'!AC64+обласний!AC64+інші!AC64</f>
        <v>223.3</v>
      </c>
      <c r="AD64" s="93" t="e">
        <f t="shared" si="61"/>
        <v>#DIV/0!</v>
      </c>
      <c r="AE64" s="95">
        <f>'насел.'!AE64+пільги!AE64+субсидії!AE64+'держ.бюджет'!AE64+'місц.-районн.бюджет'!AE64+обласний!AE64+інші!AE64</f>
        <v>0</v>
      </c>
      <c r="AF64" s="95">
        <f>'насел.'!AF64+пільги!AF64+субсидії!AF64+'держ.бюджет'!AF64+'місц.-районн.бюджет'!AF64+обласний!AF64+інші!AF64</f>
        <v>0</v>
      </c>
      <c r="AG64" s="93" t="e">
        <f t="shared" si="62"/>
        <v>#DIV/0!</v>
      </c>
      <c r="AH64" s="95">
        <f>'насел.'!AH64+пільги!AH64+субсидії!AH64+'держ.бюджет'!AH64+'місц.-районн.бюджет'!AH64+обласний!AH64+інші!AH64</f>
        <v>0</v>
      </c>
      <c r="AI64" s="95">
        <f>'насел.'!AI64+пільги!AI64+субсидії!AI64+'держ.бюджет'!AI64+'місц.-районн.бюджет'!AI64+обласний!AI64+інші!AI64</f>
        <v>0</v>
      </c>
      <c r="AJ64" s="93" t="e">
        <f t="shared" si="63"/>
        <v>#DIV/0!</v>
      </c>
      <c r="AK64" s="55">
        <f>'насел.'!AK64+пільги!AR64+субсидії!AK64+'держ.бюджет'!AK64+'місц.-районн.бюджет'!AK64+обласний!AK64+інші!AK64</f>
        <v>0</v>
      </c>
      <c r="AL64" s="95">
        <f>'насел.'!AL64+пільги!AK64+субсидії!AL64+'держ.бюджет'!AL64+'місц.-районн.бюджет'!AL64+обласний!AL64+інші!AL64</f>
        <v>223.3</v>
      </c>
      <c r="AM64" s="95" t="e">
        <f t="shared" si="64"/>
        <v>#DIV/0!</v>
      </c>
      <c r="AN64" s="55">
        <f>'насел.'!AN64+пільги!AN64+субсидії!AN64+'держ.бюджет'!AN64+'місц.-районн.бюджет'!AN64+обласний!AN64+інші!AN64</f>
        <v>0</v>
      </c>
      <c r="AO64" s="95">
        <f>'насел.'!AO64+пільги!AN64+субсидії!AO64+'держ.бюджет'!AO64+'місц.-районн.бюджет'!AO64+обласний!AO64+інші!AO64</f>
        <v>0</v>
      </c>
      <c r="AP64" s="95">
        <f>'насел.'!AP64+пільги!AO64+субсидії!AP64+'держ.бюджет'!AP64+'місц.-районн.бюджет'!AP64+обласний!AP64+інші!AP64</f>
        <v>0</v>
      </c>
      <c r="AQ64" s="95">
        <f>'насел.'!AQ64+пільги!AP64+субсидії!AQ64+'держ.бюджет'!AQ64+'місц.-районн.бюджет'!AQ64+обласний!AQ64+інші!AQ64</f>
        <v>0</v>
      </c>
      <c r="AR64" s="95">
        <f>'насел.'!AR64+пільги!AQ64+субсидії!AR64+'держ.бюджет'!AR64+'місц.-районн.бюджет'!AR64+обласний!AR64+інші!AR64</f>
        <v>0</v>
      </c>
      <c r="AS64" s="95">
        <f>'насел.'!AS64+пільги!AR64+субсидії!AS64+'держ.бюджет'!AS64+'місц.-районн.бюджет'!AS64+обласний!AS64+інші!AS64</f>
        <v>0</v>
      </c>
      <c r="AT64" s="95">
        <f>'насел.'!AT64+пільги!AT64+субсидії!AT64+'держ.бюджет'!AT64+'місц.-районн.бюджет'!AT64+обласний!AT64+інші!AT64</f>
        <v>3806.9</v>
      </c>
      <c r="AU64" s="95">
        <f>'насел.'!AU64+пільги!AU64+субсидії!AU64+'держ.бюджет'!AU64+'місц.-районн.бюджет'!AU64+обласний!AU64+інші!AU64</f>
        <v>4311</v>
      </c>
      <c r="AV64" s="93">
        <f t="shared" si="65"/>
        <v>113.24174525204234</v>
      </c>
      <c r="AW64" s="95">
        <f t="shared" si="13"/>
        <v>-504.0999999999999</v>
      </c>
      <c r="AX64" s="130">
        <f>'насел.'!AX64+пільги!AX64+субсидії!AX64+'держ.бюджет'!AX64+'місц.-районн.бюджет'!AX64+обласний!AX64+інші!AX64</f>
        <v>3244.5999999999995</v>
      </c>
      <c r="AY64" s="124"/>
      <c r="AZ64" s="124"/>
      <c r="BA64" s="124"/>
      <c r="BB64" s="124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30">
        <f>'насел.'!AX65+пільги!AX65+субсидії!AX65+'держ.бюджет'!AX65+'місц.-районн.бюджет'!AX65+обласний!AX65+інші!AX65</f>
        <v>0</v>
      </c>
      <c r="AY65" s="124"/>
      <c r="AZ65" s="124"/>
      <c r="BA65" s="124"/>
      <c r="BB65" s="124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30">
        <f>'насел.'!AX66+пільги!AX66+субсидії!AX66+'держ.бюджет'!AX66+'місц.-районн.бюджет'!AX66+обласний!AX66+інші!AX66</f>
        <v>0</v>
      </c>
      <c r="AY66" s="124"/>
      <c r="AZ66" s="124"/>
      <c r="BA66" s="124"/>
      <c r="BB66" s="124"/>
    </row>
    <row r="67" spans="1:54" ht="34.5" customHeight="1">
      <c r="A67" s="48" t="s">
        <v>11</v>
      </c>
      <c r="B67" s="52" t="s">
        <v>125</v>
      </c>
      <c r="C67" s="95">
        <f>'насел.'!C67+пільги!C67+субсидії!C67+'держ.бюджет'!C67+'місц.-районн.бюджет'!C67+обласний!C67+інші!C67</f>
        <v>17640.3</v>
      </c>
      <c r="D67" s="95">
        <f>'насел.'!D67+пільги!D67+субсидії!D67+'держ.бюджет'!D67+'місц.-районн.бюджет'!D67+обласний!D67+інші!D67</f>
        <v>7865.1</v>
      </c>
      <c r="E67" s="95">
        <f>'насел.'!E67+пільги!E67+субсидії!E67+'держ.бюджет'!E67+'місц.-районн.бюджет'!E67+обласний!E67+інші!E67</f>
        <v>5017.6</v>
      </c>
      <c r="F67" s="93">
        <f t="shared" si="53"/>
        <v>63.79575593444458</v>
      </c>
      <c r="G67" s="95">
        <f>'насел.'!G67+пільги!G67+субсидії!G67+'держ.бюджет'!G67+'місц.-районн.бюджет'!G67+обласний!G67+інші!G67</f>
        <v>7637.4</v>
      </c>
      <c r="H67" s="95">
        <f>'насел.'!H67+пільги!H67+субсидії!H67+'держ.бюджет'!H67+'місц.-районн.бюджет'!H67+обласний!H67+інші!H67</f>
        <v>6143</v>
      </c>
      <c r="I67" s="93">
        <f t="shared" si="54"/>
        <v>80.433131694032</v>
      </c>
      <c r="J67" s="95">
        <f>'насел.'!J67+пільги!J67+субсидії!J67+'держ.бюджет'!J67+'місц.-районн.бюджет'!J67+обласний!J67+інші!J67</f>
        <v>7200</v>
      </c>
      <c r="K67" s="95">
        <f>'насел.'!K67+пільги!K67+субсидії!K67+'держ.бюджет'!K67+'місц.-районн.бюджет'!K67+обласний!K67+інші!K67</f>
        <v>7748.1</v>
      </c>
      <c r="L67" s="93">
        <f t="shared" si="55"/>
        <v>107.6125</v>
      </c>
      <c r="M67" s="93">
        <f>'насел.'!M67+пільги!M67+субсидії!M67+'держ.бюджет'!M67+'місц.-районн.бюджет'!M67+обласний!M67+інші!M67</f>
        <v>22702.5</v>
      </c>
      <c r="N67" s="93">
        <f>'насел.'!N67+пільги!N67+субсидії!N67+'держ.бюджет'!N67+'місц.-районн.бюджет'!N67+обласний!N67+інші!N67</f>
        <v>18908.7</v>
      </c>
      <c r="O67" s="93">
        <f t="shared" si="56"/>
        <v>83.28906508093823</v>
      </c>
      <c r="P67" s="95">
        <f>'насел.'!P67+пільги!P67+субсидії!P67+'держ.бюджет'!P67+'місц.-районн.бюджет'!P67+обласний!P67+інші!P67</f>
        <v>4595.4</v>
      </c>
      <c r="Q67" s="95">
        <f>'насел.'!Q67+пільги!Q67+субсидії!Q67+'держ.бюджет'!Q67+'місц.-районн.бюджет'!Q67+обласний!Q67+інші!Q67</f>
        <v>7108.3</v>
      </c>
      <c r="R67" s="95">
        <f t="shared" si="57"/>
        <v>154.6829438133786</v>
      </c>
      <c r="S67" s="95">
        <f>'насел.'!S67+пільги!S67+субсидії!S67+'держ.бюджет'!S67+'місц.-районн.бюджет'!S67+обласний!S67+інші!S67</f>
        <v>611.5</v>
      </c>
      <c r="T67" s="95">
        <f>'насел.'!T67+пільги!T67+субсидії!T67+'держ.бюджет'!T67+'місц.-районн.бюджет'!T67+обласний!T67+інші!T67</f>
        <v>4136.6</v>
      </c>
      <c r="U67" s="93">
        <f t="shared" si="58"/>
        <v>676.4677023712184</v>
      </c>
      <c r="V67" s="95">
        <f>'насел.'!V67+пільги!V67+субсидії!V67+'держ.бюджет'!V67+'місц.-районн.бюджет'!V67+обласний!V67+інші!V67</f>
        <v>365.6</v>
      </c>
      <c r="W67" s="95">
        <f>'насел.'!W67+пільги!W67+субсидії!W67+'держ.бюджет'!W67+'місц.-районн.бюджет'!W67+обласний!W67+інші!W67</f>
        <v>1257.7</v>
      </c>
      <c r="X67" s="93">
        <f t="shared" si="59"/>
        <v>344.0098468271335</v>
      </c>
      <c r="Y67" s="95">
        <f>'насел.'!Y67+пільги!Y67+субсидії!Y67+'держ.бюджет'!Y67+'місц.-районн.бюджет'!Y67+обласний!Y67+інші!Y67</f>
        <v>5572.5</v>
      </c>
      <c r="Z67" s="95">
        <f>'насел.'!Z67+пільги!Z67+субсидії!Z67+'держ.бюджет'!Z67+'місц.-районн.бюджет'!Z67+обласний!Z67+інші!Z67</f>
        <v>12502.6</v>
      </c>
      <c r="AA67" s="93">
        <f t="shared" si="60"/>
        <v>224.36249439210408</v>
      </c>
      <c r="AB67" s="95">
        <f>'насел.'!AB67+пільги!AB67+субсидії!AB67+'держ.бюджет'!AB67+'місц.-районн.бюджет'!AB67+обласний!AB67+інші!AB67</f>
        <v>380.8</v>
      </c>
      <c r="AC67" s="95">
        <f>'насел.'!AC67+пільги!AC67+субсидії!AC67+'держ.бюджет'!AC67+'місц.-районн.бюджет'!AC67+обласний!AC67+інші!AC67</f>
        <v>1059.5</v>
      </c>
      <c r="AD67" s="93">
        <f t="shared" si="61"/>
        <v>278.23004201680675</v>
      </c>
      <c r="AE67" s="95">
        <f>'насел.'!AE67+пільги!AE67+субсидії!AE67+'держ.бюджет'!AE67+'місц.-районн.бюджет'!AE67+обласний!AE67+інші!AE67</f>
        <v>441.2</v>
      </c>
      <c r="AF67" s="95">
        <f>'насел.'!AF67+пільги!AF67+субсидії!AF67+'держ.бюджет'!AF67+'місц.-районн.бюджет'!AF67+обласний!AF67+інші!AF67</f>
        <v>1009.6</v>
      </c>
      <c r="AG67" s="93">
        <f t="shared" si="62"/>
        <v>228.83046237533998</v>
      </c>
      <c r="AH67" s="95">
        <f>'насел.'!AH67+пільги!AH67+субсидії!AH67+'держ.бюджет'!AH67+'місц.-районн.бюджет'!AH67+обласний!AH67+інші!AH67</f>
        <v>0</v>
      </c>
      <c r="AI67" s="95">
        <f>'насел.'!AI67+пільги!AI67+субсидії!AI67+'держ.бюджет'!AI67+'місц.-районн.бюджет'!AI67+обласний!AI67+інші!AI67</f>
        <v>0</v>
      </c>
      <c r="AJ67" s="93" t="e">
        <f t="shared" si="63"/>
        <v>#DIV/0!</v>
      </c>
      <c r="AK67" s="55">
        <f>'насел.'!AK67+пільги!AR67+субсидії!AK67+'держ.бюджет'!AK67+'місц.-районн.бюджет'!AK67+обласний!AK67+інші!AK67</f>
        <v>822.0000000000001</v>
      </c>
      <c r="AL67" s="95">
        <f>'насел.'!AL67+пільги!AK67+субсидії!AL67+'держ.бюджет'!AL67+'місц.-районн.бюджет'!AL67+обласний!AL67+інші!AL67</f>
        <v>2069.1</v>
      </c>
      <c r="AM67" s="95">
        <f t="shared" si="64"/>
        <v>251.71532846715326</v>
      </c>
      <c r="AN67" s="55">
        <f>'насел.'!AN67+пільги!AN67+субсидії!AN67+'держ.бюджет'!AN67+'місц.-районн.бюджет'!AN67+обласний!AN67+інші!AN67</f>
        <v>0</v>
      </c>
      <c r="AO67" s="95">
        <f>'насел.'!AO67+пільги!AN67+субсидії!AO67+'держ.бюджет'!AO67+'місц.-районн.бюджет'!AO67+обласний!AO67+інші!AO67</f>
        <v>0</v>
      </c>
      <c r="AP67" s="95">
        <f>'насел.'!AP67+пільги!AO67+субсидії!AP67+'держ.бюджет'!AP67+'місц.-районн.бюджет'!AP67+обласний!AP67+інші!AP67</f>
        <v>0</v>
      </c>
      <c r="AQ67" s="95">
        <f>'насел.'!AQ67+пільги!AP67+субсидії!AQ67+'держ.бюджет'!AQ67+'місц.-районн.бюджет'!AQ67+обласний!AQ67+інші!AQ67</f>
        <v>0</v>
      </c>
      <c r="AR67" s="95">
        <f>'насел.'!AR67+пільги!AQ67+субсидії!AR67+'держ.бюджет'!AR67+'місц.-районн.бюджет'!AR67+обласний!AR67+інші!AR67</f>
        <v>0</v>
      </c>
      <c r="AS67" s="95">
        <f>'насел.'!AS67+пільги!AR67+субсидії!AS67+'держ.бюджет'!AS67+'місц.-районн.бюджет'!AS67+обласний!AS67+інші!AS67</f>
        <v>0</v>
      </c>
      <c r="AT67" s="95">
        <f>'насел.'!AT67+пільги!AT67+субсидії!AT67+'держ.бюджет'!AT67+'місц.-районн.бюджет'!AT67+обласний!AT67+інші!AT67</f>
        <v>29097</v>
      </c>
      <c r="AU67" s="95">
        <f>'насел.'!AU67+пільги!AU67+субсидії!AU67+'держ.бюджет'!AU67+'місц.-районн.бюджет'!AU67+обласний!AU67+інші!AU67</f>
        <v>33480.4</v>
      </c>
      <c r="AV67" s="93">
        <f t="shared" si="65"/>
        <v>115.06478331099426</v>
      </c>
      <c r="AW67" s="95">
        <f t="shared" si="13"/>
        <v>-4383.4000000000015</v>
      </c>
      <c r="AX67" s="130">
        <f>'насел.'!AX67+пільги!AX67+субсидії!AX67+'держ.бюджет'!AX67+'місц.-районн.бюджет'!AX67+обласний!AX67+інші!AX67</f>
        <v>13256.899999999998</v>
      </c>
      <c r="AY67" s="124"/>
      <c r="AZ67" s="124"/>
      <c r="BA67" s="124"/>
      <c r="BB67" s="124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30">
        <f>'насел.'!AX68+пільги!AX68+субсидії!AX68+'держ.бюджет'!AX68+'місц.-районн.бюджет'!AX68+обласний!AX68+інші!AX68</f>
        <v>0</v>
      </c>
      <c r="AY68" s="124"/>
      <c r="AZ68" s="124"/>
      <c r="BA68" s="124"/>
      <c r="BB68" s="124"/>
    </row>
    <row r="69" spans="1:54" ht="47.25" customHeight="1">
      <c r="A69" s="48" t="s">
        <v>11</v>
      </c>
      <c r="B69" s="51" t="s">
        <v>167</v>
      </c>
      <c r="C69" s="95">
        <f>'насел.'!C69+пільги!C69+субсидії!C69+'держ.бюджет'!C69+'місц.-районн.бюджет'!C69+обласний!C69+інші!C69</f>
        <v>11628</v>
      </c>
      <c r="D69" s="95">
        <f>'насел.'!D69+пільги!D69+субсидії!D69+'держ.бюджет'!D69+'місц.-районн.бюджет'!D69+обласний!D69+інші!D69</f>
        <v>4033.3</v>
      </c>
      <c r="E69" s="95">
        <f>'насел.'!E69+пільги!E69+субсидії!E69+'держ.бюджет'!E69+'місц.-районн.бюджет'!E69+обласний!E69+інші!E69</f>
        <v>2554.0000000000005</v>
      </c>
      <c r="F69" s="93">
        <f t="shared" si="53"/>
        <v>63.32283737882132</v>
      </c>
      <c r="G69" s="95">
        <f>'насел.'!G69+пільги!G69+субсидії!G69+'держ.бюджет'!G69+'місц.-районн.бюджет'!G69+обласний!G69+інші!G69</f>
        <v>4436.9</v>
      </c>
      <c r="H69" s="95">
        <f>'насел.'!H69+пільги!H69+субсидії!H69+'держ.бюджет'!H69+'місц.-районн.бюджет'!H69+обласний!H69+інші!H69</f>
        <v>3371.0000000000005</v>
      </c>
      <c r="I69" s="93">
        <f t="shared" si="54"/>
        <v>75.97647005792334</v>
      </c>
      <c r="J69" s="95">
        <f>'насел.'!J69+пільги!J69+субсидії!J69+'держ.бюджет'!J69+'місц.-районн.бюджет'!J69+обласний!J69+інші!J69</f>
        <v>3275.2</v>
      </c>
      <c r="K69" s="95">
        <f>'насел.'!K69+пільги!K69+субсидії!K69+'держ.бюджет'!K69+'місц.-районн.бюджет'!K69+обласний!K69+інші!K69</f>
        <v>3117.3</v>
      </c>
      <c r="L69" s="93">
        <f t="shared" si="55"/>
        <v>95.17892037127504</v>
      </c>
      <c r="M69" s="93">
        <f>'насел.'!M69+пільги!M69+субсидії!M69+'держ.бюджет'!M69+'місц.-районн.бюджет'!M69+обласний!M69+інші!M69</f>
        <v>11745.400000000001</v>
      </c>
      <c r="N69" s="93">
        <f>'насел.'!N69+пільги!N69+субсидії!N69+'держ.бюджет'!N69+'місц.-районн.бюджет'!N69+обласний!N69+інші!N69</f>
        <v>9042.300000000001</v>
      </c>
      <c r="O69" s="93">
        <f t="shared" si="56"/>
        <v>76.98588383537384</v>
      </c>
      <c r="P69" s="95">
        <f>'насел.'!P69+пільги!P69+субсидії!P69+'держ.бюджет'!P69+'місц.-районн.бюджет'!P69+обласний!P69+інші!P69</f>
        <v>-52.2</v>
      </c>
      <c r="Q69" s="95">
        <f>'насел.'!Q69+пільги!Q69+субсидії!Q69+'держ.бюджет'!Q69+'місц.-районн.бюджет'!Q69+обласний!Q69+інші!Q69</f>
        <v>1661</v>
      </c>
      <c r="R69" s="95">
        <f t="shared" si="57"/>
        <v>-3181.992337164751</v>
      </c>
      <c r="S69" s="95">
        <f>'насел.'!S69+пільги!S69+субсидії!S69+'держ.бюджет'!S69+'місц.-районн.бюджет'!S69+обласний!S69+інші!S69</f>
        <v>0</v>
      </c>
      <c r="T69" s="95">
        <f>'насел.'!T69+пільги!T69+субсидії!T69+'держ.бюджет'!T69+'місц.-районн.бюджет'!T69+обласний!T69+інші!T69</f>
        <v>604.5</v>
      </c>
      <c r="U69" s="93" t="e">
        <f t="shared" si="58"/>
        <v>#DIV/0!</v>
      </c>
      <c r="V69" s="95">
        <f>'насел.'!V69+пільги!V69+субсидії!V69+'держ.бюджет'!V69+'місц.-районн.бюджет'!V69+обласний!V69+інші!V69</f>
        <v>0</v>
      </c>
      <c r="W69" s="95">
        <f>'насел.'!W69+пільги!W69+субсидії!W69+'держ.бюджет'!W69+'місц.-районн.бюджет'!W69+обласний!W69+інші!W69</f>
        <v>765.4</v>
      </c>
      <c r="X69" s="93" t="e">
        <f t="shared" si="59"/>
        <v>#DIV/0!</v>
      </c>
      <c r="Y69" s="95">
        <f>'насел.'!Y69+пільги!Y69+субсидії!Y69+'держ.бюджет'!Y69+'місц.-районн.бюджет'!Y69+обласний!Y69+інші!Y69</f>
        <v>-52.2</v>
      </c>
      <c r="Z69" s="95">
        <f>'насел.'!Z69+пільги!Z69+субсидії!Z69+'держ.бюджет'!Z69+'місц.-районн.бюджет'!Z69+обласний!Z69+інші!Z69</f>
        <v>3030.9</v>
      </c>
      <c r="AA69" s="93">
        <f t="shared" si="60"/>
        <v>-5806.3218390804595</v>
      </c>
      <c r="AB69" s="95">
        <f>'насел.'!AB69+пільги!AB69+субсидії!AB69+'держ.бюджет'!AB69+'місц.-районн.бюджет'!AB69+обласний!AB69+інші!AB69</f>
        <v>0</v>
      </c>
      <c r="AC69" s="95">
        <f>'насел.'!AC69+пільги!AC69+субсидії!AC69+'держ.бюджет'!AC69+'місц.-районн.бюджет'!AC69+обласний!AC69+інші!AC69</f>
        <v>280.59999999999997</v>
      </c>
      <c r="AD69" s="93" t="e">
        <f t="shared" si="61"/>
        <v>#DIV/0!</v>
      </c>
      <c r="AE69" s="95">
        <f>'насел.'!AE69+пільги!AE69+субсидії!AE69+'держ.бюджет'!AE69+'місц.-районн.бюджет'!AE69+обласний!AE69+інші!AE69</f>
        <v>0</v>
      </c>
      <c r="AF69" s="95">
        <f>'насел.'!AF69+пільги!AF69+субсидії!AF69+'держ.бюджет'!AF69+'місц.-районн.бюджет'!AF69+обласний!AF69+інші!AF69</f>
        <v>10.8</v>
      </c>
      <c r="AG69" s="93" t="e">
        <f t="shared" si="62"/>
        <v>#DIV/0!</v>
      </c>
      <c r="AH69" s="95">
        <f>'насел.'!AH69+пільги!AH69+субсидії!AH69+'держ.бюджет'!AH69+'місц.-районн.бюджет'!AH69+обласний!AH69+інші!AH69</f>
        <v>0</v>
      </c>
      <c r="AI69" s="95">
        <f>'насел.'!AI69+пільги!AI69+субсидії!AI69+'держ.бюджет'!AI69+'місц.-районн.бюджет'!AI69+обласний!AI69+інші!AI69</f>
        <v>0</v>
      </c>
      <c r="AJ69" s="93" t="e">
        <f t="shared" si="63"/>
        <v>#DIV/0!</v>
      </c>
      <c r="AK69" s="55">
        <f>'насел.'!AK69+пільги!AR69+субсидії!AK69+'держ.бюджет'!AK69+'місц.-районн.бюджет'!AK69+обласний!AK69+інші!AK69</f>
        <v>0</v>
      </c>
      <c r="AL69" s="95">
        <f>'насел.'!AL69+пільги!AK69+субсидії!AL69+'держ.бюджет'!AL69+'місц.-районн.бюджет'!AL69+обласний!AL69+інші!AL69</f>
        <v>291.4</v>
      </c>
      <c r="AM69" s="95" t="e">
        <f t="shared" si="64"/>
        <v>#DIV/0!</v>
      </c>
      <c r="AN69" s="55">
        <f>'насел.'!AN69+пільги!AN69+субсидії!AN69+'держ.бюджет'!AN69+'місц.-районн.бюджет'!AN69+обласний!AN69+інші!AN69</f>
        <v>0</v>
      </c>
      <c r="AO69" s="95">
        <f>'насел.'!AO69+пільги!AN69+субсидії!AO69+'держ.бюджет'!AO69+'місц.-районн.бюджет'!AO69+обласний!AO69+інші!AO69</f>
        <v>0</v>
      </c>
      <c r="AP69" s="95">
        <f>'насел.'!AP69+пільги!AO69+субсидії!AP69+'держ.бюджет'!AP69+'місц.-районн.бюджет'!AP69+обласний!AP69+інші!AP69</f>
        <v>0</v>
      </c>
      <c r="AQ69" s="95">
        <f>'насел.'!AQ69+пільги!AP69+субсидії!AQ69+'держ.бюджет'!AQ69+'місц.-районн.бюджет'!AQ69+обласний!AQ69+інші!AQ69</f>
        <v>0</v>
      </c>
      <c r="AR69" s="95">
        <f>'насел.'!AR69+пільги!AQ69+субсидії!AR69+'держ.бюджет'!AR69+'місц.-районн.бюджет'!AR69+обласний!AR69+інші!AR69</f>
        <v>0</v>
      </c>
      <c r="AS69" s="95">
        <f>'насел.'!AS69+пільги!AR69+субсидії!AS69+'держ.бюджет'!AS69+'місц.-районн.бюджет'!AS69+обласний!AS69+інші!AS69</f>
        <v>0</v>
      </c>
      <c r="AT69" s="95">
        <f>'насел.'!AT69+пільги!AT69+субсидії!AT69+'держ.бюджет'!AT69+'місц.-районн.бюджет'!AT69+обласний!AT69+інші!AT69</f>
        <v>11693.2</v>
      </c>
      <c r="AU69" s="95">
        <f>'насел.'!AU69+пільги!AU69+субсидії!AU69+'держ.бюджет'!AU69+'місц.-районн.бюджет'!AU69+обласний!AU69+інші!AU69</f>
        <v>12364.6</v>
      </c>
      <c r="AV69" s="93">
        <f t="shared" si="65"/>
        <v>105.74179865220812</v>
      </c>
      <c r="AW69" s="95">
        <f t="shared" si="13"/>
        <v>-671.3999999999996</v>
      </c>
      <c r="AX69" s="130">
        <f>'насел.'!AX69+пільги!AX69+субсидії!AX69+'держ.бюджет'!AX69+'місц.-районн.бюджет'!AX69+обласний!AX69+інші!AX69</f>
        <v>10956.6</v>
      </c>
      <c r="AY69" s="124">
        <f>6929.6+4027</f>
        <v>10956.6</v>
      </c>
      <c r="AZ69" s="124"/>
      <c r="BA69" s="124"/>
      <c r="BB69" s="124"/>
    </row>
    <row r="70" spans="1:54" ht="34.5" customHeight="1">
      <c r="A70" s="48" t="s">
        <v>33</v>
      </c>
      <c r="B70" s="53" t="s">
        <v>166</v>
      </c>
      <c r="C70" s="95">
        <f>'насел.'!C70+пільги!C70+субсидії!C70+'держ.бюджет'!C70+'місц.-районн.бюджет'!C70+обласний!C70+інші!C70</f>
        <v>2078.3</v>
      </c>
      <c r="D70" s="95">
        <f>'насел.'!D70+пільги!D70+субсидії!D70+'держ.бюджет'!D70+'місц.-районн.бюджет'!D70+обласний!D70+інші!D70</f>
        <v>1213.1000000000001</v>
      </c>
      <c r="E70" s="95">
        <f>'насел.'!E70+пільги!E70+субсидії!E70+'держ.бюджет'!E70+'місц.-районн.бюджет'!E70+обласний!E70+інші!E70</f>
        <v>632.8000000000001</v>
      </c>
      <c r="F70" s="93">
        <f>E70/D70*100</f>
        <v>52.163877668782455</v>
      </c>
      <c r="G70" s="95">
        <f>'насел.'!G70+пільги!G70+субсидії!G70+'держ.бюджет'!G70+'місц.-районн.бюджет'!G70+обласний!G70+інші!G70</f>
        <v>1429.3999999999999</v>
      </c>
      <c r="H70" s="95">
        <f>'насел.'!H70+пільги!H70+субсидії!H70+'держ.бюджет'!H70+'місц.-районн.бюджет'!H70+обласний!H70+інші!H70</f>
        <v>995.5999999999999</v>
      </c>
      <c r="I70" s="93">
        <f>H70/G70*100</f>
        <v>69.65160207079893</v>
      </c>
      <c r="J70" s="95">
        <f>'насел.'!J70+пільги!J70+субсидії!J70+'держ.бюджет'!J70+'місц.-районн.бюджет'!J70+обласний!J70+інші!J70</f>
        <v>1126.1000000000001</v>
      </c>
      <c r="K70" s="95">
        <f>'насел.'!K70+пільги!K70+субсидії!K70+'держ.бюджет'!K70+'місц.-районн.бюджет'!K70+обласний!K70+інші!K70</f>
        <v>1258.5</v>
      </c>
      <c r="L70" s="93">
        <f>K70/J70*100</f>
        <v>111.75739277151229</v>
      </c>
      <c r="M70" s="93">
        <f>'насел.'!M70+пільги!M70+субсидії!M70+'держ.бюджет'!M70+'місц.-районн.бюджет'!M70+обласний!M70+інші!M70</f>
        <v>3768.6000000000004</v>
      </c>
      <c r="N70" s="93">
        <f>'насел.'!N70+пільги!N70+субсидії!N70+'держ.бюджет'!N70+'місц.-районн.бюджет'!N70+обласний!N70+інші!N70</f>
        <v>2886.9</v>
      </c>
      <c r="O70" s="93">
        <f>N70/M70*100</f>
        <v>76.60404394204744</v>
      </c>
      <c r="P70" s="95">
        <f>'насел.'!P70+пільги!P70+субсидії!P70+'держ.бюджет'!P70+'місц.-районн.бюджет'!P70+обласний!P70+інші!P70</f>
        <v>375.79999999999995</v>
      </c>
      <c r="Q70" s="95">
        <f>'насел.'!Q70+пільги!Q70+субсидії!Q70+'держ.бюджет'!Q70+'місц.-районн.бюджет'!Q70+обласний!Q70+інші!Q70</f>
        <v>957.2</v>
      </c>
      <c r="R70" s="95">
        <f>Q70/P70*100</f>
        <v>254.70995210218206</v>
      </c>
      <c r="S70" s="95">
        <f>'насел.'!S70+пільги!S70+субсидії!S70+'держ.бюджет'!S70+'місц.-районн.бюджет'!S70+обласний!S70+інші!S70</f>
        <v>0</v>
      </c>
      <c r="T70" s="95">
        <f>'насел.'!T70+пільги!T70+субсидії!T70+'держ.бюджет'!T70+'місц.-районн.бюджет'!T70+обласний!T70+інші!T70</f>
        <v>439.4</v>
      </c>
      <c r="U70" s="93" t="e">
        <f>T70/S70*100</f>
        <v>#DIV/0!</v>
      </c>
      <c r="V70" s="95">
        <f>'насел.'!V70+пільги!V70+субсидії!V70+'держ.бюджет'!V70+'місц.-районн.бюджет'!V70+обласний!V70+інші!V70</f>
        <v>0</v>
      </c>
      <c r="W70" s="95">
        <f>'насел.'!W70+пільги!W70+субсидії!W70+'держ.бюджет'!W70+'місц.-районн.бюджет'!W70+обласний!W70+інші!W70</f>
        <v>121.1</v>
      </c>
      <c r="X70" s="93" t="e">
        <f>W70/V70*100</f>
        <v>#DIV/0!</v>
      </c>
      <c r="Y70" s="95">
        <f>'насел.'!Y70+пільги!Y70+субсидії!Y70+'держ.бюджет'!Y70+'місц.-районн.бюджет'!Y70+обласний!Y70+інші!Y70</f>
        <v>375.79999999999995</v>
      </c>
      <c r="Z70" s="95">
        <f>'насел.'!Z70+пільги!Z70+субсидії!Z70+'держ.бюджет'!Z70+'місц.-районн.бюджет'!Z70+обласний!Z70+інші!Z70</f>
        <v>1517.7</v>
      </c>
      <c r="AA70" s="93">
        <f>Z70/Y70*100</f>
        <v>403.85843533794576</v>
      </c>
      <c r="AB70" s="95">
        <f>'насел.'!AB70+пільги!AB70+субсидії!AB70+'держ.бюджет'!AB70+'місц.-районн.бюджет'!AB70+обласний!AB70+інші!AB70</f>
        <v>0</v>
      </c>
      <c r="AC70" s="95">
        <f>'насел.'!AC70+пільги!AC70+субсидії!AC70+'держ.бюджет'!AC70+'місц.-районн.бюджет'!AC70+обласний!AC70+інші!AC70</f>
        <v>111.8</v>
      </c>
      <c r="AD70" s="93" t="e">
        <f>AC70/AB70*100</f>
        <v>#DIV/0!</v>
      </c>
      <c r="AE70" s="95">
        <f>'насел.'!AE70+пільги!AE70+субсидії!AE70+'держ.бюджет'!AE70+'місц.-районн.бюджет'!AE70+обласний!AE70+інші!AE70</f>
        <v>0</v>
      </c>
      <c r="AF70" s="95">
        <f>'насел.'!AF70+пільги!AF70+субсидії!AF70+'держ.бюджет'!AF70+'місц.-районн.бюджет'!AF70+обласний!AF70+інші!AF70</f>
        <v>71.9</v>
      </c>
      <c r="AG70" s="93" t="e">
        <f>AF70/AE70*100</f>
        <v>#DIV/0!</v>
      </c>
      <c r="AH70" s="95">
        <f>'насел.'!AH70+пільги!AH70+субсидії!AH70+'держ.бюджет'!AH70+'місц.-районн.бюджет'!AH70+обласний!AH70+інші!AH70</f>
        <v>0</v>
      </c>
      <c r="AI70" s="95">
        <f>'насел.'!AI70+пільги!AI70+субсидії!AI70+'держ.бюджет'!AI70+'місц.-районн.бюджет'!AI70+обласний!AI70+інші!AI70</f>
        <v>0</v>
      </c>
      <c r="AJ70" s="93" t="e">
        <f>AI70/AH70*100</f>
        <v>#DIV/0!</v>
      </c>
      <c r="AK70" s="55">
        <f>'насел.'!AK70+пільги!AR70+субсидії!AK70+'держ.бюджет'!AK70+'місц.-районн.бюджет'!AK70+обласний!AK70+інші!AK70</f>
        <v>0</v>
      </c>
      <c r="AL70" s="95">
        <f>'насел.'!AL70+пільги!AK70+субсидії!AL70+'держ.бюджет'!AL70+'місц.-районн.бюджет'!AL70+обласний!AL70+інші!AL70</f>
        <v>183.7</v>
      </c>
      <c r="AM70" s="95" t="e">
        <f>AL70/AK70*100</f>
        <v>#DIV/0!</v>
      </c>
      <c r="AN70" s="55">
        <f>'насел.'!AN70+пільги!AN70+субсидії!AN70+'держ.бюджет'!AN70+'місц.-районн.бюджет'!AN70+обласний!AN70+інші!AN70</f>
        <v>0</v>
      </c>
      <c r="AO70" s="95">
        <f>'насел.'!AO70+пільги!AN70+субсидії!AO70+'держ.бюджет'!AO70+'місц.-районн.бюджет'!AO70+обласний!AO70+інші!AO70</f>
        <v>0</v>
      </c>
      <c r="AP70" s="95">
        <f>'насел.'!AP70+пільги!AO70+субсидії!AP70+'держ.бюджет'!AP70+'місц.-районн.бюджет'!AP70+обласний!AP70+інші!AP70</f>
        <v>0</v>
      </c>
      <c r="AQ70" s="95">
        <f>'насел.'!AQ70+пільги!AP70+субсидії!AQ70+'держ.бюджет'!AQ70+'місц.-районн.бюджет'!AQ70+обласний!AQ70+інші!AQ70</f>
        <v>0</v>
      </c>
      <c r="AR70" s="95">
        <f>'насел.'!AR70+пільги!AQ70+субсидії!AR70+'держ.бюджет'!AR70+'місц.-районн.бюджет'!AR70+обласний!AR70+інші!AR70</f>
        <v>0</v>
      </c>
      <c r="AS70" s="95">
        <f>'насел.'!AS70+пільги!AR70+субсидії!AS70+'держ.бюджет'!AS70+'місц.-районн.бюджет'!AS70+обласний!AS70+інші!AS70</f>
        <v>0</v>
      </c>
      <c r="AT70" s="95">
        <f>'насел.'!AT70+пільги!AT70+субсидії!AT70+'держ.бюджет'!AT70+'місц.-районн.бюджет'!AT70+обласний!AT70+інші!AT70</f>
        <v>4144.400000000001</v>
      </c>
      <c r="AU70" s="95">
        <f>'насел.'!AU70+пільги!AU70+субсидії!AU70+'держ.бюджет'!AU70+'місц.-районн.бюджет'!AU70+обласний!AU70+інші!AU70</f>
        <v>4588.3</v>
      </c>
      <c r="AV70" s="93">
        <f>AU70/AT70*100</f>
        <v>110.71083872213106</v>
      </c>
      <c r="AW70" s="95">
        <f>AT70-AU70</f>
        <v>-443.89999999999964</v>
      </c>
      <c r="AX70" s="130">
        <f>'насел.'!AX70+пільги!AX70+субсидії!AX70+'держ.бюджет'!AX70+'місц.-районн.бюджет'!AX70+обласний!AX70+інші!AX70</f>
        <v>1634.400000000001</v>
      </c>
      <c r="AY70" s="124">
        <f>1060.4+573.9</f>
        <v>1634.3000000000002</v>
      </c>
      <c r="AZ70" s="124"/>
      <c r="BA70" s="124"/>
      <c r="BB70" s="124"/>
    </row>
    <row r="71" spans="1:54" ht="34.5" customHeight="1">
      <c r="A71" s="48" t="s">
        <v>33</v>
      </c>
      <c r="B71" s="53" t="s">
        <v>169</v>
      </c>
      <c r="C71" s="95">
        <f>'насел.'!C71+пільги!C71+субсидії!C71+'держ.бюджет'!C71+'місц.-районн.бюджет'!C71+обласний!C71+інші!C71</f>
        <v>32090.599999999995</v>
      </c>
      <c r="D71" s="95">
        <f>'насел.'!D71+пільги!D71+субсидії!D71+'держ.бюджет'!D71+'місц.-районн.бюджет'!D71+обласний!D71+інші!D71</f>
        <v>20780.5</v>
      </c>
      <c r="E71" s="95">
        <f>'насел.'!E71+пільги!E71+субсидії!E71+'держ.бюджет'!E71+'місц.-районн.бюджет'!E71+обласний!E71+інші!E71</f>
        <v>14456.900000000001</v>
      </c>
      <c r="F71" s="93">
        <f t="shared" si="53"/>
        <v>69.56954837467819</v>
      </c>
      <c r="G71" s="95">
        <f>'насел.'!G71+пільги!G71+субсидії!G71+'держ.бюджет'!G71+'місц.-районн.бюджет'!G71+обласний!G71+інші!G71</f>
        <v>21012.4</v>
      </c>
      <c r="H71" s="95">
        <f>'насел.'!H71+пільги!H71+субсидії!H71+'держ.бюджет'!H71+'місц.-районн.бюджет'!H71+обласний!H71+інші!H71</f>
        <v>16585.7</v>
      </c>
      <c r="I71" s="93">
        <f t="shared" si="54"/>
        <v>78.9329158020978</v>
      </c>
      <c r="J71" s="95">
        <f>'насел.'!J71+пільги!J71+субсидії!J71+'держ.бюджет'!J71+'місц.-районн.бюджет'!J71+обласний!J71+інші!J71</f>
        <v>19288.400000000005</v>
      </c>
      <c r="K71" s="95">
        <f>'насел.'!K71+пільги!K71+субсидії!K71+'держ.бюджет'!K71+'місц.-районн.бюджет'!K71+обласний!K71+інші!K71</f>
        <v>18389.2</v>
      </c>
      <c r="L71" s="93">
        <f t="shared" si="55"/>
        <v>95.33813068994834</v>
      </c>
      <c r="M71" s="93">
        <f>'насел.'!M71+пільги!M71+субсидії!M71+'держ.бюджет'!M71+'місц.-районн.бюджет'!M71+обласний!M71+інші!M71</f>
        <v>61081.3</v>
      </c>
      <c r="N71" s="93">
        <f>'насел.'!N71+пільги!N71+субсидії!N71+'держ.бюджет'!N71+'місц.-районн.бюджет'!N71+обласний!N71+інші!N71</f>
        <v>49431.799999999996</v>
      </c>
      <c r="O71" s="93">
        <f t="shared" si="56"/>
        <v>80.92787809034843</v>
      </c>
      <c r="P71" s="95">
        <f>'насел.'!P71+пільги!P71+субсидії!P71+'держ.бюджет'!P71+'місц.-районн.бюджет'!P71+обласний!P71+інші!P71</f>
        <v>5504.000000000001</v>
      </c>
      <c r="Q71" s="95">
        <f>'насел.'!Q71+пільги!Q71+субсидії!Q71+'держ.бюджет'!Q71+'місц.-районн.бюджет'!Q71+обласний!Q71+інші!Q71</f>
        <v>16961.2</v>
      </c>
      <c r="R71" s="95">
        <f t="shared" si="57"/>
        <v>308.1613372093023</v>
      </c>
      <c r="S71" s="95">
        <f>'насел.'!S71+пільги!S71+субсидії!S71+'держ.бюджет'!S71+'місц.-районн.бюджет'!S71+обласний!S71+інші!S71</f>
        <v>1525</v>
      </c>
      <c r="T71" s="95">
        <f>'насел.'!T71+пільги!T71+субсидії!T71+'держ.бюджет'!T71+'місц.-районн.бюджет'!T71+обласний!T71+інші!T71</f>
        <v>5999.1</v>
      </c>
      <c r="U71" s="93">
        <f t="shared" si="58"/>
        <v>393.38360655737705</v>
      </c>
      <c r="V71" s="95">
        <f>'насел.'!V71+пільги!V71+субсидії!V71+'держ.бюджет'!V71+'місц.-районн.бюджет'!V71+обласний!V71+інші!V71</f>
        <v>1525</v>
      </c>
      <c r="W71" s="95">
        <f>'насел.'!W71+пільги!W71+субсидії!W71+'держ.бюджет'!W71+'місц.-районн.бюджет'!W71+обласний!W71+інші!W71</f>
        <v>3260</v>
      </c>
      <c r="X71" s="93">
        <f t="shared" si="59"/>
        <v>213.7704918032787</v>
      </c>
      <c r="Y71" s="95">
        <f>'насел.'!Y71+пільги!Y71+субсидії!Y71+'держ.бюджет'!Y71+'місц.-районн.бюджет'!Y71+обласний!Y71+інші!Y71</f>
        <v>8554</v>
      </c>
      <c r="Z71" s="95">
        <f>'насел.'!Z71+пільги!Z71+субсидії!Z71+'держ.бюджет'!Z71+'місц.-районн.бюджет'!Z71+обласний!Z71+інші!Z71</f>
        <v>26220.299999999996</v>
      </c>
      <c r="AA71" s="93">
        <f t="shared" si="60"/>
        <v>306.5267711012391</v>
      </c>
      <c r="AB71" s="95">
        <f>'насел.'!AB71+пільги!AB71+субсидії!AB71+'держ.бюджет'!AB71+'місц.-районн.бюджет'!AB71+обласний!AB71+інші!AB71</f>
        <v>1525.4</v>
      </c>
      <c r="AC71" s="95">
        <f>'насел.'!AC71+пільги!AC71+субсидії!AC71+'держ.бюджет'!AC71+'місц.-районн.бюджет'!AC71+обласний!AC71+інші!AC71</f>
        <v>3021.6</v>
      </c>
      <c r="AD71" s="93">
        <f t="shared" si="61"/>
        <v>198.08574800052443</v>
      </c>
      <c r="AE71" s="95">
        <f>'насел.'!AE71+пільги!AE71+субсидії!AE71+'держ.бюджет'!AE71+'місц.-районн.бюджет'!AE71+обласний!AE71+інші!AE71</f>
        <v>1525.4</v>
      </c>
      <c r="AF71" s="95">
        <f>'насел.'!AF71+пільги!AF71+субсидії!AF71+'держ.бюджет'!AF71+'місц.-районн.бюджет'!AF71+обласний!AF71+інші!AF71</f>
        <v>3269</v>
      </c>
      <c r="AG71" s="93">
        <f t="shared" si="62"/>
        <v>214.30444473580698</v>
      </c>
      <c r="AH71" s="95">
        <f>'насел.'!AH71+пільги!AH71+субсидії!AH71+'держ.бюджет'!AH71+'місц.-районн.бюджет'!AH71+обласний!AH71+інші!AH71</f>
        <v>0</v>
      </c>
      <c r="AI71" s="95">
        <f>'насел.'!AI71+пільги!AI71+субсидії!AI71+'держ.бюджет'!AI71+'місц.-районн.бюджет'!AI71+обласний!AI71+інші!AI71</f>
        <v>0</v>
      </c>
      <c r="AJ71" s="93" t="e">
        <f t="shared" si="63"/>
        <v>#DIV/0!</v>
      </c>
      <c r="AK71" s="55">
        <f>'насел.'!AK71+пільги!AR71+субсидії!AK71+'держ.бюджет'!AK71+'місц.-районн.бюджет'!AK71+обласний!AK71+інші!AK71</f>
        <v>3050.8</v>
      </c>
      <c r="AL71" s="95">
        <f>'насел.'!AL71+пільги!AK71+субсидії!AL71+'держ.бюджет'!AL71+'місц.-районн.бюджет'!AL71+обласний!AL71+інші!AL71</f>
        <v>6290.6</v>
      </c>
      <c r="AM71" s="95">
        <f t="shared" si="64"/>
        <v>206.1950963681657</v>
      </c>
      <c r="AN71" s="55">
        <f>'насел.'!AN71+пільги!AN71+субсидії!AN71+'держ.бюджет'!AN71+'місц.-районн.бюджет'!AN71+обласний!AN71+інші!AN71</f>
        <v>0</v>
      </c>
      <c r="AO71" s="95">
        <f>'насел.'!AO71+пільги!AN71+субсидії!AO71+'держ.бюджет'!AO71+'місц.-районн.бюджет'!AO71+обласний!AO71+інші!AO71</f>
        <v>0</v>
      </c>
      <c r="AP71" s="95">
        <f>'насел.'!AP71+пільги!AO71+субсидії!AP71+'держ.бюджет'!AP71+'місц.-районн.бюджет'!AP71+обласний!AP71+інші!AP71</f>
        <v>0</v>
      </c>
      <c r="AQ71" s="95">
        <f>'насел.'!AQ71+пільги!AP71+субсидії!AQ71+'держ.бюджет'!AQ71+'місц.-районн.бюджет'!AQ71+обласний!AQ71+інші!AQ71</f>
        <v>0</v>
      </c>
      <c r="AR71" s="95">
        <f>'насел.'!AR71+пільги!AQ71+субсидії!AR71+'держ.бюджет'!AR71+'місц.-районн.бюджет'!AR71+обласний!AR71+інші!AR71</f>
        <v>0</v>
      </c>
      <c r="AS71" s="95">
        <f>'насел.'!AS71+пільги!AR71+субсидії!AS71+'держ.бюджет'!AS71+'місц.-районн.бюджет'!AS71+обласний!AS71+інші!AS71</f>
        <v>0</v>
      </c>
      <c r="AT71" s="95">
        <f>'насел.'!AT71+пільги!AT71+субсидії!AT71+'держ.бюджет'!AT71+'місц.-районн.бюджет'!AT71+обласний!AT71+інші!AT71</f>
        <v>72686.1</v>
      </c>
      <c r="AU71" s="95">
        <f>'насел.'!AU71+пільги!AU71+субсидії!AU71+'держ.бюджет'!AU71+'місц.-районн.бюджет'!AU71+обласний!AU71+інші!AU71</f>
        <v>81942.69999999998</v>
      </c>
      <c r="AV71" s="93">
        <f t="shared" si="65"/>
        <v>112.73503462147505</v>
      </c>
      <c r="AW71" s="95">
        <f t="shared" si="13"/>
        <v>-9256.599999999977</v>
      </c>
      <c r="AX71" s="130">
        <f>'насел.'!AX71+пільги!AX71+субсидії!AX71+'держ.бюджет'!AX71+'місц.-районн.бюджет'!AX71+обласний!AX71+інші!AX71</f>
        <v>22834.000000000007</v>
      </c>
      <c r="AY71" s="124"/>
      <c r="AZ71" s="124"/>
      <c r="BA71" s="124"/>
      <c r="BB71" s="124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3912615.5</v>
      </c>
      <c r="D72" s="95">
        <f>'насел.'!D72+пільги!D72+субсидії!D72+'держ.бюджет'!D72+'місц.-районн.бюджет'!D72+обласний!D72+інші!D72</f>
        <v>1334543.2999999998</v>
      </c>
      <c r="E72" s="95">
        <f>'насел.'!E72+пільги!E72+субсидії!E72+'держ.бюджет'!E72+'місц.-районн.бюджет'!E72+обласний!E72+інші!E72</f>
        <v>664355.4999999999</v>
      </c>
      <c r="F72" s="56">
        <f>E72/D72*100</f>
        <v>49.7814870450438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874369.5</v>
      </c>
      <c r="I72" s="56">
        <f>H72/G72*100</f>
        <v>75.2472881330698</v>
      </c>
      <c r="J72" s="55">
        <f>'насел.'!J72+пільги!J76+субсидії!J72+'держ.бюджет'!J72+'місц.-районн.бюджет'!J72+обласний!J72+інші!J72</f>
        <v>1199025.5</v>
      </c>
      <c r="K72" s="55">
        <f>'насел.'!K72+пільги!K76+субсидії!K72+'держ.бюджет'!K72+'місц.-районн.бюджет'!K72+обласний!K72+інші!K72</f>
        <v>1060825.1</v>
      </c>
      <c r="L72" s="56">
        <f>K72/J72*100</f>
        <v>88.47393987867648</v>
      </c>
      <c r="M72" s="56">
        <f>'насел.'!M72+пільги!M76+субсидії!M72+'держ.бюджет'!M72+'місц.-районн.бюджет'!M72+обласний!M72+інші!M72</f>
        <v>3695565.9</v>
      </c>
      <c r="N72" s="56">
        <f>'насел.'!N72+пільги!N76+субсидії!N72+'держ.бюджет'!N72+'місц.-районн.бюджет'!N72+обласний!N72+інші!N72</f>
        <v>2599550.1</v>
      </c>
      <c r="O72" s="56">
        <f>N72/M72*100</f>
        <v>70.34240953462636</v>
      </c>
      <c r="P72" s="55">
        <f>'насел.'!P72+пільги!P76+субсидії!P72+'держ.бюджет'!P72+'місц.-районн.бюджет'!P72+обласний!P72+інші!P72</f>
        <v>650943.1</v>
      </c>
      <c r="Q72" s="55">
        <f>'насел.'!Q72+пільги!Q76+субсидії!Q72+'держ.бюджет'!Q72+'місц.-районн.бюджет'!Q72+обласний!Q72+інші!Q72</f>
        <v>904840.8</v>
      </c>
      <c r="R72" s="55">
        <f>Q72/P72*100</f>
        <v>139.0045919528143</v>
      </c>
      <c r="S72" s="55">
        <f>'насел.'!S72+пільги!S76+субсидії!S72+'держ.бюджет'!S72+'місц.-районн.бюджет'!S72+обласний!S72+інші!S72</f>
        <v>115928.2</v>
      </c>
      <c r="T72" s="55">
        <f>'насел.'!T72+пільги!T76+субсидії!T72+'держ.бюджет'!T72+'місц.-районн.бюджет'!T72+обласний!T72+інші!T72</f>
        <v>540318.8</v>
      </c>
      <c r="U72" s="56">
        <f>T72/S72*100</f>
        <v>466.0805567584074</v>
      </c>
      <c r="V72" s="55">
        <f>'насел.'!V72+пільги!V76+субсидії!V72+'держ.бюджет'!V72+'місц.-районн.бюджет'!V72+обласний!V72+інші!V72</f>
        <v>79320.40000000001</v>
      </c>
      <c r="W72" s="55">
        <f>'насел.'!W72+пільги!W76+субсидії!W72+'держ.бюджет'!W72+'місц.-районн.бюджет'!W72+обласний!W72+інші!W72</f>
        <v>304952.20000000007</v>
      </c>
      <c r="X72" s="56">
        <f>W72/V72*100</f>
        <v>384.45620546542887</v>
      </c>
      <c r="Y72" s="55">
        <f>'насел.'!Y72+пільги!Y76+субсидії!Y72+'держ.бюджет'!Y72+'місц.-районн.бюджет'!Y72+обласний!Y72+інші!Y72</f>
        <v>846191.7</v>
      </c>
      <c r="Z72" s="55">
        <f>'насел.'!Z72+пільги!Z76+субсидії!Z72+'держ.бюджет'!Z72+'місц.-районн.бюджет'!Z72+обласний!Z72+інші!Z72</f>
        <v>1750111.8</v>
      </c>
      <c r="AA72" s="56">
        <f>Z72/Y72*100</f>
        <v>206.82214207489866</v>
      </c>
      <c r="AB72" s="55">
        <f>'насел.'!AB72+пільги!AB76+субсидії!AB72+'держ.бюджет'!AB72+'місц.-районн.бюджет'!AB72+обласний!AB72+інші!AB72</f>
        <v>84388.1</v>
      </c>
      <c r="AC72" s="55">
        <f>'насел.'!AC72+пільги!AC76+субсидії!AC72+'держ.бюджет'!AC72+'місц.-районн.бюджет'!AC72+обласний!AC72+інші!AC72</f>
        <v>279122.7</v>
      </c>
      <c r="AD72" s="56">
        <f>AC72/AB72*100</f>
        <v>330.76073522214625</v>
      </c>
      <c r="AE72" s="55">
        <f>'насел.'!AE72+пільги!AE76+субсидії!AE72+'держ.бюджет'!AE72+'місц.-районн.бюджет'!AE72+обласний!AE72+інші!AE72</f>
        <v>90517.2</v>
      </c>
      <c r="AF72" s="55">
        <f>'насел.'!AF72+пільги!AF76+субсидії!AF72+'держ.бюджет'!AF72+'місц.-районн.бюджет'!AF72+обласний!AF72+інші!AF72</f>
        <v>281381.1</v>
      </c>
      <c r="AG72" s="56">
        <f>AF72/AE72*100</f>
        <v>310.85926210709124</v>
      </c>
      <c r="AH72" s="55">
        <f>'насел.'!AH72+пільги!AH76+субсидії!AH72+'держ.бюджет'!AH72+'місц.-районн.бюджет'!AH72+обласний!AH72+інші!AH72</f>
        <v>0</v>
      </c>
      <c r="AI72" s="55">
        <f>'насел.'!AI72+пільги!AI76+субсидії!AI72+'держ.бюджет'!AI72+'місц.-районн.бюджет'!AI72+обласний!AI72+інші!AI72</f>
        <v>0</v>
      </c>
      <c r="AJ72" s="56" t="e">
        <f>AI72/AH72*100</f>
        <v>#DIV/0!</v>
      </c>
      <c r="AK72" s="55">
        <f>'насел.'!AK72+пільги!AR72+субсидії!AK72+'держ.бюджет'!AK72+'місц.-районн.бюджет'!AK72+обласний!AK72+інші!AK72</f>
        <v>174905.3</v>
      </c>
      <c r="AL72" s="55">
        <f>'насел.'!AL72+пільги!AK76+субсидії!AL72+'держ.бюджет'!AL72+'місц.-районн.бюджет'!AL72+обласний!AL72+інші!AL72</f>
        <v>560503.8</v>
      </c>
      <c r="AM72" s="55">
        <f>AL72/AK72*100</f>
        <v>320.4613010583442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4716655.5</v>
      </c>
      <c r="AU72" s="55">
        <f>'насел.'!AU72+пільги!AU72+субсидії!AU72+'держ.бюджет'!AU72+'місц.-районн.бюджет'!AU72+обласний!AU72+інші!AU72</f>
        <v>4910162.2</v>
      </c>
      <c r="AV72" s="56">
        <f>AU72/AT72*100</f>
        <v>104.10262526063225</v>
      </c>
      <c r="AW72" s="55">
        <f t="shared" si="13"/>
        <v>-193506.7000000002</v>
      </c>
      <c r="AX72" s="55">
        <f>'насел.'!AX72+пільги!AX72+субсидії!AX72+'держ.бюджет'!AX72+'місц.-районн.бюджет'!AX72+обласний!AX72+інші!AX72</f>
        <v>3719108.8</v>
      </c>
      <c r="AY72" s="129"/>
      <c r="AZ72" s="129"/>
      <c r="BA72" s="129"/>
      <c r="BB72" s="129"/>
    </row>
    <row r="73" spans="1:54" s="47" customFormat="1" ht="34.5" customHeight="1">
      <c r="A73" s="46"/>
      <c r="B73" s="102" t="s">
        <v>132</v>
      </c>
      <c r="C73" s="95">
        <f>'насел.'!C73+пільги!C73+субсидії!C73+'держ.бюджет'!C73+'місц.-районн.бюджет'!C73+обласний!C73+інші!C73</f>
        <v>3883543</v>
      </c>
      <c r="D73" s="95">
        <f>'насел.'!D73+пільги!D73+субсидії!D73+'держ.бюджет'!D73+'місц.-районн.бюджет'!D73+обласний!D73+інші!D73</f>
        <v>1303584</v>
      </c>
      <c r="E73" s="95">
        <f>'насел.'!E73+пільги!E73+субсидії!E73+'держ.бюджет'!E73+'місц.-районн.бюджет'!E73+обласний!E73+інші!E73</f>
        <v>642702</v>
      </c>
      <c r="F73" s="93">
        <f>E73/D73*100</f>
        <v>49.30269165623389</v>
      </c>
      <c r="G73" s="95">
        <f>'насел.'!G73+пільги!G73+субсидії!G73+'держ.бюджет'!G73+'місц.-районн.бюджет'!G73+обласний!G73+інші!G73</f>
        <v>1129393</v>
      </c>
      <c r="H73" s="95">
        <f>'насел.'!H73+пільги!H73+субсидії!H73+'держ.бюджет'!H73+'місц.-районн.бюджет'!H73+обласний!H73+інші!H73</f>
        <v>846391</v>
      </c>
      <c r="I73" s="93">
        <f>H73/G73*100</f>
        <v>74.94211492368025</v>
      </c>
      <c r="J73" s="95">
        <f>'насел.'!J73+пільги!J73+субсидії!J73+'держ.бюджет'!J73+'місц.-районн.бюджет'!J73+обласний!J73+інші!J73</f>
        <v>1169395</v>
      </c>
      <c r="K73" s="95">
        <f>'насел.'!K73+пільги!K73+субсидії!K73+'держ.бюджет'!K73+'місц.-районн.бюджет'!K73+обласний!K73+інші!K73</f>
        <v>1031252</v>
      </c>
      <c r="L73" s="93">
        <f>K73/J73*100</f>
        <v>88.18679744654287</v>
      </c>
      <c r="M73" s="95">
        <f>'насел.'!M73+пільги!M73+субсидії!M73+'держ.бюджет'!M73+'місц.-районн.бюджет'!M73+обласний!M73+інші!M73</f>
        <v>3602372</v>
      </c>
      <c r="N73" s="95">
        <f>'насел.'!N73+пільги!N73+субсидії!N73+'держ.бюджет'!N73+'місц.-районн.бюджет'!N73+обласний!N73+інші!N73</f>
        <v>2520345</v>
      </c>
      <c r="O73" s="93">
        <f>N73/M73*100</f>
        <v>69.96348517032666</v>
      </c>
      <c r="P73" s="95">
        <f>'насел.'!P73+пільги!P73+субсидії!P73+'держ.бюджет'!P73+'місц.-районн.бюджет'!P73+обласний!P73+інші!P73</f>
        <v>631576</v>
      </c>
      <c r="Q73" s="95">
        <f>'насел.'!Q73+пільги!Q73+субсидії!Q73+'держ.бюджет'!Q73+'місц.-районн.бюджет'!Q73+обласний!Q73+інші!Q73</f>
        <v>877356</v>
      </c>
      <c r="R73" s="95">
        <f>Q73/P73*100</f>
        <v>138.91534827162525</v>
      </c>
      <c r="S73" s="95">
        <f>'насел.'!S73+пільги!S73+субсидії!S73+'держ.бюджет'!S73+'місц.-районн.бюджет'!S73+обласний!S73+інші!S73</f>
        <v>103096</v>
      </c>
      <c r="T73" s="95">
        <f>'насел.'!T73+пільги!T73+субсидії!T73+'держ.бюджет'!T73+'місц.-районн.бюджет'!T73+обласний!T73+інші!T73</f>
        <v>517836</v>
      </c>
      <c r="U73" s="93">
        <f>T73/S73*100</f>
        <v>502.2852487002406</v>
      </c>
      <c r="V73" s="95">
        <f>'насел.'!V73+пільги!V73+субсидії!V73+'держ.бюджет'!V73+'місц.-районн.бюджет'!V73+обласний!V73+інші!V73</f>
        <v>64920</v>
      </c>
      <c r="W73" s="95">
        <f>'насел.'!W73+пільги!W73+субсидії!W73+'держ.бюджет'!W73+'місц.-районн.бюджет'!W73+обласний!W73+інші!W73</f>
        <v>287918</v>
      </c>
      <c r="X73" s="93">
        <f>W73/V73*100</f>
        <v>443.49661121380166</v>
      </c>
      <c r="Y73" s="95">
        <f>'насел.'!Y73+пільги!Y73+субсидії!Y73+'держ.бюджет'!Y73+'місц.-районн.бюджет'!Y73+обласний!Y73+інші!Y73</f>
        <v>799592</v>
      </c>
      <c r="Z73" s="95">
        <f>'насел.'!Z73+пільги!Z73+субсидії!Z73+'держ.бюджет'!Z73+'місц.-районн.бюджет'!Z73+обласний!Z73+інші!Z73</f>
        <v>1683110</v>
      </c>
      <c r="AA73" s="93">
        <f>Z73/Y73*100</f>
        <v>210.4961030125364</v>
      </c>
      <c r="AB73" s="95">
        <f>'насел.'!AB73+пільги!AB73+субсидії!AB73+'держ.бюджет'!AB73+'місц.-районн.бюджет'!AB73+обласний!AB73+інші!AB73</f>
        <v>70855</v>
      </c>
      <c r="AC73" s="95">
        <f>'насел.'!AC73+пільги!AC73+субсидії!AC73+'держ.бюджет'!AC73+'місц.-районн.бюджет'!AC73+обласний!AC73+інші!AC73</f>
        <v>263884</v>
      </c>
      <c r="AD73" s="93">
        <f>AC73/AB73*100</f>
        <v>372.4281984334204</v>
      </c>
      <c r="AE73" s="95">
        <f>'насел.'!AE73+пільги!AE73+субсидії!AE73+'держ.бюджет'!AE73+'місц.-районн.бюджет'!AE73+обласний!AE73+інші!AE73</f>
        <v>77296</v>
      </c>
      <c r="AF73" s="95">
        <f>'насел.'!AF73+пільги!AF73+субсидії!AF73+'держ.бюджет'!AF73+'місц.-районн.бюджет'!AF73+обласний!AF73+інші!AF73</f>
        <v>267577</v>
      </c>
      <c r="AG73" s="93">
        <f>AF73/AE73*100</f>
        <v>346.17185882839993</v>
      </c>
      <c r="AH73" s="95">
        <f>'насел.'!AH73+пільги!AH73+субсидії!AH73+'держ.бюджет'!AH73+'місц.-районн.бюджет'!AH73+обласний!AH73+інші!AH73</f>
        <v>0</v>
      </c>
      <c r="AI73" s="95">
        <f>'насел.'!AI73+пільги!AI73+субсидії!AI73+'держ.бюджет'!AI73+'місц.-районн.бюджет'!AI73+обласний!AI73+інші!AI73</f>
        <v>0</v>
      </c>
      <c r="AJ73" s="93" t="e">
        <f>AI73/AH73*100</f>
        <v>#DIV/0!</v>
      </c>
      <c r="AK73" s="95">
        <f>'насел.'!AK73+пільги!AK73+субсидії!AK73+'держ.бюджет'!AK73+'місц.-районн.бюджет'!AK73+обласний!AK73+інші!AK73</f>
        <v>148151</v>
      </c>
      <c r="AL73" s="95">
        <f>'насел.'!AL73+пільги!AL73+субсидії!AL73+'держ.бюджет'!AL73+'місц.-районн.бюджет'!AL73+обласний!AL73+інші!AL73</f>
        <v>531461</v>
      </c>
      <c r="AM73" s="95">
        <f>AL73/AK73*100</f>
        <v>358.72926946156286</v>
      </c>
      <c r="AN73" s="95">
        <f>'насел.'!AN73+пільги!AN73+субсидії!AN73+'держ.бюджет'!AN73+'місц.-районн.бюджет'!AN73+обласний!AN73+інші!AN73</f>
        <v>0</v>
      </c>
      <c r="AO73" s="95">
        <f>'насел.'!AO73+пільги!AO73+субсидії!AO73+'держ.бюджет'!AO73+'місц.-районн.бюджет'!AO73+обласний!AO73+інші!AO73</f>
        <v>0</v>
      </c>
      <c r="AP73" s="95">
        <f>'насел.'!AP73+пільги!AP73+субсидії!AP73+'держ.бюджет'!AP73+'місц.-районн.бюджет'!AP73+обласний!AP73+інші!AP73</f>
        <v>0</v>
      </c>
      <c r="AQ73" s="95">
        <f>'насел.'!AQ73+пільги!AQ73+субсидії!AQ73+'держ.бюджет'!AQ73+'місц.-районн.бюджет'!AQ73+обласний!AQ73+інші!AQ73</f>
        <v>0</v>
      </c>
      <c r="AR73" s="95">
        <f>'насел.'!AR73+пільги!AR73+субсидії!AR73+'держ.бюджет'!AR73+'місц.-районн.бюджет'!AR73+обласний!AR73+інші!AR73</f>
        <v>0</v>
      </c>
      <c r="AS73" s="95">
        <f>'насел.'!AS73+пільги!AS73+субсидії!AS73+'держ.бюджет'!AS73+'місц.-районн.бюджет'!AS73+обласний!AS73+інші!AS73</f>
        <v>0</v>
      </c>
      <c r="AT73" s="95">
        <f>'насел.'!AT73+пільги!AT73+субсидії!AT73+'держ.бюджет'!AT73+'місц.-районн.бюджет'!AT73+обласний!AT73+інші!AT73</f>
        <v>4550115</v>
      </c>
      <c r="AU73" s="95">
        <f>'насел.'!AU73+пільги!AU73+субсидії!AU73+'держ.бюджет'!AU73+'місц.-районн.бюджет'!AU73+обласний!AU73+інші!AU73</f>
        <v>4734916</v>
      </c>
      <c r="AV73" s="93">
        <f>AU73/AT73*100</f>
        <v>104.06145778733065</v>
      </c>
      <c r="AW73" s="95">
        <f>AT73-AU73</f>
        <v>-184801</v>
      </c>
      <c r="AX73" s="95">
        <f>'насел.'!AX73+пільги!AX73+субсидії!AX73+'держ.бюджет'!AX73+'місц.-районн.бюджет'!AX73+обласний!AX73+інші!AX73</f>
        <v>3698742</v>
      </c>
      <c r="AY73" s="129"/>
      <c r="AZ73" s="129"/>
      <c r="BA73" s="129"/>
      <c r="BB73" s="129"/>
    </row>
    <row r="74" spans="1:54" s="47" customFormat="1" ht="34.5" customHeight="1">
      <c r="A74" s="46"/>
      <c r="B74" s="102" t="s">
        <v>134</v>
      </c>
      <c r="C74" s="95">
        <f>'насел.'!C74+пільги!C74+субсидії!C74+'держ.бюджет'!C74+'місц.-районн.бюджет'!C74+обласний!C74+інші!C74</f>
        <v>1788.4</v>
      </c>
      <c r="D74" s="95">
        <f>'насел.'!D74+пільги!D74+субсидії!D74+'держ.бюджет'!D74+'місц.-районн.бюджет'!D74+обласний!D74+інші!D74</f>
        <v>6058.200000000001</v>
      </c>
      <c r="E74" s="95">
        <f>'насел.'!E74+пільги!E74+субсидії!E74+'держ.бюджет'!E74+'місц.-районн.бюджет'!E74+обласний!E74+інші!E74</f>
        <v>1615.8000000000002</v>
      </c>
      <c r="F74" s="93">
        <f>E74/D74*100</f>
        <v>26.671288501535113</v>
      </c>
      <c r="G74" s="95">
        <f>'насел.'!G74+пільги!G74+субсидії!G74+'держ.бюджет'!G74+'місц.-районн.бюджет'!G74+обласний!G74+інші!G74</f>
        <v>7227.799999999999</v>
      </c>
      <c r="H74" s="95">
        <f>'насел.'!H74+пільги!H74+субсидії!H74+'держ.бюджет'!H74+'місц.-районн.бюджет'!H74+обласний!H74+інші!H74</f>
        <v>6895.1</v>
      </c>
      <c r="I74" s="93">
        <f>H74/G74*100</f>
        <v>95.39693959434408</v>
      </c>
      <c r="J74" s="95">
        <f>'насел.'!J74+пільги!J74+субсидії!J74+'держ.бюджет'!J74+'місц.-районн.бюджет'!J74+обласний!J74+інші!J74</f>
        <v>5762.599999999999</v>
      </c>
      <c r="K74" s="95">
        <f>'насел.'!K74+пільги!K74+субсидії!K74+'держ.бюджет'!K74+'місц.-районн.бюджет'!K74+обласний!K74+інші!K74</f>
        <v>5566.4</v>
      </c>
      <c r="L74" s="93">
        <f>K74/J74*100</f>
        <v>96.59528684968592</v>
      </c>
      <c r="M74" s="95">
        <f>'насел.'!M74+пільги!M74+субсидії!M74+'держ.бюджет'!M74+'місц.-районн.бюджет'!M74+обласний!M74+інші!M74</f>
        <v>19048.6</v>
      </c>
      <c r="N74" s="95">
        <f>'насел.'!N74+пільги!N74+субсидії!N74+'держ.бюджет'!N74+'місц.-районн.бюджет'!N74+обласний!N74+інші!N74</f>
        <v>14077.3</v>
      </c>
      <c r="O74" s="93">
        <f>N74/M74*100</f>
        <v>73.90201904601913</v>
      </c>
      <c r="P74" s="95">
        <f>'насел.'!P74+пільги!P74+субсидії!P74+'держ.бюджет'!P74+'місц.-районн.бюджет'!P74+обласний!P74+інші!P74</f>
        <v>3888.1000000000004</v>
      </c>
      <c r="Q74" s="95">
        <f>'насел.'!Q74+пільги!Q74+субсидії!Q74+'держ.бюджет'!Q74+'місц.-районн.бюджет'!Q74+обласний!Q74+інші!Q74</f>
        <v>5088.6</v>
      </c>
      <c r="R74" s="95">
        <f>Q74/P74*100</f>
        <v>130.87626347058975</v>
      </c>
      <c r="S74" s="95">
        <f>'насел.'!S74+пільги!S74+субсидії!S74+'держ.бюджет'!S74+'місц.-районн.бюджет'!S74+обласний!S74+інші!S74</f>
        <v>713.8</v>
      </c>
      <c r="T74" s="95">
        <f>'насел.'!T74+пільги!T74+субсидії!T74+'держ.бюджет'!T74+'місц.-районн.бюджет'!T74+обласний!T74+інші!T74</f>
        <v>3504.4</v>
      </c>
      <c r="U74" s="93">
        <f>T74/S74*100</f>
        <v>490.9498458952088</v>
      </c>
      <c r="V74" s="95">
        <f>'насел.'!V74+пільги!V74+субсидії!V74+'держ.бюджет'!V74+'місц.-районн.бюджет'!V74+обласний!V74+інші!V74</f>
        <v>537.6999999999999</v>
      </c>
      <c r="W74" s="95">
        <f>'насел.'!W74+пільги!W74+субсидії!W74+'держ.бюджет'!W74+'місц.-районн.бюджет'!W74+обласний!W74+інші!W74</f>
        <v>752.8</v>
      </c>
      <c r="X74" s="93">
        <f>W74/V74*100</f>
        <v>140.00371954621536</v>
      </c>
      <c r="Y74" s="95">
        <f>'насел.'!Y74+пільги!Y74+субсидії!Y74+'держ.бюджет'!Y74+'місц.-районн.бюджет'!Y74+обласний!Y74+інші!Y74</f>
        <v>5139.599999999999</v>
      </c>
      <c r="Z74" s="95">
        <f>'насел.'!Z74+пільги!Z74+субсидії!Z74+'держ.бюджет'!Z74+'місц.-районн.бюджет'!Z74+обласний!Z74+інші!Z74</f>
        <v>9345.8</v>
      </c>
      <c r="AA74" s="93">
        <f>Z74/Y74*100</f>
        <v>181.83905362285003</v>
      </c>
      <c r="AB74" s="95">
        <f>'насел.'!AB74+пільги!AB74+субсидії!AB74+'держ.бюджет'!AB74+'місц.-районн.бюджет'!AB74+обласний!AB74+інші!AB74</f>
        <v>511.1</v>
      </c>
      <c r="AC74" s="95">
        <f>'насел.'!AC74+пільги!AC74+субсидії!AC74+'держ.бюджет'!AC74+'місц.-районн.бюджет'!AC74+обласний!AC74+інші!AC74</f>
        <v>501.4</v>
      </c>
      <c r="AD74" s="93">
        <f>AC74/AB74*100</f>
        <v>98.1021326550577</v>
      </c>
      <c r="AE74" s="95">
        <f>'насел.'!AE74+пільги!AE74+субсидії!AE74+'держ.бюджет'!AE74+'місц.-районн.бюджет'!AE74+обласний!AE74+інші!AE74</f>
        <v>462.8</v>
      </c>
      <c r="AF74" s="95">
        <f>'насел.'!AF74+пільги!AF74+субсидії!AF74+'держ.бюджет'!AF74+'місц.-районн.бюджет'!AF74+обласний!AF74+інші!AF74</f>
        <v>991.0999999999999</v>
      </c>
      <c r="AG74" s="93">
        <f>AF74/AE74*100</f>
        <v>214.15298184961102</v>
      </c>
      <c r="AH74" s="95">
        <f>'насел.'!AH74+пільги!AH74+субсидії!AH74+'держ.бюджет'!AH74+'місц.-районн.бюджет'!AH74+обласний!AH74+інші!AH74</f>
        <v>0</v>
      </c>
      <c r="AI74" s="95">
        <f>'насел.'!AI74+пільги!AI74+субсидії!AI74+'держ.бюджет'!AI74+'місц.-районн.бюджет'!AI74+обласний!AI74+інші!AI74</f>
        <v>0</v>
      </c>
      <c r="AJ74" s="93" t="e">
        <f>AI74/AH74*100</f>
        <v>#DIV/0!</v>
      </c>
      <c r="AK74" s="95">
        <f>'насел.'!AK74+пільги!AK74+субсидії!AK74+'держ.бюджет'!AK74+'місц.-районн.бюджет'!AK74+обласний!AK74+інші!AK74</f>
        <v>973.8999999999999</v>
      </c>
      <c r="AL74" s="95">
        <f>'насел.'!AL74+пільги!AL74+субсидії!AL74+'держ.бюджет'!AL74+'місц.-районн.бюджет'!AL74+обласний!AL74+інші!AL74</f>
        <v>1492.5</v>
      </c>
      <c r="AM74" s="95">
        <f>AL74/AK74*100</f>
        <v>153.24982031009347</v>
      </c>
      <c r="AN74" s="95">
        <f>'насел.'!AN74+пільги!AN74+субсидії!AN74+'держ.бюджет'!AN74+'місц.-районн.бюджет'!AN74+обласний!AN74+інші!AN74</f>
        <v>0</v>
      </c>
      <c r="AO74" s="95">
        <f>'насел.'!AO74+пільги!AO74+субсидії!AO74+'держ.бюджет'!AO74+'місц.-районн.бюджет'!AO74+обласний!AO74+інші!AO74</f>
        <v>0</v>
      </c>
      <c r="AP74" s="95">
        <f>'насел.'!AP74+пільги!AP74+субсидії!AP74+'держ.бюджет'!AP74+'місц.-районн.бюджет'!AP74+обласний!AP74+інші!AP74</f>
        <v>0</v>
      </c>
      <c r="AQ74" s="95">
        <f>'насел.'!AQ74+пільги!AQ74+субсидії!AQ74+'держ.бюджет'!AQ74+'місц.-районн.бюджет'!AQ74+обласний!AQ74+інші!AQ74</f>
        <v>0</v>
      </c>
      <c r="AR74" s="95">
        <f>'насел.'!AR74+пільги!AR74+субсидії!AR74+'держ.бюджет'!AR74+'місц.-районн.бюджет'!AR74+обласний!AR74+інші!AR74</f>
        <v>0</v>
      </c>
      <c r="AS74" s="95">
        <f>'насел.'!AS74+пільги!AS74+субсидії!AS74+'держ.бюджет'!AS74+'місц.-районн.бюджет'!AS74+обласний!AS74+інші!AS74</f>
        <v>0</v>
      </c>
      <c r="AT74" s="95">
        <f>'насел.'!AT74+пільги!AT74+субсидії!AT74+'держ.бюджет'!AT74+'місц.-районн.бюджет'!AT74+обласний!AT74+інші!AT74</f>
        <v>25162.100000000002</v>
      </c>
      <c r="AU74" s="95">
        <f>'насел.'!AU74+пільги!AU74+субсидії!AU74+'держ.бюджет'!AU74+'місц.-районн.бюджет'!AU74+обласний!AU74+інші!AU74</f>
        <v>24915.600000000002</v>
      </c>
      <c r="AV74" s="93">
        <f>AU74/AT74*100</f>
        <v>99.02035203738957</v>
      </c>
      <c r="AW74" s="95">
        <f>AT74-AU74</f>
        <v>246.5</v>
      </c>
      <c r="AX74" s="95">
        <f>'насел.'!AX74+пільги!AX74+субсидії!AX74+'держ.бюджет'!AX74+'місц.-районн.бюджет'!AX74+обласний!AX74+інші!AX74</f>
        <v>2034.9000000000015</v>
      </c>
      <c r="AY74" s="129"/>
      <c r="AZ74" s="129"/>
      <c r="BA74" s="129"/>
      <c r="BB74" s="129"/>
    </row>
    <row r="75" spans="1:54" s="47" customFormat="1" ht="34.5" customHeight="1">
      <c r="A75" s="46"/>
      <c r="B75" s="102" t="s">
        <v>133</v>
      </c>
      <c r="C75" s="95">
        <f>'насел.'!C75+пільги!C75+субсидії!C75+'держ.бюджет'!C75+'місц.-районн.бюджет'!C75+обласний!C75+інші!C75</f>
        <v>27284.1</v>
      </c>
      <c r="D75" s="95">
        <f>'насел.'!D75+пільги!D75+субсидії!D75+'держ.бюджет'!D75+'місц.-районн.бюджет'!D75+обласний!D75+інші!D75</f>
        <v>24901.1</v>
      </c>
      <c r="E75" s="95">
        <f>'насел.'!E75+пільги!E75+субсидії!E75+'держ.бюджет'!E75+'місц.-районн.бюджет'!E75+обласний!E75+інші!E75</f>
        <v>20037.7</v>
      </c>
      <c r="F75" s="93">
        <f>E75/D75*100</f>
        <v>80.46913590162684</v>
      </c>
      <c r="G75" s="95">
        <f>'насел.'!G75+пільги!G75+субсидії!G75+'держ.бюджет'!G75+'місц.-районн.бюджет'!G75+обласний!G75+інші!G75</f>
        <v>25371.5</v>
      </c>
      <c r="H75" s="95">
        <f>'насел.'!H75+пільги!H75+субсидії!H75+'держ.бюджет'!H75+'місц.-районн.бюджет'!H75+обласний!H75+інші!H75</f>
        <v>21082.7</v>
      </c>
      <c r="I75" s="93">
        <f>H75/G75*100</f>
        <v>83.09599353605424</v>
      </c>
      <c r="J75" s="95">
        <f>'насел.'!J75+пільги!J75+субсидії!J75+'держ.бюджет'!J75+'місц.-районн.бюджет'!J75+обласний!J75+інші!J75</f>
        <v>23865.5</v>
      </c>
      <c r="K75" s="95">
        <f>'насел.'!K75+пільги!K75+субсидії!K75+'держ.бюджет'!K75+'місц.-районн.бюджет'!K75+обласний!K75+інші!K75</f>
        <v>24005.9</v>
      </c>
      <c r="L75" s="93">
        <f>K75/J75*100</f>
        <v>100.5882969139553</v>
      </c>
      <c r="M75" s="95">
        <f>'насел.'!M75+пільги!M75+субсидії!M75+'держ.бюджет'!M75+'місц.-районн.бюджет'!M75+обласний!M75+інші!M75</f>
        <v>74138.1</v>
      </c>
      <c r="N75" s="95">
        <f>'насел.'!N75+пільги!N75+субсидії!N75+'держ.бюджет'!N75+'місц.-районн.бюджет'!N75+обласний!N75+інші!N75</f>
        <v>65126.299999999996</v>
      </c>
      <c r="O75" s="93">
        <f>N75/M75*100</f>
        <v>87.84457654026741</v>
      </c>
      <c r="P75" s="95">
        <f>'насел.'!P75+пільги!P75+субсидії!P75+'держ.бюджет'!P75+'місц.-районн.бюджет'!P75+обласний!P75+інші!P75</f>
        <v>15478.8</v>
      </c>
      <c r="Q75" s="95">
        <f>'насел.'!Q75+пільги!Q75+субсидії!Q75+'держ.бюджет'!Q75+'місц.-районн.бюджет'!Q75+обласний!Q75+інші!Q75</f>
        <v>22394.199999999997</v>
      </c>
      <c r="R75" s="95">
        <f>Q75/P75*100</f>
        <v>144.676589916531</v>
      </c>
      <c r="S75" s="95">
        <f>'насел.'!S75+пільги!S75+субсидії!S75+'держ.бюджет'!S75+'місц.-районн.бюджет'!S75+обласний!S75+інші!S75</f>
        <v>12118.400000000001</v>
      </c>
      <c r="T75" s="95">
        <f>'насел.'!T75+пільги!T75+субсидії!T75+'держ.бюджет'!T75+'місц.-районн.бюджет'!T75+обласний!T75+інші!T75</f>
        <v>18978.4</v>
      </c>
      <c r="U75" s="93">
        <f>T75/S75*100</f>
        <v>156.60813308687617</v>
      </c>
      <c r="V75" s="95">
        <f>'насел.'!V75+пільги!V75+субсидії!V75+'держ.бюджет'!V75+'місц.-районн.бюджет'!V75+обласний!V75+інші!V75</f>
        <v>13862.7</v>
      </c>
      <c r="W75" s="95">
        <f>'насел.'!W75+пільги!W75+субсидії!W75+'держ.бюджет'!W75+'місц.-районн.бюджет'!W75+обласний!W75+інші!W75</f>
        <v>16281.4</v>
      </c>
      <c r="X75" s="93">
        <f>W75/V75*100</f>
        <v>117.44753907968865</v>
      </c>
      <c r="Y75" s="95">
        <f>'насел.'!Y75+пільги!Y75+субсидії!Y75+'держ.бюджет'!Y75+'місц.-районн.бюджет'!Y75+обласний!Y75+інші!Y75</f>
        <v>41459.90000000001</v>
      </c>
      <c r="Z75" s="95">
        <f>'насел.'!Z75+пільги!Z75+субсидії!Z75+'держ.бюджет'!Z75+'місц.-районн.бюджет'!Z75+обласний!Z75+інші!Z75</f>
        <v>57654</v>
      </c>
      <c r="AA75" s="93">
        <f>Z75/Y75*100</f>
        <v>139.0596697049438</v>
      </c>
      <c r="AB75" s="95">
        <f>'насел.'!AB75+пільги!AB75+субсидії!AB75+'держ.бюджет'!AB75+'місц.-районн.бюджет'!AB75+обласний!AB75+інші!AB75</f>
        <v>13022</v>
      </c>
      <c r="AC75" s="95">
        <f>'насел.'!AC75+пільги!AC75+субсидії!AC75+'держ.бюджет'!AC75+'місц.-районн.бюджет'!AC75+обласний!AC75+інші!AC75</f>
        <v>14737.3</v>
      </c>
      <c r="AD75" s="93">
        <f>AC75/AB75*100</f>
        <v>113.17232375979111</v>
      </c>
      <c r="AE75" s="95">
        <f>'насел.'!AE75+пільги!AE75+субсидії!AE75+'держ.бюджет'!AE75+'місц.-районн.бюджет'!AE75+обласний!AE75+інші!AE75</f>
        <v>12758.4</v>
      </c>
      <c r="AF75" s="95">
        <f>'насел.'!AF75+пільги!AF75+субсидії!AF75+'держ.бюджет'!AF75+'місц.-районн.бюджет'!AF75+обласний!AF75+інші!AF75</f>
        <v>12813</v>
      </c>
      <c r="AG75" s="93">
        <f>AF75/AE75*100</f>
        <v>100.42795334838223</v>
      </c>
      <c r="AH75" s="95">
        <f>'насел.'!AH75+пільги!AH75+субсидії!AH75+'держ.бюджет'!AH75+'місц.-районн.бюджет'!AH75+обласний!AH75+інші!AH75</f>
        <v>0</v>
      </c>
      <c r="AI75" s="95">
        <f>'насел.'!AI75+пільги!AI75+субсидії!AI75+'держ.бюджет'!AI75+'місц.-районн.бюджет'!AI75+обласний!AI75+інші!AI75</f>
        <v>0</v>
      </c>
      <c r="AJ75" s="93" t="e">
        <f>AI75/AH75*100</f>
        <v>#DIV/0!</v>
      </c>
      <c r="AK75" s="95">
        <f>'насел.'!AK75+пільги!AK75+субсидії!AK75+'держ.бюджет'!AK75+'місц.-районн.бюджет'!AK75+обласний!AK75+інші!AK75</f>
        <v>25780.399999999998</v>
      </c>
      <c r="AL75" s="95">
        <f>'насел.'!AL75+пільги!AL75+субсидії!AL75+'держ.бюджет'!AL75+'місц.-районн.бюджет'!AL75+обласний!AL75+інші!AL75</f>
        <v>27550.3</v>
      </c>
      <c r="AM75" s="95">
        <f>AL75/AK75*100</f>
        <v>106.86529301329692</v>
      </c>
      <c r="AN75" s="95">
        <f>'насел.'!AN75+пільги!AN75+субсидії!AN75+'держ.бюджет'!AN75+'місц.-районн.бюджет'!AN75+обласний!AN75+інші!AN75</f>
        <v>0</v>
      </c>
      <c r="AO75" s="95">
        <f>'насел.'!AO75+пільги!AO75+субсидії!AO75+'держ.бюджет'!AO75+'місц.-районн.бюджет'!AO75+обласний!AO75+інші!AO75</f>
        <v>0</v>
      </c>
      <c r="AP75" s="95">
        <f>'насел.'!AP75+пільги!AP75+субсидії!AP75+'держ.бюджет'!AP75+'місц.-районн.бюджет'!AP75+обласний!AP75+інші!AP75</f>
        <v>0</v>
      </c>
      <c r="AQ75" s="95">
        <f>'насел.'!AQ75+пільги!AQ75+субсидії!AQ75+'держ.бюджет'!AQ75+'місц.-районн.бюджет'!AQ75+обласний!AQ75+інші!AQ75</f>
        <v>0</v>
      </c>
      <c r="AR75" s="95">
        <f>'насел.'!AR75+пільги!AR75+субсидії!AR75+'держ.бюджет'!AR75+'місц.-районн.бюджет'!AR75+обласний!AR75+інші!AR75</f>
        <v>0</v>
      </c>
      <c r="AS75" s="95">
        <f>'насел.'!AS75+пільги!AS75+субсидії!AS75+'держ.бюджет'!AS75+'місц.-районн.бюджет'!AS75+обласний!AS75+інші!AS75</f>
        <v>0</v>
      </c>
      <c r="AT75" s="95">
        <f>'насел.'!AT75+пільги!AT75+субсидії!AT75+'держ.бюджет'!AT75+'місц.-районн.бюджет'!AT75+обласний!AT75+інші!AT75</f>
        <v>141378.40000000002</v>
      </c>
      <c r="AU75" s="95">
        <f>'насел.'!AU75+пільги!AU75+субсидії!AU75+'держ.бюджет'!AU75+'місц.-районн.бюджет'!AU75+обласний!AU75+інші!AU75</f>
        <v>150330.59999999998</v>
      </c>
      <c r="AV75" s="93">
        <f>AU75/AT75*100</f>
        <v>106.33208467488666</v>
      </c>
      <c r="AW75" s="95">
        <f>AT75-AU75</f>
        <v>-8952.199999999953</v>
      </c>
      <c r="AX75" s="95">
        <f>'насел.'!AX75+пільги!AX75+субсидії!AX75+'держ.бюджет'!AX75+'місц.-районн.бюджет'!AX75+обласний!AX75+інші!AX75</f>
        <v>18331.900000000023</v>
      </c>
      <c r="AY75" s="129"/>
      <c r="AZ75" s="129"/>
      <c r="BA75" s="129"/>
      <c r="BB75" s="129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4385599.4</v>
      </c>
      <c r="D76" s="55">
        <f>'насел.'!D76+пільги!D76+субсидії!D76+'держ.бюджет'!D76+'місц.-районн.бюджет'!D76+обласний!D76+інші!D76</f>
        <v>1585122.5999999999</v>
      </c>
      <c r="E76" s="55">
        <f>'насел.'!E76+пільги!E76+субсидії!E76+'держ.бюджет'!E76+'місц.-районн.бюджет'!E76+обласний!E76+інші!E76</f>
        <v>793627.2000000001</v>
      </c>
      <c r="F76" s="56">
        <f>E76/D76*100</f>
        <v>50.067244010021696</v>
      </c>
      <c r="G76" s="55">
        <f>'насел.'!G76+пільги!G76+субсидії!G76+'держ.бюджет'!G76+'місц.-районн.бюджет'!G76+обласний!G76+інші!G76</f>
        <v>1416161.8</v>
      </c>
      <c r="H76" s="55">
        <f>'насел.'!H76+пільги!H76+субсидії!H76+'держ.бюджет'!H76+'місц.-районн.бюджет'!H76+обласний!H76+інші!H76</f>
        <v>1064810</v>
      </c>
      <c r="I76" s="56">
        <f>H76/G76*100</f>
        <v>75.18985471857805</v>
      </c>
      <c r="J76" s="55">
        <f>'насел.'!J76+пільги!J76+субсидії!J76+'держ.бюджет'!J76+'місц.-районн.бюджет'!J76+обласний!J76+інші!J76</f>
        <v>1415338.1999999997</v>
      </c>
      <c r="K76" s="55">
        <f>'насел.'!K76+пільги!K76+субсидії!K76+'держ.бюджет'!K76+'місц.-районн.бюджет'!K76+обласний!K76+інші!K76</f>
        <v>1275076.9000000004</v>
      </c>
      <c r="L76" s="56">
        <f>K76/J76*100</f>
        <v>90.08990925278499</v>
      </c>
      <c r="M76" s="55">
        <f>'насел.'!M76+пільги!M76+субсидії!M76+'держ.бюджет'!M76+'місц.-районн.бюджет'!M76+обласний!M76+інші!M76</f>
        <v>4416622.6</v>
      </c>
      <c r="N76" s="55">
        <f>'насел.'!N76+пільги!N76+субсидії!N76+'держ.бюджет'!N76+'місц.-районн.бюджет'!N76+обласний!N76+інші!N76</f>
        <v>3133514.1</v>
      </c>
      <c r="O76" s="56">
        <f>N76/M76*100</f>
        <v>70.94819693219884</v>
      </c>
      <c r="P76" s="55">
        <f>'насел.'!P76+пільги!P76+субсидії!P76+'держ.бюджет'!P76+'місц.-районн.бюджет'!P76+обласний!P76+інші!P76</f>
        <v>703189</v>
      </c>
      <c r="Q76" s="55">
        <f>'насел.'!Q76+пільги!Q76+субсидії!Q76+'держ.бюджет'!Q76+'місц.-районн.бюджет'!Q76+обласний!Q76+інші!Q76</f>
        <v>1075477.4000000001</v>
      </c>
      <c r="R76" s="55">
        <f>Q76/P76*100</f>
        <v>152.94286457837086</v>
      </c>
      <c r="S76" s="55">
        <f>'насел.'!S76+пільги!S76+субсидії!S76+'держ.бюджет'!S76+'місц.-районн.бюджет'!S76+обласний!S76+інші!S76</f>
        <v>119831.9</v>
      </c>
      <c r="T76" s="55">
        <f>'насел.'!T76+пільги!T76+субсидії!T76+'держ.бюджет'!T76+'місц.-районн.бюджет'!T76+обласний!T76+інші!T76</f>
        <v>607039.7999999999</v>
      </c>
      <c r="U76" s="56">
        <f>T76/S76*100</f>
        <v>506.5761287269917</v>
      </c>
      <c r="V76" s="55">
        <f>'насел.'!V76+пільги!V76+субсидії!V76+'держ.бюджет'!V76+'місц.-районн.бюджет'!V76+обласний!V76+інші!V76</f>
        <v>83127.19999999998</v>
      </c>
      <c r="W76" s="55">
        <f>'насел.'!W76+пільги!W76+субсидії!W76+'держ.бюджет'!W76+'місц.-районн.бюджет'!W76+обласний!W76+інші!W76</f>
        <v>336471.5</v>
      </c>
      <c r="X76" s="56">
        <f>W76/V76*100</f>
        <v>404.7670317296866</v>
      </c>
      <c r="Y76" s="55">
        <f>'насел.'!Y76+пільги!Y76+субсидії!Y76+'держ.бюджет'!Y76+'місц.-районн.бюджет'!Y76+обласний!Y76+інші!Y76</f>
        <v>906148.1</v>
      </c>
      <c r="Z76" s="55">
        <f>'насел.'!Z76+пільги!Z76+субсидії!Z76+'держ.бюджет'!Z76+'місц.-районн.бюджет'!Z76+обласний!Z76+інші!Z76</f>
        <v>2018988.7000000002</v>
      </c>
      <c r="AA76" s="56">
        <f>Z76/Y76*100</f>
        <v>222.81001306519323</v>
      </c>
      <c r="AB76" s="55">
        <f>'насел.'!AB76+пільги!AB76+субсидії!AB76+'держ.бюджет'!AB76+'місц.-районн.бюджет'!AB76+обласний!AB76+інші!AB76</f>
        <v>88237.90000000001</v>
      </c>
      <c r="AC76" s="55">
        <f>'насел.'!AC76+пільги!AC76+субсидії!AC76+'держ.бюджет'!AC76+'місц.-районн.бюджет'!AC76+обласний!AC76+інші!AC76</f>
        <v>304351.49999999994</v>
      </c>
      <c r="AD76" s="56">
        <f>AC76/AB76*100</f>
        <v>344.9215133179732</v>
      </c>
      <c r="AE76" s="55">
        <f>'насел.'!AE76+пільги!AE76+субсидії!AE76+'держ.бюджет'!AE76+'місц.-районн.бюджет'!AE76+обласний!AE76+інші!AE76</f>
        <v>94415.59999999999</v>
      </c>
      <c r="AF76" s="55">
        <f>'насел.'!AF76+пільги!AF76+субсидії!AF76+'держ.бюджет'!AF76+'місц.-районн.бюджет'!AF76+обласний!AF76+інші!AF76</f>
        <v>304743.6</v>
      </c>
      <c r="AG76" s="56">
        <f>AF76/AE76*100</f>
        <v>322.7682713449896</v>
      </c>
      <c r="AH76" s="55">
        <f>'насел.'!AH76+пільги!AH76+субсидії!AH76+'держ.бюджет'!AH76+'місц.-районн.бюджет'!AH76+обласний!AH76+інші!AH76</f>
        <v>0</v>
      </c>
      <c r="AI76" s="55">
        <f>'насел.'!AI76+пільги!AI76+субсидії!AI76+'держ.бюджет'!AI76+'місц.-районн.бюджет'!AI76+обласний!AI76+інші!AI76</f>
        <v>0</v>
      </c>
      <c r="AJ76" s="56" t="e">
        <f>AI76/AH76*100</f>
        <v>#DIV/0!</v>
      </c>
      <c r="AK76" s="55">
        <f>'насел.'!AK76+пільги!AK76+субсидії!AK76+'держ.бюджет'!AK76+'місц.-районн.бюджет'!AK76+обласний!AK76+інші!AK76</f>
        <v>182653.5</v>
      </c>
      <c r="AL76" s="55">
        <f>'насел.'!AL76+пільги!AL76+субсидії!AL76+'держ.бюджет'!AL76+'місц.-районн.бюджет'!AL76+обласний!AL76+інші!AL76</f>
        <v>609095.1000000001</v>
      </c>
      <c r="AM76" s="55">
        <f>AL76/AK76*100</f>
        <v>333.47025926138843</v>
      </c>
      <c r="AN76" s="55">
        <f>'насел.'!AN76+пільги!AN76+субсидії!AN76+'держ.бюджет'!AN76+'місц.-районн.бюджет'!AN76+обласний!AN76+інші!AN76</f>
        <v>0</v>
      </c>
      <c r="AO76" s="55">
        <f>'насел.'!AO76+пільги!AO76+субсидії!AO76+'держ.бюджет'!AO76+'місц.-районн.бюджет'!AO76+обласний!AO76+інші!AO76</f>
        <v>0</v>
      </c>
      <c r="AP76" s="55">
        <f>'насел.'!AP76+пільги!AP76+субсидії!AP76+'держ.бюджет'!AP76+'місц.-районн.бюджет'!AP76+обласний!AP76+інші!AP76</f>
        <v>0</v>
      </c>
      <c r="AQ76" s="55">
        <f>'насел.'!AQ76+пільги!AQ76+субсидії!AQ76+'держ.бюджет'!AQ76+'місц.-районн.бюджет'!AQ76+обласний!AQ76+інші!AQ76</f>
        <v>0</v>
      </c>
      <c r="AR76" s="55">
        <f>'насел.'!AR76+пільги!AR76+субсидії!AR76+'держ.бюджет'!AR76+'місц.-районн.бюджет'!AR76+обласний!AR76+інші!AR76</f>
        <v>0</v>
      </c>
      <c r="AS76" s="55">
        <f>'насел.'!AS76+пільги!AS76+субсидії!AS76+'держ.бюджет'!AS76+'місц.-районн.бюджет'!AS76+обласний!AS76+інші!AS76</f>
        <v>0</v>
      </c>
      <c r="AT76" s="55">
        <f>'насел.'!AT76+пільги!AT76+субсидії!AT76+'держ.бюджет'!AT76+'місц.-районн.бюджет'!AT76+обласний!AT76+інші!AT76</f>
        <v>5505424.2</v>
      </c>
      <c r="AU76" s="55">
        <f>'насел.'!AU76+пільги!AU76+субсидії!AU76+'держ.бюджет'!AU76+'місц.-районн.бюджет'!AU76+обласний!AU76+інші!AU76</f>
        <v>5761597.9</v>
      </c>
      <c r="AV76" s="56">
        <f>AU76/AT76*100</f>
        <v>104.65311465009364</v>
      </c>
      <c r="AW76" s="55">
        <f>AT76-AU76</f>
        <v>-256173.7000000002</v>
      </c>
      <c r="AX76" s="55">
        <f>'насел.'!AX76+пільги!AX76+субсидії!AX76+'держ.бюджет'!AX76+'місц.-районн.бюджет'!AX76+обласний!AX76+інші!AX76</f>
        <v>4129425.7</v>
      </c>
      <c r="AY76" s="96"/>
      <c r="AZ76" s="129"/>
      <c r="BA76" s="129"/>
      <c r="BB76" s="129"/>
    </row>
  </sheetData>
  <sheetProtection/>
  <mergeCells count="21">
    <mergeCell ref="G5:I5"/>
    <mergeCell ref="AX5:AX6"/>
    <mergeCell ref="B4:C4"/>
    <mergeCell ref="J5:L5"/>
    <mergeCell ref="AK5:AM5"/>
    <mergeCell ref="P5:R5"/>
    <mergeCell ref="AT5:AV5"/>
    <mergeCell ref="Y5:AA5"/>
    <mergeCell ref="D5:F5"/>
    <mergeCell ref="M5:O5"/>
    <mergeCell ref="AN5:AO5"/>
    <mergeCell ref="AB5:AD5"/>
    <mergeCell ref="S5:U5"/>
    <mergeCell ref="AW5:AW6"/>
    <mergeCell ref="AH5:AJ5"/>
    <mergeCell ref="D1:AX1"/>
    <mergeCell ref="AP5:AQ5"/>
    <mergeCell ref="B2:AX3"/>
    <mergeCell ref="AR5:AS5"/>
    <mergeCell ref="AE5:AG5"/>
    <mergeCell ref="V5:X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3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C1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B4" sqref="AB1:AC16384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hidden="1" customWidth="1"/>
    <col min="6" max="6" width="11.625" style="36" hidden="1" customWidth="1"/>
    <col min="7" max="8" width="21.00390625" style="2" hidden="1" customWidth="1"/>
    <col min="9" max="9" width="12.00390625" style="36" hidden="1" customWidth="1"/>
    <col min="10" max="10" width="18.00390625" style="2" hidden="1" customWidth="1"/>
    <col min="11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180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7" t="s">
        <v>135</v>
      </c>
      <c r="C7" s="58">
        <f>SUM(C8:C71)-C8-C14-C23-C30-C39-C45-C61</f>
        <v>464305.5999999998</v>
      </c>
      <c r="D7" s="58">
        <f aca="true" t="shared" si="0" ref="D7:AX7">SUM(D8:D71)-D8-D14-D23-D30-D39-D45-D61</f>
        <v>157897</v>
      </c>
      <c r="E7" s="58">
        <f t="shared" si="0"/>
        <v>116201.80000000002</v>
      </c>
      <c r="F7" s="56">
        <f>E7/D7*100</f>
        <v>73.59341849433493</v>
      </c>
      <c r="G7" s="58">
        <f t="shared" si="0"/>
        <v>158663.49999999988</v>
      </c>
      <c r="H7" s="58">
        <f t="shared" si="0"/>
        <v>118749.90000000001</v>
      </c>
      <c r="I7" s="56">
        <f>H7/G7*100</f>
        <v>74.84386768223321</v>
      </c>
      <c r="J7" s="58">
        <f t="shared" si="0"/>
        <v>133115.99999999997</v>
      </c>
      <c r="K7" s="58">
        <f t="shared" si="0"/>
        <v>126607.99999999997</v>
      </c>
      <c r="L7" s="56">
        <f>K7/J7*100</f>
        <v>95.11103098049821</v>
      </c>
      <c r="M7" s="58">
        <f t="shared" si="0"/>
        <v>449676.49999999977</v>
      </c>
      <c r="N7" s="58">
        <f t="shared" si="0"/>
        <v>361559.69999999995</v>
      </c>
      <c r="O7" s="56">
        <f>N7/M7*100</f>
        <v>80.40440183109416</v>
      </c>
      <c r="P7" s="58">
        <f t="shared" si="0"/>
        <v>35255.70000000001</v>
      </c>
      <c r="Q7" s="58">
        <f t="shared" si="0"/>
        <v>104089.70000000004</v>
      </c>
      <c r="R7" s="56">
        <f>Q7/P7*100</f>
        <v>295.242187788074</v>
      </c>
      <c r="S7" s="58">
        <f t="shared" si="0"/>
        <v>2119.2</v>
      </c>
      <c r="T7" s="58">
        <f t="shared" si="0"/>
        <v>44407.79999999999</v>
      </c>
      <c r="U7" s="56">
        <f>T7/S7*100</f>
        <v>2095.498301245753</v>
      </c>
      <c r="V7" s="58">
        <f t="shared" si="0"/>
        <v>2204.7</v>
      </c>
      <c r="W7" s="58">
        <f t="shared" si="0"/>
        <v>21903.5</v>
      </c>
      <c r="X7" s="56">
        <f>W7/V7*100</f>
        <v>993.4911779380416</v>
      </c>
      <c r="Y7" s="58">
        <f t="shared" si="0"/>
        <v>39579.60000000001</v>
      </c>
      <c r="Z7" s="58">
        <f t="shared" si="0"/>
        <v>170401.00000000006</v>
      </c>
      <c r="AA7" s="56">
        <f>Z7/Y7*100</f>
        <v>430.5273423682907</v>
      </c>
      <c r="AB7" s="58">
        <f t="shared" si="0"/>
        <v>2227.6000000000013</v>
      </c>
      <c r="AC7" s="58">
        <f t="shared" si="0"/>
        <v>20171.9</v>
      </c>
      <c r="AD7" s="56">
        <f>AC7/AB7*100</f>
        <v>905.5440833183692</v>
      </c>
      <c r="AE7" s="58">
        <f t="shared" si="0"/>
        <v>2286.6000000000004</v>
      </c>
      <c r="AF7" s="58">
        <f t="shared" si="0"/>
        <v>17160.6</v>
      </c>
      <c r="AG7" s="56">
        <f>AF7/AE7*100</f>
        <v>750.4854368932037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4514.200000000002</v>
      </c>
      <c r="AL7" s="58">
        <f t="shared" si="0"/>
        <v>37332.49999999999</v>
      </c>
      <c r="AM7" s="56">
        <f>AL7/AK7*100</f>
        <v>827.0014620530765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493770.2999999998</v>
      </c>
      <c r="AU7" s="57">
        <f t="shared" si="1"/>
        <v>569293.2</v>
      </c>
      <c r="AV7" s="56">
        <f>AU7/AT7*100</f>
        <v>115.29514837162141</v>
      </c>
      <c r="AW7" s="58">
        <f t="shared" si="0"/>
        <v>-75522.89999999994</v>
      </c>
      <c r="AX7" s="58">
        <f t="shared" si="0"/>
        <v>388782.70000000007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8085.5</v>
      </c>
      <c r="Q14" s="75">
        <f t="shared" si="24"/>
        <v>21175.9</v>
      </c>
      <c r="R14" s="75" t="e">
        <f t="shared" si="24"/>
        <v>#DIV/0!</v>
      </c>
      <c r="S14" s="75">
        <f t="shared" si="24"/>
        <v>416.2</v>
      </c>
      <c r="T14" s="75">
        <f t="shared" si="24"/>
        <v>9172.5</v>
      </c>
      <c r="U14" s="75" t="e">
        <f t="shared" si="24"/>
        <v>#DIV/0!</v>
      </c>
      <c r="V14" s="75">
        <f t="shared" si="24"/>
        <v>416.1</v>
      </c>
      <c r="W14" s="75">
        <f t="shared" si="24"/>
        <v>3857.6</v>
      </c>
      <c r="X14" s="58">
        <f t="shared" si="9"/>
        <v>927.0848353761114</v>
      </c>
      <c r="Y14" s="58">
        <f t="shared" si="10"/>
        <v>8917.800000000001</v>
      </c>
      <c r="Z14" s="58">
        <f t="shared" si="11"/>
        <v>34206</v>
      </c>
      <c r="AA14" s="58">
        <f t="shared" si="12"/>
        <v>383.56993877413703</v>
      </c>
      <c r="AB14" s="75">
        <f aca="true" t="shared" si="25" ref="AB14:AI14">SUM(AB15:AB22)</f>
        <v>411.7</v>
      </c>
      <c r="AC14" s="75">
        <f t="shared" si="25"/>
        <v>3992.5</v>
      </c>
      <c r="AD14" s="75">
        <f t="shared" si="25"/>
        <v>0</v>
      </c>
      <c r="AE14" s="75">
        <f t="shared" si="25"/>
        <v>416.1</v>
      </c>
      <c r="AF14" s="75">
        <f t="shared" si="25"/>
        <v>2995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827.8</v>
      </c>
      <c r="AL14" s="58">
        <f t="shared" si="21"/>
        <v>6987.5</v>
      </c>
      <c r="AM14" s="58">
        <f t="shared" si="15"/>
        <v>844.10485624547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96630.5</v>
      </c>
      <c r="AU14" s="57">
        <f t="shared" si="23"/>
        <v>114526.2</v>
      </c>
      <c r="AV14" s="58">
        <f t="shared" si="17"/>
        <v>118.51972203393338</v>
      </c>
      <c r="AW14" s="58">
        <f t="shared" si="18"/>
        <v>-17895.699999999997</v>
      </c>
      <c r="AX14" s="79">
        <f t="shared" si="19"/>
        <v>81162.8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>
        <v>2481.5</v>
      </c>
      <c r="Q15" s="61">
        <v>7505.8</v>
      </c>
      <c r="R15" s="58">
        <f aca="true" t="shared" si="27" ref="R15:R22">Q15/P15*100</f>
        <v>302.47028007253675</v>
      </c>
      <c r="S15" s="61"/>
      <c r="T15" s="61">
        <v>3093</v>
      </c>
      <c r="U15" s="58" t="e">
        <f aca="true" t="shared" si="28" ref="U15:U22">T15/S15*100</f>
        <v>#DIV/0!</v>
      </c>
      <c r="V15" s="61"/>
      <c r="W15" s="61">
        <v>1484.9</v>
      </c>
      <c r="X15" s="58" t="e">
        <f t="shared" si="9"/>
        <v>#DIV/0!</v>
      </c>
      <c r="Y15" s="62">
        <f t="shared" si="10"/>
        <v>2481.5</v>
      </c>
      <c r="Z15" s="62">
        <f t="shared" si="11"/>
        <v>12083.699999999999</v>
      </c>
      <c r="AA15" s="58">
        <f t="shared" si="12"/>
        <v>486.9514406608905</v>
      </c>
      <c r="AB15" s="61"/>
      <c r="AC15" s="61">
        <v>1577.8</v>
      </c>
      <c r="AD15" s="58"/>
      <c r="AE15" s="61"/>
      <c r="AF15" s="61">
        <v>1182.9</v>
      </c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2760.7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35680</v>
      </c>
      <c r="AU15" s="94">
        <f t="shared" si="23"/>
        <v>42075.59999999999</v>
      </c>
      <c r="AV15" s="58">
        <f t="shared" si="17"/>
        <v>117.92488789237665</v>
      </c>
      <c r="AW15" s="62">
        <f t="shared" si="18"/>
        <v>-6395.599999999991</v>
      </c>
      <c r="AX15" s="63">
        <f t="shared" si="19"/>
        <v>41355.40000000001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>
        <v>3.4</v>
      </c>
      <c r="Q16" s="61">
        <v>14.2</v>
      </c>
      <c r="R16" s="58">
        <f t="shared" si="27"/>
        <v>417.64705882352945</v>
      </c>
      <c r="S16" s="61"/>
      <c r="T16" s="61">
        <v>3.9</v>
      </c>
      <c r="U16" s="58" t="e">
        <f t="shared" si="28"/>
        <v>#DIV/0!</v>
      </c>
      <c r="V16" s="61"/>
      <c r="W16" s="61">
        <v>1.5</v>
      </c>
      <c r="X16" s="58" t="e">
        <f t="shared" si="9"/>
        <v>#DIV/0!</v>
      </c>
      <c r="Y16" s="62">
        <f t="shared" si="10"/>
        <v>3.4</v>
      </c>
      <c r="Z16" s="62">
        <f t="shared" si="11"/>
        <v>19.599999999999998</v>
      </c>
      <c r="AA16" s="58">
        <f t="shared" si="12"/>
        <v>576.4705882352941</v>
      </c>
      <c r="AB16" s="61"/>
      <c r="AC16" s="61">
        <v>1</v>
      </c>
      <c r="AD16" s="58"/>
      <c r="AE16" s="61"/>
      <c r="AF16" s="61">
        <v>7.9</v>
      </c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8.9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69.30000000000001</v>
      </c>
      <c r="AU16" s="94">
        <f t="shared" si="23"/>
        <v>83.6</v>
      </c>
      <c r="AV16" s="58">
        <f t="shared" si="17"/>
        <v>120.6349206349206</v>
      </c>
      <c r="AW16" s="62">
        <f t="shared" si="18"/>
        <v>-14.299999999999983</v>
      </c>
      <c r="AX16" s="63">
        <f t="shared" si="19"/>
        <v>138.4</v>
      </c>
      <c r="AY16" s="14">
        <f>122.5+23.8</f>
        <v>146.3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>
        <v>520.1</v>
      </c>
      <c r="Q17" s="61">
        <v>2278</v>
      </c>
      <c r="R17" s="58">
        <f t="shared" si="27"/>
        <v>437.99269371274755</v>
      </c>
      <c r="S17" s="61"/>
      <c r="T17" s="61">
        <v>726.7</v>
      </c>
      <c r="U17" s="58" t="e">
        <f t="shared" si="28"/>
        <v>#DIV/0!</v>
      </c>
      <c r="V17" s="61"/>
      <c r="W17" s="61">
        <v>284</v>
      </c>
      <c r="X17" s="58" t="e">
        <f t="shared" si="9"/>
        <v>#DIV/0!</v>
      </c>
      <c r="Y17" s="62">
        <f t="shared" si="10"/>
        <v>520.1</v>
      </c>
      <c r="Z17" s="62">
        <f t="shared" si="11"/>
        <v>3288.7</v>
      </c>
      <c r="AA17" s="58">
        <f t="shared" si="12"/>
        <v>632.3207075562391</v>
      </c>
      <c r="AB17" s="61">
        <v>0</v>
      </c>
      <c r="AC17" s="61">
        <v>208</v>
      </c>
      <c r="AD17" s="58"/>
      <c r="AE17" s="61"/>
      <c r="AF17" s="61">
        <v>134.7</v>
      </c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342.7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9389.199999999999</v>
      </c>
      <c r="AU17" s="94">
        <f t="shared" si="23"/>
        <v>11823.100000000002</v>
      </c>
      <c r="AV17" s="58">
        <f t="shared" si="17"/>
        <v>125.92233630128236</v>
      </c>
      <c r="AW17" s="62">
        <f t="shared" si="18"/>
        <v>-2433.9000000000033</v>
      </c>
      <c r="AX17" s="63">
        <f t="shared" si="19"/>
        <v>3192.5999999999967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>
        <v>5080.5</v>
      </c>
      <c r="Q19" s="61">
        <v>11377.9</v>
      </c>
      <c r="R19" s="58">
        <f t="shared" si="27"/>
        <v>223.95236689302234</v>
      </c>
      <c r="S19" s="61">
        <v>416.2</v>
      </c>
      <c r="T19" s="61">
        <v>5348.9</v>
      </c>
      <c r="U19" s="58">
        <f t="shared" si="28"/>
        <v>1285.1753964440172</v>
      </c>
      <c r="V19" s="61">
        <v>416.1</v>
      </c>
      <c r="W19" s="61">
        <v>2087.2</v>
      </c>
      <c r="X19" s="66">
        <f t="shared" si="9"/>
        <v>501.6101898582071</v>
      </c>
      <c r="Y19" s="62">
        <f t="shared" si="10"/>
        <v>5912.8</v>
      </c>
      <c r="Z19" s="62">
        <f t="shared" si="11"/>
        <v>18814</v>
      </c>
      <c r="AA19" s="58">
        <f t="shared" si="12"/>
        <v>318.1910431606007</v>
      </c>
      <c r="AB19" s="61">
        <v>411.7</v>
      </c>
      <c r="AC19" s="61">
        <v>2205.7</v>
      </c>
      <c r="AD19" s="58"/>
      <c r="AE19" s="61">
        <v>416.1</v>
      </c>
      <c r="AF19" s="61">
        <v>1669.5</v>
      </c>
      <c r="AG19" s="58"/>
      <c r="AH19" s="61"/>
      <c r="AI19" s="61"/>
      <c r="AJ19" s="58" t="e">
        <f t="shared" si="14"/>
        <v>#DIV/0!</v>
      </c>
      <c r="AK19" s="62">
        <f t="shared" si="20"/>
        <v>827.8</v>
      </c>
      <c r="AL19" s="62">
        <f t="shared" si="21"/>
        <v>3875.2</v>
      </c>
      <c r="AM19" s="58">
        <f t="shared" si="15"/>
        <v>468.1323991302247</v>
      </c>
      <c r="AN19" s="61"/>
      <c r="AO19" s="61"/>
      <c r="AP19" s="61"/>
      <c r="AQ19" s="61"/>
      <c r="AR19" s="61"/>
      <c r="AS19" s="61"/>
      <c r="AT19" s="94">
        <f t="shared" si="22"/>
        <v>51492.00000000001</v>
      </c>
      <c r="AU19" s="94">
        <f t="shared" si="23"/>
        <v>60543.899999999994</v>
      </c>
      <c r="AV19" s="58">
        <f t="shared" si="17"/>
        <v>117.57923560941504</v>
      </c>
      <c r="AW19" s="62">
        <f t="shared" si="18"/>
        <v>-9051.899999999987</v>
      </c>
      <c r="AX19" s="63">
        <f t="shared" si="19"/>
        <v>36476.40000000002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1225.3</v>
      </c>
      <c r="Q23" s="75">
        <f t="shared" si="29"/>
        <v>6880</v>
      </c>
      <c r="R23" s="75" t="e">
        <f t="shared" si="29"/>
        <v>#DIV/0!</v>
      </c>
      <c r="S23" s="75">
        <f t="shared" si="29"/>
        <v>-231.9</v>
      </c>
      <c r="T23" s="75">
        <f t="shared" si="29"/>
        <v>3080.2</v>
      </c>
      <c r="U23" s="75" t="e">
        <f t="shared" si="29"/>
        <v>#DIV/0!</v>
      </c>
      <c r="V23" s="75">
        <f t="shared" si="29"/>
        <v>-26</v>
      </c>
      <c r="W23" s="75">
        <f t="shared" si="29"/>
        <v>1641.1</v>
      </c>
      <c r="X23" s="72">
        <f t="shared" si="9"/>
        <v>-6311.923076923077</v>
      </c>
      <c r="Y23" s="58">
        <f t="shared" si="10"/>
        <v>967.4</v>
      </c>
      <c r="Z23" s="58">
        <f t="shared" si="11"/>
        <v>11601.300000000001</v>
      </c>
      <c r="AA23" s="58">
        <f t="shared" si="12"/>
        <v>1199.2247260698782</v>
      </c>
      <c r="AB23" s="75">
        <f aca="true" t="shared" si="30" ref="AB23:AI23">SUM(AB24:AB29)</f>
        <v>-17.3</v>
      </c>
      <c r="AC23" s="75">
        <f t="shared" si="30"/>
        <v>1673</v>
      </c>
      <c r="AD23" s="75">
        <f t="shared" si="30"/>
        <v>0</v>
      </c>
      <c r="AE23" s="75">
        <f t="shared" si="30"/>
        <v>-16.6</v>
      </c>
      <c r="AF23" s="75">
        <f t="shared" si="30"/>
        <v>1301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-33.900000000000006</v>
      </c>
      <c r="AL23" s="58">
        <f t="shared" si="21"/>
        <v>2974</v>
      </c>
      <c r="AM23" s="58">
        <f t="shared" si="15"/>
        <v>-8772.861356932153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29474.5</v>
      </c>
      <c r="AU23" s="57">
        <f t="shared" si="23"/>
        <v>36933.1</v>
      </c>
      <c r="AV23" s="58">
        <f t="shared" si="17"/>
        <v>125.30526387216068</v>
      </c>
      <c r="AW23" s="58">
        <f t="shared" si="18"/>
        <v>-7458.5999999999985</v>
      </c>
      <c r="AX23" s="79">
        <f t="shared" si="19"/>
        <v>11782.099999999999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>
        <v>1225.3</v>
      </c>
      <c r="Q26" s="61">
        <v>6880</v>
      </c>
      <c r="R26" s="58">
        <f>Q26/P26*100</f>
        <v>561.495144046356</v>
      </c>
      <c r="S26" s="61">
        <v>-231.9</v>
      </c>
      <c r="T26" s="61">
        <v>3080.2</v>
      </c>
      <c r="U26" s="58">
        <f>T26/S26*100</f>
        <v>-1328.244933160845</v>
      </c>
      <c r="V26" s="61">
        <v>-26</v>
      </c>
      <c r="W26" s="61">
        <v>1641.1</v>
      </c>
      <c r="X26" s="58">
        <f>W26/V26*100</f>
        <v>-6311.923076923077</v>
      </c>
      <c r="Y26" s="62">
        <f t="shared" si="10"/>
        <v>967.4</v>
      </c>
      <c r="Z26" s="62">
        <f t="shared" si="11"/>
        <v>11601.300000000001</v>
      </c>
      <c r="AA26" s="58">
        <f t="shared" si="12"/>
        <v>1199.2247260698782</v>
      </c>
      <c r="AB26" s="61">
        <v>-17.3</v>
      </c>
      <c r="AC26" s="61">
        <v>1673</v>
      </c>
      <c r="AD26" s="58"/>
      <c r="AE26" s="61">
        <v>-16.6</v>
      </c>
      <c r="AF26" s="61">
        <v>1301</v>
      </c>
      <c r="AG26" s="58"/>
      <c r="AH26" s="61"/>
      <c r="AI26" s="61"/>
      <c r="AJ26" s="58" t="e">
        <f t="shared" si="14"/>
        <v>#DIV/0!</v>
      </c>
      <c r="AK26" s="62">
        <f t="shared" si="20"/>
        <v>-33.900000000000006</v>
      </c>
      <c r="AL26" s="62">
        <f t="shared" si="21"/>
        <v>2974</v>
      </c>
      <c r="AM26" s="58">
        <f t="shared" si="15"/>
        <v>-8772.861356932153</v>
      </c>
      <c r="AN26" s="61"/>
      <c r="AO26" s="61"/>
      <c r="AP26" s="61"/>
      <c r="AQ26" s="61"/>
      <c r="AR26" s="61"/>
      <c r="AS26" s="61"/>
      <c r="AT26" s="94">
        <f t="shared" si="22"/>
        <v>29474.5</v>
      </c>
      <c r="AU26" s="94">
        <f t="shared" si="23"/>
        <v>36933.1</v>
      </c>
      <c r="AV26" s="58">
        <f t="shared" si="17"/>
        <v>125.30526387216068</v>
      </c>
      <c r="AW26" s="62">
        <f t="shared" si="18"/>
        <v>-7458.5999999999985</v>
      </c>
      <c r="AX26" s="63">
        <f t="shared" si="19"/>
        <v>11782.099999999999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2013.8999999999999</v>
      </c>
      <c r="Q30" s="108">
        <f t="shared" si="40"/>
        <v>8565.099999999999</v>
      </c>
      <c r="R30" s="108" t="e">
        <f t="shared" si="40"/>
        <v>#DIV/0!</v>
      </c>
      <c r="S30" s="108">
        <f t="shared" si="40"/>
        <v>0</v>
      </c>
      <c r="T30" s="108">
        <f t="shared" si="40"/>
        <v>2672.5</v>
      </c>
      <c r="U30" s="108" t="e">
        <f t="shared" si="40"/>
        <v>#DIV/0!</v>
      </c>
      <c r="V30" s="108">
        <f t="shared" si="40"/>
        <v>0</v>
      </c>
      <c r="W30" s="108">
        <f t="shared" si="40"/>
        <v>1146.6000000000001</v>
      </c>
      <c r="X30" s="56" t="e">
        <f t="shared" si="36"/>
        <v>#DIV/0!</v>
      </c>
      <c r="Y30" s="56">
        <f t="shared" si="10"/>
        <v>2013.8999999999999</v>
      </c>
      <c r="Z30" s="56">
        <f t="shared" si="11"/>
        <v>12384.199999999999</v>
      </c>
      <c r="AA30" s="56">
        <f t="shared" si="37"/>
        <v>614.9361934554844</v>
      </c>
      <c r="AB30" s="108">
        <f aca="true" t="shared" si="41" ref="AB30:AI30">SUM(AB31:AB38)</f>
        <v>0</v>
      </c>
      <c r="AC30" s="108">
        <f t="shared" si="41"/>
        <v>1045.3999999999999</v>
      </c>
      <c r="AD30" s="108">
        <f t="shared" si="41"/>
        <v>0</v>
      </c>
      <c r="AE30" s="108">
        <f t="shared" si="41"/>
        <v>0</v>
      </c>
      <c r="AF30" s="108">
        <f t="shared" si="41"/>
        <v>979.7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2025.1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42826.799999999996</v>
      </c>
      <c r="AU30" s="57">
        <f t="shared" si="23"/>
        <v>41949.1</v>
      </c>
      <c r="AV30" s="56">
        <f>AU30/AT30*100</f>
        <v>97.95058234563405</v>
      </c>
      <c r="AW30" s="56">
        <f t="shared" si="18"/>
        <v>877.6999999999971</v>
      </c>
      <c r="AX30" s="55">
        <f t="shared" si="19"/>
        <v>53855.69999999999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>
        <f>-3.4+2003.5</f>
        <v>2000.1</v>
      </c>
      <c r="Q35" s="61">
        <f>941.9+7191.7</f>
        <v>8133.599999999999</v>
      </c>
      <c r="R35" s="58">
        <f t="shared" si="34"/>
        <v>406.65966701664917</v>
      </c>
      <c r="S35" s="61"/>
      <c r="T35" s="61">
        <f>115.7+2413.5</f>
        <v>2529.2</v>
      </c>
      <c r="U35" s="58" t="e">
        <f t="shared" si="35"/>
        <v>#DIV/0!</v>
      </c>
      <c r="V35" s="61"/>
      <c r="W35" s="61">
        <f>150.4+916</f>
        <v>1066.4</v>
      </c>
      <c r="X35" s="58" t="e">
        <f t="shared" si="36"/>
        <v>#DIV/0!</v>
      </c>
      <c r="Y35" s="62">
        <f t="shared" si="10"/>
        <v>2000.1</v>
      </c>
      <c r="Z35" s="62">
        <f t="shared" si="11"/>
        <v>11729.199999999999</v>
      </c>
      <c r="AA35" s="58">
        <f t="shared" si="37"/>
        <v>586.4306784660766</v>
      </c>
      <c r="AB35" s="61">
        <f>550.9-550.9</f>
        <v>0</v>
      </c>
      <c r="AC35" s="61">
        <f>184.2+807.1</f>
        <v>991.3</v>
      </c>
      <c r="AD35" s="58"/>
      <c r="AE35" s="61"/>
      <c r="AF35" s="61">
        <f>82.2+825.1</f>
        <v>907.3000000000001</v>
      </c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1898.6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40114.2</v>
      </c>
      <c r="AU35" s="94">
        <f t="shared" si="23"/>
        <v>39508.6</v>
      </c>
      <c r="AV35" s="58">
        <f t="shared" si="46"/>
        <v>98.4903101644804</v>
      </c>
      <c r="AW35" s="62">
        <f t="shared" si="47"/>
        <v>605.5999999999985</v>
      </c>
      <c r="AX35" s="63">
        <f t="shared" si="19"/>
        <v>50551.799999999996</v>
      </c>
      <c r="AY35" s="14">
        <f>16065.2+34486.5</f>
        <v>50551.7</v>
      </c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>
        <v>13.8</v>
      </c>
      <c r="Q36" s="61">
        <v>431.5</v>
      </c>
      <c r="R36" s="58">
        <f t="shared" si="34"/>
        <v>3126.8115942028985</v>
      </c>
      <c r="S36" s="61"/>
      <c r="T36" s="61">
        <v>143.3</v>
      </c>
      <c r="U36" s="58" t="e">
        <f t="shared" si="35"/>
        <v>#DIV/0!</v>
      </c>
      <c r="V36" s="61"/>
      <c r="W36" s="61">
        <v>80.2</v>
      </c>
      <c r="X36" s="58" t="e">
        <f t="shared" si="36"/>
        <v>#DIV/0!</v>
      </c>
      <c r="Y36" s="62">
        <f t="shared" si="10"/>
        <v>13.8</v>
      </c>
      <c r="Z36" s="62">
        <f t="shared" si="11"/>
        <v>655</v>
      </c>
      <c r="AA36" s="58">
        <f t="shared" si="37"/>
        <v>4746.376811594202</v>
      </c>
      <c r="AB36" s="61"/>
      <c r="AC36" s="61">
        <f>54.1</f>
        <v>54.1</v>
      </c>
      <c r="AD36" s="58"/>
      <c r="AE36" s="61"/>
      <c r="AF36" s="61">
        <v>72.4</v>
      </c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126.5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2712.6000000000004</v>
      </c>
      <c r="AU36" s="94">
        <f t="shared" si="23"/>
        <v>2440.5</v>
      </c>
      <c r="AV36" s="58">
        <f t="shared" si="46"/>
        <v>89.96903339969032</v>
      </c>
      <c r="AW36" s="62">
        <f t="shared" si="47"/>
        <v>272.10000000000036</v>
      </c>
      <c r="AX36" s="63">
        <f t="shared" si="19"/>
        <v>3303.9000000000005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204669.40000000002</v>
      </c>
      <c r="D39" s="75">
        <f>SUM(D40:D44)</f>
        <v>66560.20000000001</v>
      </c>
      <c r="E39" s="75">
        <f>SUM(E40:E44)</f>
        <v>45967.9</v>
      </c>
      <c r="F39" s="59">
        <f t="shared" si="32"/>
        <v>69.06214224115912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54003.6</v>
      </c>
      <c r="K39" s="75">
        <f>SUM(K40:K44)</f>
        <v>51079.8</v>
      </c>
      <c r="L39" s="58">
        <f t="shared" si="45"/>
        <v>94.58591649445593</v>
      </c>
      <c r="M39" s="58">
        <f t="shared" si="5"/>
        <v>186322.80000000002</v>
      </c>
      <c r="N39" s="58">
        <f t="shared" si="6"/>
        <v>145783.2</v>
      </c>
      <c r="O39" s="58">
        <f t="shared" si="33"/>
        <v>78.24227630756944</v>
      </c>
      <c r="P39" s="75">
        <f aca="true" t="shared" si="48" ref="P39:W39">SUM(P40:P44)</f>
        <v>14358.599999999999</v>
      </c>
      <c r="Q39" s="75">
        <f t="shared" si="48"/>
        <v>41231.5</v>
      </c>
      <c r="R39" s="75" t="e">
        <f t="shared" si="48"/>
        <v>#DIV/0!</v>
      </c>
      <c r="S39" s="75">
        <f t="shared" si="48"/>
        <v>0</v>
      </c>
      <c r="T39" s="75">
        <f t="shared" si="48"/>
        <v>17958.9</v>
      </c>
      <c r="U39" s="75" t="e">
        <f t="shared" si="48"/>
        <v>#DIV/0!</v>
      </c>
      <c r="V39" s="75">
        <f t="shared" si="48"/>
        <v>0</v>
      </c>
      <c r="W39" s="75">
        <f t="shared" si="48"/>
        <v>8434.8</v>
      </c>
      <c r="X39" s="58" t="e">
        <f t="shared" si="36"/>
        <v>#DIV/0!</v>
      </c>
      <c r="Y39" s="58">
        <f t="shared" si="10"/>
        <v>14358.599999999999</v>
      </c>
      <c r="Z39" s="58">
        <f t="shared" si="11"/>
        <v>67625.2</v>
      </c>
      <c r="AA39" s="58">
        <f t="shared" si="37"/>
        <v>470.9734932375023</v>
      </c>
      <c r="AB39" s="75">
        <f aca="true" t="shared" si="49" ref="AB39:AI39">SUM(AB40:AB44)</f>
        <v>0</v>
      </c>
      <c r="AC39" s="75">
        <f t="shared" si="49"/>
        <v>7774.5</v>
      </c>
      <c r="AD39" s="75">
        <f t="shared" si="49"/>
        <v>0</v>
      </c>
      <c r="AE39" s="75">
        <f t="shared" si="49"/>
        <v>0</v>
      </c>
      <c r="AF39" s="75">
        <f t="shared" si="49"/>
        <v>7081.799999999999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14856.3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200681.40000000002</v>
      </c>
      <c r="AU39" s="57">
        <f t="shared" si="23"/>
        <v>228264.7</v>
      </c>
      <c r="AV39" s="58">
        <f t="shared" si="46"/>
        <v>113.7448213935123</v>
      </c>
      <c r="AW39" s="58">
        <f t="shared" si="47"/>
        <v>-27583.29999999999</v>
      </c>
      <c r="AX39" s="79">
        <f t="shared" si="19"/>
        <v>177086.10000000003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132813.6+14885.7</f>
        <v>147699.30000000002</v>
      </c>
      <c r="D42" s="61">
        <f>42154.8+4504.8</f>
        <v>46659.600000000006</v>
      </c>
      <c r="E42" s="61">
        <f>30241.4+2711</f>
        <v>32952.4</v>
      </c>
      <c r="F42" s="59">
        <f t="shared" si="32"/>
        <v>70.6229800512649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>
        <f>32886.7+3275.3</f>
        <v>36162</v>
      </c>
      <c r="K42" s="61">
        <f>32635.2+3132.8</f>
        <v>35768</v>
      </c>
      <c r="L42" s="58">
        <f t="shared" si="45"/>
        <v>98.91045849234003</v>
      </c>
      <c r="M42" s="62">
        <f t="shared" si="51"/>
        <v>128212.3</v>
      </c>
      <c r="N42" s="62">
        <f t="shared" si="52"/>
        <v>103302.4</v>
      </c>
      <c r="O42" s="58">
        <f t="shared" si="33"/>
        <v>80.57136483785096</v>
      </c>
      <c r="P42" s="61">
        <f>8719.8+727.5</f>
        <v>9447.3</v>
      </c>
      <c r="Q42" s="61">
        <f>26019.8+2343.3</f>
        <v>28363.1</v>
      </c>
      <c r="R42" s="58">
        <f t="shared" si="34"/>
        <v>300.224402739407</v>
      </c>
      <c r="S42" s="61"/>
      <c r="T42" s="61">
        <f>11286.2+913.9</f>
        <v>12200.1</v>
      </c>
      <c r="U42" s="58" t="e">
        <f t="shared" si="35"/>
        <v>#DIV/0!</v>
      </c>
      <c r="V42" s="61"/>
      <c r="W42" s="61">
        <f>445.5+4912.7</f>
        <v>5358.2</v>
      </c>
      <c r="X42" s="58" t="e">
        <f t="shared" si="36"/>
        <v>#DIV/0!</v>
      </c>
      <c r="Y42" s="62">
        <f t="shared" si="53"/>
        <v>9447.3</v>
      </c>
      <c r="Z42" s="62">
        <f t="shared" si="54"/>
        <v>45921.399999999994</v>
      </c>
      <c r="AA42" s="58">
        <f t="shared" si="37"/>
        <v>486.07962063234993</v>
      </c>
      <c r="AB42" s="61"/>
      <c r="AC42" s="61">
        <f>4559.7+446.5</f>
        <v>5006.2</v>
      </c>
      <c r="AD42" s="58"/>
      <c r="AE42" s="61"/>
      <c r="AF42" s="61">
        <f>4167.4+391.8</f>
        <v>4559.2</v>
      </c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9565.4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137659.6</v>
      </c>
      <c r="AU42" s="94">
        <f t="shared" si="23"/>
        <v>158789.19999999998</v>
      </c>
      <c r="AV42" s="58">
        <f t="shared" si="46"/>
        <v>115.34916562302955</v>
      </c>
      <c r="AW42" s="62">
        <f t="shared" si="47"/>
        <v>-21129.599999999977</v>
      </c>
      <c r="AX42" s="63">
        <f t="shared" si="55"/>
        <v>126569.70000000004</v>
      </c>
      <c r="AY42" s="14">
        <f>98782.1</f>
        <v>98782.1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>
        <v>4911.3</v>
      </c>
      <c r="Q44" s="61">
        <v>12868.4</v>
      </c>
      <c r="R44" s="58">
        <f t="shared" si="34"/>
        <v>262.0161667990145</v>
      </c>
      <c r="S44" s="61"/>
      <c r="T44" s="61">
        <v>5758.8</v>
      </c>
      <c r="U44" s="58" t="e">
        <f t="shared" si="35"/>
        <v>#DIV/0!</v>
      </c>
      <c r="V44" s="61"/>
      <c r="W44" s="61">
        <v>3076.6</v>
      </c>
      <c r="X44" s="72" t="e">
        <f t="shared" si="36"/>
        <v>#DIV/0!</v>
      </c>
      <c r="Y44" s="62">
        <f t="shared" si="53"/>
        <v>4911.3</v>
      </c>
      <c r="Z44" s="62">
        <f t="shared" si="54"/>
        <v>21703.8</v>
      </c>
      <c r="AA44" s="58">
        <f t="shared" si="37"/>
        <v>441.9155824323498</v>
      </c>
      <c r="AB44" s="61"/>
      <c r="AC44" s="61">
        <v>2768.3</v>
      </c>
      <c r="AD44" s="58"/>
      <c r="AE44" s="61"/>
      <c r="AF44" s="61">
        <v>2522.6</v>
      </c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5290.9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63021.799999999996</v>
      </c>
      <c r="AU44" s="94">
        <f t="shared" si="23"/>
        <v>69475.5</v>
      </c>
      <c r="AV44" s="58">
        <f t="shared" si="46"/>
        <v>110.24042474191471</v>
      </c>
      <c r="AW44" s="62">
        <f t="shared" si="47"/>
        <v>-6453.700000000004</v>
      </c>
      <c r="AX44" s="63">
        <f t="shared" si="55"/>
        <v>50516.399999999994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1.7</v>
      </c>
      <c r="R45" s="75" t="e">
        <f t="shared" si="56"/>
        <v>#DIV/0!</v>
      </c>
      <c r="S45" s="75">
        <f t="shared" si="56"/>
        <v>0</v>
      </c>
      <c r="T45" s="75">
        <f t="shared" si="56"/>
        <v>2.4</v>
      </c>
      <c r="U45" s="75" t="e">
        <f t="shared" si="56"/>
        <v>#DIV/0!</v>
      </c>
      <c r="V45" s="75">
        <f t="shared" si="56"/>
        <v>0</v>
      </c>
      <c r="W45" s="75">
        <f t="shared" si="56"/>
        <v>1.7</v>
      </c>
      <c r="X45" s="72" t="e">
        <f t="shared" si="36"/>
        <v>#DIV/0!</v>
      </c>
      <c r="Y45" s="58">
        <f t="shared" si="53"/>
        <v>0</v>
      </c>
      <c r="Z45" s="58">
        <f t="shared" si="54"/>
        <v>5.8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1.6</v>
      </c>
      <c r="AD45" s="75">
        <f t="shared" si="57"/>
        <v>0</v>
      </c>
      <c r="AE45" s="75">
        <f t="shared" si="57"/>
        <v>0</v>
      </c>
      <c r="AF45" s="75">
        <f t="shared" si="57"/>
        <v>1.1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2.7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10960</v>
      </c>
      <c r="AV45" s="58">
        <f t="shared" si="46"/>
        <v>78.64015670629767</v>
      </c>
      <c r="AW45" s="58">
        <f t="shared" si="47"/>
        <v>2976.8999999999996</v>
      </c>
      <c r="AX45" s="79">
        <f t="shared" si="55"/>
        <v>16075.2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11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>
        <v>1.7</v>
      </c>
      <c r="R49" s="58" t="e">
        <f t="shared" si="34"/>
        <v>#DIV/0!</v>
      </c>
      <c r="S49" s="61"/>
      <c r="T49" s="73">
        <v>2.4</v>
      </c>
      <c r="U49" s="58" t="e">
        <f t="shared" si="35"/>
        <v>#DIV/0!</v>
      </c>
      <c r="V49" s="61"/>
      <c r="W49" s="73">
        <v>1.7</v>
      </c>
      <c r="X49" s="74" t="e">
        <f>W49/V49*100</f>
        <v>#DIV/0!</v>
      </c>
      <c r="Y49" s="62">
        <f t="shared" si="53"/>
        <v>0</v>
      </c>
      <c r="Z49" s="62">
        <f t="shared" si="54"/>
        <v>5.8</v>
      </c>
      <c r="AA49" s="58" t="e">
        <f t="shared" si="37"/>
        <v>#DIV/0!</v>
      </c>
      <c r="AB49" s="61"/>
      <c r="AC49" s="73">
        <v>1.6</v>
      </c>
      <c r="AD49" s="58"/>
      <c r="AE49" s="61"/>
      <c r="AF49" s="73">
        <v>1.1</v>
      </c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2.7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43.5</v>
      </c>
      <c r="AV49" s="64" t="e">
        <f t="shared" si="46"/>
        <v>#DIV/0!</v>
      </c>
      <c r="AW49" s="62">
        <f t="shared" si="47"/>
        <v>-43.5</v>
      </c>
      <c r="AX49" s="63">
        <f t="shared" si="55"/>
        <v>1420.2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>
        <v>25.6</v>
      </c>
      <c r="Q57" s="61">
        <v>3114.3</v>
      </c>
      <c r="R57" s="58">
        <f t="shared" si="60"/>
        <v>12165.234375</v>
      </c>
      <c r="S57" s="61"/>
      <c r="T57" s="61">
        <v>835.5</v>
      </c>
      <c r="U57" s="58" t="e">
        <f t="shared" si="66"/>
        <v>#DIV/0!</v>
      </c>
      <c r="V57" s="61"/>
      <c r="W57" s="61">
        <v>1018.7</v>
      </c>
      <c r="X57" s="58" t="e">
        <f t="shared" si="61"/>
        <v>#DIV/0!</v>
      </c>
      <c r="Y57" s="62">
        <f t="shared" si="53"/>
        <v>25.6</v>
      </c>
      <c r="Z57" s="62">
        <f t="shared" si="54"/>
        <v>4968.5</v>
      </c>
      <c r="AA57" s="58">
        <f t="shared" si="67"/>
        <v>19408.203125</v>
      </c>
      <c r="AB57" s="61"/>
      <c r="AC57" s="61">
        <v>594.3</v>
      </c>
      <c r="AD57" s="58"/>
      <c r="AE57" s="61"/>
      <c r="AF57" s="61">
        <v>503.5</v>
      </c>
      <c r="AG57" s="58"/>
      <c r="AH57" s="61"/>
      <c r="AI57" s="61"/>
      <c r="AJ57" s="58"/>
      <c r="AK57" s="62">
        <f t="shared" si="20"/>
        <v>0</v>
      </c>
      <c r="AL57" s="62">
        <f t="shared" si="21"/>
        <v>1097.8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13962.5</v>
      </c>
      <c r="AU57" s="94">
        <f t="shared" si="23"/>
        <v>16982.8</v>
      </c>
      <c r="AV57" s="58">
        <f t="shared" si="17"/>
        <v>121.63151298119963</v>
      </c>
      <c r="AW57" s="62">
        <f t="shared" si="63"/>
        <v>-3020.2999999999993</v>
      </c>
      <c r="AX57" s="63">
        <f t="shared" si="55"/>
        <v>8614.3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75243.20000000001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28806.4</v>
      </c>
      <c r="L61" s="58">
        <f t="shared" si="59"/>
        <v>105.49012714595416</v>
      </c>
      <c r="M61" s="58">
        <f t="shared" si="51"/>
        <v>93195.5</v>
      </c>
      <c r="N61" s="58">
        <f t="shared" si="52"/>
        <v>81594.7</v>
      </c>
      <c r="O61" s="58">
        <f t="shared" si="7"/>
        <v>87.5521886786379</v>
      </c>
      <c r="P61" s="109">
        <f aca="true" t="shared" si="68" ref="P61:W61">SUM(P62:P71)</f>
        <v>9546.800000000001</v>
      </c>
      <c r="Q61" s="109">
        <f t="shared" si="68"/>
        <v>23121.199999999997</v>
      </c>
      <c r="R61" s="109" t="e">
        <f t="shared" si="68"/>
        <v>#DIV/0!</v>
      </c>
      <c r="S61" s="109">
        <f t="shared" si="68"/>
        <v>1934.9</v>
      </c>
      <c r="T61" s="109">
        <f t="shared" si="68"/>
        <v>10685.8</v>
      </c>
      <c r="U61" s="109" t="e">
        <f t="shared" si="68"/>
        <v>#DIV/0!</v>
      </c>
      <c r="V61" s="109">
        <f t="shared" si="68"/>
        <v>1814.6</v>
      </c>
      <c r="W61" s="109">
        <f t="shared" si="68"/>
        <v>5803</v>
      </c>
      <c r="X61" s="58">
        <f t="shared" si="61"/>
        <v>319.7949961424006</v>
      </c>
      <c r="Y61" s="58">
        <f t="shared" si="53"/>
        <v>13296.300000000001</v>
      </c>
      <c r="Z61" s="58">
        <f t="shared" si="54"/>
        <v>39610</v>
      </c>
      <c r="AA61" s="58">
        <f t="shared" si="67"/>
        <v>297.90242398261165</v>
      </c>
      <c r="AB61" s="109">
        <f aca="true" t="shared" si="69" ref="AB61:AI61">SUM(AB62:AB71)</f>
        <v>1833.2</v>
      </c>
      <c r="AC61" s="109">
        <f t="shared" si="69"/>
        <v>5090.6</v>
      </c>
      <c r="AD61" s="109">
        <f t="shared" si="69"/>
        <v>0</v>
      </c>
      <c r="AE61" s="109">
        <f t="shared" si="69"/>
        <v>1887.1000000000001</v>
      </c>
      <c r="AF61" s="109">
        <f t="shared" si="69"/>
        <v>4298.5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3720.3</v>
      </c>
      <c r="AL61" s="58">
        <f t="shared" si="21"/>
        <v>9389.1</v>
      </c>
      <c r="AM61" s="58">
        <f t="shared" si="62"/>
        <v>252.37480848318685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110212.1</v>
      </c>
      <c r="AU61" s="57">
        <f t="shared" si="23"/>
        <v>130593.8</v>
      </c>
      <c r="AV61" s="58">
        <f t="shared" si="17"/>
        <v>118.49316000693209</v>
      </c>
      <c r="AW61" s="58">
        <f t="shared" si="63"/>
        <v>-20381.699999999997</v>
      </c>
      <c r="AX61" s="79">
        <f t="shared" si="55"/>
        <v>54861.500000000015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>
        <v>711.4</v>
      </c>
      <c r="Q62" s="61">
        <v>2831.7</v>
      </c>
      <c r="R62" s="58">
        <f>Q62/P62*100</f>
        <v>398.0461062693281</v>
      </c>
      <c r="S62" s="61"/>
      <c r="T62" s="61">
        <v>1145.9</v>
      </c>
      <c r="U62" s="58" t="e">
        <f>T62/S62*100</f>
        <v>#DIV/0!</v>
      </c>
      <c r="V62" s="61"/>
      <c r="W62" s="61">
        <v>543.6</v>
      </c>
      <c r="X62" s="58" t="e">
        <f t="shared" si="61"/>
        <v>#DIV/0!</v>
      </c>
      <c r="Y62" s="62">
        <f t="shared" si="53"/>
        <v>711.4</v>
      </c>
      <c r="Z62" s="62">
        <f t="shared" si="54"/>
        <v>4521.2</v>
      </c>
      <c r="AA62" s="58">
        <f t="shared" si="67"/>
        <v>635.5355636772562</v>
      </c>
      <c r="AB62" s="61"/>
      <c r="AC62" s="61">
        <v>462.5</v>
      </c>
      <c r="AD62" s="58"/>
      <c r="AE62" s="61"/>
      <c r="AF62" s="61">
        <v>375.8</v>
      </c>
      <c r="AG62" s="58"/>
      <c r="AH62" s="61"/>
      <c r="AI62" s="61"/>
      <c r="AJ62" s="58"/>
      <c r="AK62" s="62">
        <f t="shared" si="20"/>
        <v>0</v>
      </c>
      <c r="AL62" s="62">
        <f t="shared" si="21"/>
        <v>838.3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11985.3</v>
      </c>
      <c r="AU62" s="94">
        <f t="shared" si="23"/>
        <v>15621.699999999997</v>
      </c>
      <c r="AV62" s="58">
        <f t="shared" si="17"/>
        <v>130.34050044638013</v>
      </c>
      <c r="AW62" s="62">
        <f t="shared" si="63"/>
        <v>-3636.399999999998</v>
      </c>
      <c r="AX62" s="63">
        <f t="shared" si="55"/>
        <v>2945.800000000003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>
        <v>302.8</v>
      </c>
      <c r="Q63" s="61">
        <v>913.1</v>
      </c>
      <c r="R63" s="58">
        <f aca="true" t="shared" si="73" ref="R63:R71">Q63/P63*100</f>
        <v>301.55217965653895</v>
      </c>
      <c r="S63" s="61">
        <v>-1.3</v>
      </c>
      <c r="T63" s="61">
        <v>378.1</v>
      </c>
      <c r="U63" s="58">
        <f aca="true" t="shared" si="74" ref="U63:U71">T63/S63*100</f>
        <v>-29084.615384615387</v>
      </c>
      <c r="V63" s="61"/>
      <c r="W63" s="61">
        <v>189.2</v>
      </c>
      <c r="X63" s="58" t="e">
        <f aca="true" t="shared" si="75" ref="X63:X71">W63/V63*100</f>
        <v>#DIV/0!</v>
      </c>
      <c r="Y63" s="62">
        <f t="shared" si="53"/>
        <v>301.5</v>
      </c>
      <c r="Z63" s="62">
        <f t="shared" si="54"/>
        <v>1480.4</v>
      </c>
      <c r="AA63" s="58">
        <f aca="true" t="shared" si="76" ref="AA63:AA71">Z63/Y63*100</f>
        <v>491.0116086235489</v>
      </c>
      <c r="AB63" s="61"/>
      <c r="AC63" s="61">
        <v>188.3</v>
      </c>
      <c r="AD63" s="58"/>
      <c r="AE63" s="61"/>
      <c r="AF63" s="61">
        <v>157.4</v>
      </c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345.70000000000005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4214.1</v>
      </c>
      <c r="AU63" s="94">
        <f t="shared" si="23"/>
        <v>5282.900000000001</v>
      </c>
      <c r="AV63" s="58">
        <f aca="true" t="shared" si="80" ref="AV63:AV71">AU63/AT63*100</f>
        <v>125.36247360053154</v>
      </c>
      <c r="AW63" s="62">
        <f aca="true" t="shared" si="81" ref="AW63:AW71">AT63-AU63</f>
        <v>-1068.8000000000002</v>
      </c>
      <c r="AX63" s="63">
        <f t="shared" si="55"/>
        <v>3676.8999999999987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>
        <v>282.4</v>
      </c>
      <c r="Q64" s="61">
        <v>671.2</v>
      </c>
      <c r="R64" s="58">
        <f t="shared" si="73"/>
        <v>237.67705382436267</v>
      </c>
      <c r="S64" s="61"/>
      <c r="T64" s="61">
        <v>352</v>
      </c>
      <c r="U64" s="58" t="e">
        <f t="shared" si="74"/>
        <v>#DIV/0!</v>
      </c>
      <c r="V64" s="61"/>
      <c r="W64" s="61">
        <v>145.5</v>
      </c>
      <c r="X64" s="58" t="e">
        <f t="shared" si="75"/>
        <v>#DIV/0!</v>
      </c>
      <c r="Y64" s="62">
        <f t="shared" si="53"/>
        <v>282.4</v>
      </c>
      <c r="Z64" s="62">
        <f t="shared" si="54"/>
        <v>1168.7</v>
      </c>
      <c r="AA64" s="58">
        <f t="shared" si="76"/>
        <v>413.8456090651559</v>
      </c>
      <c r="AB64" s="61"/>
      <c r="AC64" s="61">
        <v>223.3</v>
      </c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223.3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3419.1</v>
      </c>
      <c r="AU64" s="94">
        <f t="shared" si="23"/>
        <v>3923.2</v>
      </c>
      <c r="AV64" s="58">
        <f t="shared" si="80"/>
        <v>114.74364598871047</v>
      </c>
      <c r="AW64" s="62">
        <f t="shared" si="81"/>
        <v>-504.0999999999999</v>
      </c>
      <c r="AX64" s="63">
        <f t="shared" si="55"/>
        <v>3244.5999999999995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>
        <v>3706</v>
      </c>
      <c r="Q67" s="61">
        <v>5640</v>
      </c>
      <c r="R67" s="58">
        <f t="shared" si="73"/>
        <v>152.18564490016192</v>
      </c>
      <c r="S67" s="61">
        <v>411.2</v>
      </c>
      <c r="T67" s="61">
        <v>2855.6</v>
      </c>
      <c r="U67" s="58">
        <f t="shared" si="74"/>
        <v>694.455252918288</v>
      </c>
      <c r="V67" s="61">
        <v>289.6</v>
      </c>
      <c r="W67" s="61">
        <v>1074.6</v>
      </c>
      <c r="X67" s="58">
        <f t="shared" si="75"/>
        <v>371.0635359116022</v>
      </c>
      <c r="Y67" s="62">
        <f t="shared" si="53"/>
        <v>4406.8</v>
      </c>
      <c r="Z67" s="62">
        <f t="shared" si="54"/>
        <v>9570.2</v>
      </c>
      <c r="AA67" s="58">
        <f t="shared" si="76"/>
        <v>217.16892075882726</v>
      </c>
      <c r="AB67" s="61">
        <v>307.8</v>
      </c>
      <c r="AC67" s="61">
        <v>882.9</v>
      </c>
      <c r="AD67" s="58"/>
      <c r="AE67" s="61">
        <v>361.7</v>
      </c>
      <c r="AF67" s="61">
        <v>785.6</v>
      </c>
      <c r="AG67" s="58"/>
      <c r="AH67" s="61"/>
      <c r="AI67" s="61"/>
      <c r="AJ67" s="58"/>
      <c r="AK67" s="62">
        <f t="shared" si="77"/>
        <v>669.5</v>
      </c>
      <c r="AL67" s="62">
        <f t="shared" si="78"/>
        <v>1668.5</v>
      </c>
      <c r="AM67" s="58">
        <f t="shared" si="79"/>
        <v>249.21583271097836</v>
      </c>
      <c r="AN67" s="61"/>
      <c r="AO67" s="61"/>
      <c r="AP67" s="61"/>
      <c r="AQ67" s="61"/>
      <c r="AR67" s="61"/>
      <c r="AS67" s="61"/>
      <c r="AT67" s="94">
        <f t="shared" si="22"/>
        <v>23395.899999999998</v>
      </c>
      <c r="AU67" s="94">
        <f t="shared" si="23"/>
        <v>27171</v>
      </c>
      <c r="AV67" s="58">
        <f t="shared" si="80"/>
        <v>116.13573318401944</v>
      </c>
      <c r="AW67" s="62">
        <f t="shared" si="81"/>
        <v>-3775.100000000002</v>
      </c>
      <c r="AX67" s="63">
        <f t="shared" si="55"/>
        <v>13315.599999999999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47.5+2776.9</f>
        <v>2824.4</v>
      </c>
      <c r="L69" s="58">
        <f>K69/J69*100</f>
        <v>94.11215887507915</v>
      </c>
      <c r="M69" s="62">
        <f t="shared" si="51"/>
        <v>10753.2</v>
      </c>
      <c r="N69" s="62">
        <f t="shared" si="52"/>
        <v>8043.800000000001</v>
      </c>
      <c r="O69" s="58">
        <f>N69/M69*100</f>
        <v>74.80377934010342</v>
      </c>
      <c r="P69" s="61">
        <v>-52.2</v>
      </c>
      <c r="Q69" s="61">
        <f>1239.1+18.5</f>
        <v>1257.6</v>
      </c>
      <c r="R69" s="58">
        <f>Q69/P69*100</f>
        <v>-2409.1954022988502</v>
      </c>
      <c r="S69" s="61"/>
      <c r="T69" s="61">
        <f>28.3+573.4</f>
        <v>601.6999999999999</v>
      </c>
      <c r="U69" s="58" t="e">
        <f>T69/S69*100</f>
        <v>#DIV/0!</v>
      </c>
      <c r="V69" s="61"/>
      <c r="W69" s="61">
        <f>742.9+22.5</f>
        <v>765.4</v>
      </c>
      <c r="X69" s="58" t="e">
        <f>W69/V69*100</f>
        <v>#DIV/0!</v>
      </c>
      <c r="Y69" s="62">
        <f t="shared" si="53"/>
        <v>-52.2</v>
      </c>
      <c r="Z69" s="62">
        <f t="shared" si="54"/>
        <v>2624.7</v>
      </c>
      <c r="AA69" s="58">
        <f>Z69/Y69*100</f>
        <v>-5028.160919540229</v>
      </c>
      <c r="AB69" s="61"/>
      <c r="AC69" s="61">
        <f>8.4+272.2</f>
        <v>280.59999999999997</v>
      </c>
      <c r="AD69" s="58"/>
      <c r="AE69" s="61"/>
      <c r="AF69" s="61">
        <f>5.2+5.6</f>
        <v>10.8</v>
      </c>
      <c r="AG69" s="58"/>
      <c r="AH69" s="61"/>
      <c r="AI69" s="61"/>
      <c r="AJ69" s="58"/>
      <c r="AK69" s="62">
        <f>AB69+AE69+AH69</f>
        <v>0</v>
      </c>
      <c r="AL69" s="62">
        <f>AC69+AF69+AI69</f>
        <v>291.4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10701</v>
      </c>
      <c r="AU69" s="94">
        <f t="shared" si="23"/>
        <v>10959.9</v>
      </c>
      <c r="AV69" s="58">
        <f>AU69/AT69*100</f>
        <v>102.41940005606953</v>
      </c>
      <c r="AW69" s="62">
        <f>AT69-AU69</f>
        <v>-258.89999999999964</v>
      </c>
      <c r="AX69" s="63">
        <f t="shared" si="55"/>
        <v>10941.6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168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767.4+17.7</f>
        <v>785.1</v>
      </c>
      <c r="L70" s="58">
        <f>K70/J70*100</f>
        <v>104.58238976954841</v>
      </c>
      <c r="M70" s="62">
        <f>D70+G70+J70</f>
        <v>2588.8</v>
      </c>
      <c r="N70" s="62">
        <f>E70+H70+K70</f>
        <v>2082.5</v>
      </c>
      <c r="O70" s="58">
        <f>N70/M70*100</f>
        <v>80.44267614338689</v>
      </c>
      <c r="P70" s="61">
        <v>216.6</v>
      </c>
      <c r="Q70" s="61">
        <f>562.7+19.1</f>
        <v>581.8000000000001</v>
      </c>
      <c r="R70" s="58">
        <f>Q70/P70*100</f>
        <v>268.60572483841185</v>
      </c>
      <c r="S70" s="61"/>
      <c r="T70" s="61">
        <f>273.4+6.8</f>
        <v>280.2</v>
      </c>
      <c r="U70" s="58" t="e">
        <f>T70/S70*100</f>
        <v>#DIV/0!</v>
      </c>
      <c r="V70" s="61"/>
      <c r="W70" s="61">
        <f>118+3.1</f>
        <v>121.1</v>
      </c>
      <c r="X70" s="58" t="e">
        <f>W70/V70*100</f>
        <v>#DIV/0!</v>
      </c>
      <c r="Y70" s="62">
        <f>P70+S70+V70</f>
        <v>216.6</v>
      </c>
      <c r="Z70" s="62">
        <f>Q70+T70+W70</f>
        <v>983.1</v>
      </c>
      <c r="AA70" s="58">
        <f>Z70/Y70*100</f>
        <v>453.8781163434903</v>
      </c>
      <c r="AB70" s="61"/>
      <c r="AC70" s="61">
        <f>109.3+2.5</f>
        <v>111.8</v>
      </c>
      <c r="AD70" s="58"/>
      <c r="AE70" s="61"/>
      <c r="AF70" s="61">
        <f>8.3+63.6</f>
        <v>71.9</v>
      </c>
      <c r="AG70" s="58"/>
      <c r="AH70" s="61"/>
      <c r="AI70" s="61"/>
      <c r="AJ70" s="58"/>
      <c r="AK70" s="62">
        <f>AB70+AE70+AH70</f>
        <v>0</v>
      </c>
      <c r="AL70" s="62">
        <f>AC70+AF70+AI70</f>
        <v>183.7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2805.4</v>
      </c>
      <c r="AU70" s="94">
        <f>N70+Z70+AL70+AO70+AQ70+AS70</f>
        <v>3249.2999999999997</v>
      </c>
      <c r="AV70" s="58">
        <f>AU70/AT70*100</f>
        <v>115.82305553575247</v>
      </c>
      <c r="AW70" s="62">
        <f>AT70-AU70</f>
        <v>-443.89999999999964</v>
      </c>
      <c r="AX70" s="63">
        <f>C70+AT70-AU70</f>
        <v>1634.400000000001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29797.1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>
        <v>4379.8</v>
      </c>
      <c r="Q71" s="61">
        <v>11225.8</v>
      </c>
      <c r="R71" s="58">
        <f t="shared" si="73"/>
        <v>256.3085072377734</v>
      </c>
      <c r="S71" s="61">
        <v>1525</v>
      </c>
      <c r="T71" s="61">
        <v>5072.3</v>
      </c>
      <c r="U71" s="58">
        <f t="shared" si="74"/>
        <v>332.60983606557375</v>
      </c>
      <c r="V71" s="61">
        <v>1525</v>
      </c>
      <c r="W71" s="61">
        <v>2963.6</v>
      </c>
      <c r="X71" s="58">
        <f t="shared" si="75"/>
        <v>194.33442622950818</v>
      </c>
      <c r="Y71" s="62">
        <f t="shared" si="53"/>
        <v>7429.8</v>
      </c>
      <c r="Z71" s="62">
        <f t="shared" si="54"/>
        <v>19261.699999999997</v>
      </c>
      <c r="AA71" s="58">
        <f t="shared" si="76"/>
        <v>259.2492395488438</v>
      </c>
      <c r="AB71" s="61">
        <v>1525.4</v>
      </c>
      <c r="AC71" s="61">
        <v>2941.2</v>
      </c>
      <c r="AD71" s="58"/>
      <c r="AE71" s="61">
        <v>1525.4</v>
      </c>
      <c r="AF71" s="61">
        <f>2770.6+126.4</f>
        <v>2897</v>
      </c>
      <c r="AG71" s="58"/>
      <c r="AH71" s="61"/>
      <c r="AI71" s="61"/>
      <c r="AJ71" s="58"/>
      <c r="AK71" s="62">
        <f t="shared" si="77"/>
        <v>3050.8</v>
      </c>
      <c r="AL71" s="62">
        <f t="shared" si="78"/>
        <v>5838.2</v>
      </c>
      <c r="AM71" s="58">
        <f t="shared" si="79"/>
        <v>191.36619902976267</v>
      </c>
      <c r="AN71" s="61"/>
      <c r="AO71" s="61"/>
      <c r="AP71" s="61"/>
      <c r="AQ71" s="61"/>
      <c r="AR71" s="61"/>
      <c r="AS71" s="61"/>
      <c r="AT71" s="94">
        <f t="shared" si="22"/>
        <v>53691.3</v>
      </c>
      <c r="AU71" s="94">
        <f t="shared" si="23"/>
        <v>64385.79999999999</v>
      </c>
      <c r="AV71" s="58">
        <f t="shared" si="80"/>
        <v>119.91849703769508</v>
      </c>
      <c r="AW71" s="62">
        <f t="shared" si="81"/>
        <v>-10694.499999999985</v>
      </c>
      <c r="AX71" s="63">
        <f t="shared" si="55"/>
        <v>19102.600000000006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3667172.1</v>
      </c>
      <c r="D72" s="75">
        <f>SUM(D73:D75)</f>
        <v>1011576.2</v>
      </c>
      <c r="E72" s="75">
        <f>SUM(E73:E75)</f>
        <v>601188.7</v>
      </c>
      <c r="F72" s="59">
        <f>E72/D72*100</f>
        <v>59.43088617545569</v>
      </c>
      <c r="G72" s="75">
        <f>SUM(G73:G75)</f>
        <v>874095.9</v>
      </c>
      <c r="H72" s="75">
        <f>SUM(H73:H75)</f>
        <v>659051.4</v>
      </c>
      <c r="I72" s="59">
        <f t="shared" si="83"/>
        <v>75.3980655898283</v>
      </c>
      <c r="J72" s="75">
        <f>SUM(J73:J75)</f>
        <v>935615.9</v>
      </c>
      <c r="K72" s="75">
        <f>SUM(K73:K75)</f>
        <v>758063.3</v>
      </c>
      <c r="L72" s="58">
        <f t="shared" si="59"/>
        <v>81.02291763104924</v>
      </c>
      <c r="M72" s="58">
        <f t="shared" si="51"/>
        <v>2821288</v>
      </c>
      <c r="N72" s="58">
        <f t="shared" si="52"/>
        <v>2018303.4000000001</v>
      </c>
      <c r="O72" s="58">
        <f t="shared" si="7"/>
        <v>71.53836829136196</v>
      </c>
      <c r="P72" s="75">
        <f aca="true" t="shared" si="84" ref="P72:W72">SUM(P73:P75)</f>
        <v>524810.9</v>
      </c>
      <c r="Q72" s="75">
        <f t="shared" si="84"/>
        <v>694525</v>
      </c>
      <c r="R72" s="75" t="e">
        <f t="shared" si="84"/>
        <v>#DIV/0!</v>
      </c>
      <c r="S72" s="75">
        <f t="shared" si="84"/>
        <v>96307.1</v>
      </c>
      <c r="T72" s="75">
        <f t="shared" si="84"/>
        <v>422431.3</v>
      </c>
      <c r="U72" s="75" t="e">
        <f t="shared" si="84"/>
        <v>#DIV/0!</v>
      </c>
      <c r="V72" s="75">
        <f t="shared" si="84"/>
        <v>62136.6</v>
      </c>
      <c r="W72" s="75">
        <f t="shared" si="84"/>
        <v>245958.6</v>
      </c>
      <c r="X72" s="58">
        <f t="shared" si="61"/>
        <v>395.8353047962071</v>
      </c>
      <c r="Y72" s="58">
        <f t="shared" si="53"/>
        <v>683254.6</v>
      </c>
      <c r="Z72" s="58">
        <f t="shared" si="54"/>
        <v>1362914.9000000001</v>
      </c>
      <c r="AA72" s="58">
        <f t="shared" si="67"/>
        <v>199.47394426616376</v>
      </c>
      <c r="AB72" s="75">
        <f>SUM(AB73:AB75)</f>
        <v>68865.8</v>
      </c>
      <c r="AC72" s="75">
        <f>SUM(AC73:AC75)</f>
        <v>239251.2</v>
      </c>
      <c r="AD72" s="58">
        <f>AC72/AB72*100</f>
        <v>347.41656961801067</v>
      </c>
      <c r="AE72" s="75">
        <f>SUM(AE73:AE75)</f>
        <v>75722</v>
      </c>
      <c r="AF72" s="75">
        <f>SUM(AF73:AF75)</f>
        <v>224320.8</v>
      </c>
      <c r="AG72" s="58">
        <f>AF72/AE72*100</f>
        <v>296.24257151158184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144587.8</v>
      </c>
      <c r="AL72" s="58">
        <f t="shared" si="85"/>
        <v>463572</v>
      </c>
      <c r="AM72" s="58">
        <f t="shared" si="62"/>
        <v>320.61626222959336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3649130.4</v>
      </c>
      <c r="AU72" s="57">
        <f t="shared" si="23"/>
        <v>3844790.3000000003</v>
      </c>
      <c r="AV72" s="58">
        <f t="shared" si="17"/>
        <v>105.36182264136136</v>
      </c>
      <c r="AW72" s="79">
        <f>SUM(AW73:AW75)</f>
        <v>-195659.9</v>
      </c>
      <c r="AX72" s="79">
        <f>SUM(AX73:AX75)</f>
        <v>3471512.2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>
        <f>515505+4164</f>
        <v>519669</v>
      </c>
      <c r="Q73" s="61">
        <f>678682+5247</f>
        <v>683929</v>
      </c>
      <c r="R73" s="58">
        <f>Q73/P73*100</f>
        <v>131.60858161637503</v>
      </c>
      <c r="S73" s="61">
        <f>93637+630</f>
        <v>94267</v>
      </c>
      <c r="T73" s="61">
        <f>416857+50</f>
        <v>416907</v>
      </c>
      <c r="U73" s="58">
        <f>T73/S73*100</f>
        <v>442.2618731899816</v>
      </c>
      <c r="V73" s="61">
        <f>59434+379</f>
        <v>59813</v>
      </c>
      <c r="W73" s="61">
        <f>241961+476</f>
        <v>242437</v>
      </c>
      <c r="X73" s="58">
        <f>W73/V73*100</f>
        <v>405.3249293631819</v>
      </c>
      <c r="Y73" s="62">
        <f t="shared" si="53"/>
        <v>673749</v>
      </c>
      <c r="Z73" s="62">
        <f t="shared" si="54"/>
        <v>1343273</v>
      </c>
      <c r="AA73" s="58">
        <f t="shared" si="67"/>
        <v>199.37291187074118</v>
      </c>
      <c r="AB73" s="61">
        <f>67985+409</f>
        <v>68394</v>
      </c>
      <c r="AC73" s="61">
        <f>236210+2</f>
        <v>236212</v>
      </c>
      <c r="AD73" s="58"/>
      <c r="AE73" s="61">
        <f>73492+430</f>
        <v>73922</v>
      </c>
      <c r="AF73" s="61">
        <f>207218+14993</f>
        <v>222211</v>
      </c>
      <c r="AG73" s="58"/>
      <c r="AH73" s="61"/>
      <c r="AI73" s="61"/>
      <c r="AJ73" s="58"/>
      <c r="AK73" s="62">
        <f t="shared" si="85"/>
        <v>142316</v>
      </c>
      <c r="AL73" s="62">
        <f t="shared" si="85"/>
        <v>458423</v>
      </c>
      <c r="AM73" s="58">
        <f t="shared" si="62"/>
        <v>322.11627645521236</v>
      </c>
      <c r="AN73" s="61"/>
      <c r="AO73" s="61"/>
      <c r="AP73" s="61"/>
      <c r="AQ73" s="61"/>
      <c r="AR73" s="61"/>
      <c r="AS73" s="61"/>
      <c r="AT73" s="94">
        <f t="shared" si="22"/>
        <v>3594651</v>
      </c>
      <c r="AU73" s="94">
        <f t="shared" si="23"/>
        <v>3785131</v>
      </c>
      <c r="AV73" s="58">
        <f t="shared" si="17"/>
        <v>105.29898451894218</v>
      </c>
      <c r="AW73" s="62">
        <f>AT73-AU73</f>
        <v>-190480</v>
      </c>
      <c r="AX73" s="63">
        <f>C73+AT73-AU73</f>
        <v>3450640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26052.1</v>
      </c>
      <c r="D75" s="61">
        <v>16133.2</v>
      </c>
      <c r="E75" s="61">
        <v>10232.7</v>
      </c>
      <c r="F75" s="59">
        <f>E75/D75*100</f>
        <v>63.42635063099695</v>
      </c>
      <c r="G75" s="61">
        <v>14527.9</v>
      </c>
      <c r="H75" s="61">
        <v>12020.4</v>
      </c>
      <c r="I75" s="59">
        <f>H75/G75*100</f>
        <v>82.7401069665953</v>
      </c>
      <c r="J75" s="61">
        <v>12040.9</v>
      </c>
      <c r="K75" s="61">
        <v>12615.3</v>
      </c>
      <c r="L75" s="58">
        <f t="shared" si="59"/>
        <v>104.7704075276765</v>
      </c>
      <c r="M75" s="62">
        <f t="shared" si="51"/>
        <v>42702</v>
      </c>
      <c r="N75" s="62">
        <f t="shared" si="52"/>
        <v>34868.399999999994</v>
      </c>
      <c r="O75" s="58">
        <f t="shared" si="7"/>
        <v>81.65519179429533</v>
      </c>
      <c r="P75" s="61">
        <v>5141.9</v>
      </c>
      <c r="Q75" s="61">
        <v>10596</v>
      </c>
      <c r="R75" s="58">
        <f>Q75/P75*100</f>
        <v>206.07168556370215</v>
      </c>
      <c r="S75" s="61">
        <v>2040.1</v>
      </c>
      <c r="T75" s="61">
        <v>5524.3</v>
      </c>
      <c r="U75" s="58">
        <f>T75/S75*100</f>
        <v>270.7857457967747</v>
      </c>
      <c r="V75" s="61">
        <v>2323.6</v>
      </c>
      <c r="W75" s="61">
        <v>3521.6</v>
      </c>
      <c r="X75" s="58">
        <f>W75/V75*100</f>
        <v>151.5579273541057</v>
      </c>
      <c r="Y75" s="62">
        <f t="shared" si="53"/>
        <v>9505.6</v>
      </c>
      <c r="Z75" s="62">
        <f t="shared" si="54"/>
        <v>19641.899999999998</v>
      </c>
      <c r="AA75" s="58">
        <f t="shared" si="67"/>
        <v>206.63503618919373</v>
      </c>
      <c r="AB75" s="61">
        <v>471.8</v>
      </c>
      <c r="AC75" s="61">
        <v>3039.2</v>
      </c>
      <c r="AD75" s="58"/>
      <c r="AE75" s="61">
        <v>1800</v>
      </c>
      <c r="AF75" s="61">
        <v>2109.8</v>
      </c>
      <c r="AG75" s="58"/>
      <c r="AH75" s="61"/>
      <c r="AI75" s="61"/>
      <c r="AJ75" s="58"/>
      <c r="AK75" s="62">
        <f t="shared" si="85"/>
        <v>2271.8</v>
      </c>
      <c r="AL75" s="62">
        <f t="shared" si="85"/>
        <v>5149</v>
      </c>
      <c r="AM75" s="58">
        <f t="shared" si="62"/>
        <v>226.64847257681134</v>
      </c>
      <c r="AN75" s="61"/>
      <c r="AO75" s="61"/>
      <c r="AP75" s="61"/>
      <c r="AQ75" s="61"/>
      <c r="AR75" s="61"/>
      <c r="AS75" s="61"/>
      <c r="AT75" s="94">
        <f t="shared" si="22"/>
        <v>54479.4</v>
      </c>
      <c r="AU75" s="94">
        <f t="shared" si="23"/>
        <v>59659.29999999999</v>
      </c>
      <c r="AV75" s="58">
        <f t="shared" si="17"/>
        <v>109.50799751832801</v>
      </c>
      <c r="AW75" s="62">
        <f>AT75-AU75</f>
        <v>-5179.899999999987</v>
      </c>
      <c r="AX75" s="63">
        <f>C75+AT75-AU75</f>
        <v>20872.20000000001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4131477.6999999997</v>
      </c>
      <c r="D76" s="79">
        <f>D72+D7</f>
        <v>1169473.2</v>
      </c>
      <c r="E76" s="79">
        <f>E72+E7</f>
        <v>717390.5</v>
      </c>
      <c r="F76" s="59">
        <f>E76/D76*100</f>
        <v>61.34304745076672</v>
      </c>
      <c r="G76" s="79">
        <f>G72+G7</f>
        <v>1032759.3999999999</v>
      </c>
      <c r="H76" s="79">
        <f>H72+H7</f>
        <v>777801.3</v>
      </c>
      <c r="I76" s="59">
        <f>H76/G76*100</f>
        <v>75.31292380393731</v>
      </c>
      <c r="J76" s="79">
        <f>J72+J7</f>
        <v>1068731.9</v>
      </c>
      <c r="K76" s="79">
        <f>K72+K7</f>
        <v>884671.3</v>
      </c>
      <c r="L76" s="58">
        <f t="shared" si="59"/>
        <v>82.77766388371116</v>
      </c>
      <c r="M76" s="79">
        <f>M72+M7</f>
        <v>3270964.5</v>
      </c>
      <c r="N76" s="79">
        <f>N72+N7</f>
        <v>2379863.1</v>
      </c>
      <c r="O76" s="58">
        <f t="shared" si="7"/>
        <v>72.75722802861358</v>
      </c>
      <c r="P76" s="79">
        <f>P72+P7</f>
        <v>560066.6000000001</v>
      </c>
      <c r="Q76" s="79">
        <f>Q72+Q7</f>
        <v>798614.7000000001</v>
      </c>
      <c r="R76" s="58">
        <f>Q76/P76*100</f>
        <v>142.59280949801325</v>
      </c>
      <c r="S76" s="79">
        <f>S72+S7</f>
        <v>98426.3</v>
      </c>
      <c r="T76" s="79">
        <f>T72+T7</f>
        <v>466839.1</v>
      </c>
      <c r="U76" s="58">
        <f>T76/S76*100</f>
        <v>474.30320960962666</v>
      </c>
      <c r="V76" s="79">
        <f>V72+V7</f>
        <v>64341.299999999996</v>
      </c>
      <c r="W76" s="79">
        <f>W72+W7</f>
        <v>267862.1</v>
      </c>
      <c r="X76" s="58">
        <f>W76/V76*100</f>
        <v>416.31440458927625</v>
      </c>
      <c r="Y76" s="79">
        <f>Y72+Y7</f>
        <v>722834.2</v>
      </c>
      <c r="Z76" s="79">
        <f>Z72+Z7</f>
        <v>1533315.9000000001</v>
      </c>
      <c r="AA76" s="58">
        <f t="shared" si="67"/>
        <v>212.12553307521978</v>
      </c>
      <c r="AB76" s="79">
        <f>AB72+AB7</f>
        <v>71093.40000000001</v>
      </c>
      <c r="AC76" s="79">
        <f>AC72+AC7</f>
        <v>259423.1</v>
      </c>
      <c r="AD76" s="58">
        <f>AC76/AB76*100</f>
        <v>364.90461843152804</v>
      </c>
      <c r="AE76" s="79">
        <f>AE72+AE7</f>
        <v>78008.6</v>
      </c>
      <c r="AF76" s="79">
        <f>AF72+AF7</f>
        <v>241481.4</v>
      </c>
      <c r="AG76" s="58">
        <f>AF76/AE76*100</f>
        <v>309.5574077729891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149102</v>
      </c>
      <c r="AL76" s="79">
        <f>AL72+AL7</f>
        <v>500904.5</v>
      </c>
      <c r="AM76" s="58">
        <f t="shared" si="62"/>
        <v>335.94753926842026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4142900.7</v>
      </c>
      <c r="AU76" s="57">
        <f t="shared" si="23"/>
        <v>4414083.5</v>
      </c>
      <c r="AV76" s="58">
        <f>AU76/AT76*100</f>
        <v>106.54572290376161</v>
      </c>
      <c r="AW76" s="79">
        <f>AW72+AW7</f>
        <v>-271182.79999999993</v>
      </c>
      <c r="AX76" s="79">
        <f>AX72+AX7</f>
        <v>3860294.9000000004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J5:L5"/>
    <mergeCell ref="G5:I5"/>
    <mergeCell ref="AE5:AG5"/>
    <mergeCell ref="V5:X5"/>
    <mergeCell ref="AK5:AM5"/>
    <mergeCell ref="AN5:AO5"/>
    <mergeCell ref="B2:AX3"/>
    <mergeCell ref="AH5:AJ5"/>
    <mergeCell ref="D5:F5"/>
    <mergeCell ref="AP5:AQ5"/>
    <mergeCell ref="AR5:AS5"/>
    <mergeCell ref="AB5:AD5"/>
    <mergeCell ref="B4:F4"/>
    <mergeCell ref="I1:AX1"/>
    <mergeCell ref="AT5:AV5"/>
    <mergeCell ref="M5:O5"/>
    <mergeCell ref="S5:U5"/>
    <mergeCell ref="P5:R5"/>
    <mergeCell ref="Y5:AA5"/>
    <mergeCell ref="AX5:AX6"/>
    <mergeCell ref="AW5:AW6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M7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179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0.2</v>
      </c>
      <c r="Q7" s="58">
        <f t="shared" si="0"/>
        <v>2</v>
      </c>
      <c r="R7" s="56">
        <f>Q7/P7*100</f>
        <v>1000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0.2</v>
      </c>
      <c r="Z7" s="58">
        <f t="shared" si="0"/>
        <v>2</v>
      </c>
      <c r="AA7" s="56">
        <f>Z7/Y7*100</f>
        <v>1000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7.3999999999999995</v>
      </c>
      <c r="AU7" s="57">
        <f t="shared" si="1"/>
        <v>3.5</v>
      </c>
      <c r="AV7" s="56">
        <f>AU7/AT7*100</f>
        <v>47.297297297297305</v>
      </c>
      <c r="AW7" s="58">
        <f t="shared" si="0"/>
        <v>3.899999999999999</v>
      </c>
      <c r="AX7" s="58">
        <f t="shared" si="0"/>
        <v>55.59999999999999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>
        <v>0.2</v>
      </c>
      <c r="Q57" s="61">
        <v>2</v>
      </c>
      <c r="R57" s="58">
        <f t="shared" si="19"/>
        <v>1000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0.2</v>
      </c>
      <c r="Z57" s="62">
        <f t="shared" si="44"/>
        <v>2</v>
      </c>
      <c r="AA57" s="58">
        <f t="shared" si="12"/>
        <v>1000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7.3999999999999995</v>
      </c>
      <c r="AU57" s="94">
        <f t="shared" si="23"/>
        <v>3.5</v>
      </c>
      <c r="AV57" s="58">
        <f t="shared" si="17"/>
        <v>47.297297297297305</v>
      </c>
      <c r="AW57" s="62">
        <f t="shared" si="22"/>
        <v>3.8999999999999995</v>
      </c>
      <c r="AX57" s="63">
        <f t="shared" si="45"/>
        <v>22.5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0.2</v>
      </c>
      <c r="Q76" s="79">
        <f>Q72+Q7</f>
        <v>2</v>
      </c>
      <c r="R76" s="58">
        <f t="shared" si="19"/>
        <v>1000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0.2</v>
      </c>
      <c r="Z76" s="79">
        <f>Z72+Z7</f>
        <v>2</v>
      </c>
      <c r="AA76" s="58">
        <f>Z76/Y76*100</f>
        <v>1000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6.3999999999999995</v>
      </c>
      <c r="AU76" s="57">
        <f t="shared" si="23"/>
        <v>2.5</v>
      </c>
      <c r="AV76" s="58">
        <f>AU76/AT76*100</f>
        <v>39.06250000000001</v>
      </c>
      <c r="AW76" s="79">
        <f>AW72+AW7</f>
        <v>3.899999999999999</v>
      </c>
      <c r="AX76" s="79">
        <f>AX72+AX7</f>
        <v>485.59999999999997</v>
      </c>
      <c r="AY76" s="33">
        <f>C76+AT76-AU76</f>
        <v>485.59999999999997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6" t="s">
        <v>46</v>
      </c>
      <c r="B77" s="16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AT5:AV5"/>
    <mergeCell ref="AX5:AX6"/>
    <mergeCell ref="S5:U5"/>
    <mergeCell ref="P5:R5"/>
    <mergeCell ref="V5:X5"/>
    <mergeCell ref="A77:B77"/>
    <mergeCell ref="B2:AX3"/>
    <mergeCell ref="AH5:AJ5"/>
    <mergeCell ref="AK5:AM5"/>
    <mergeCell ref="AN5:AO5"/>
    <mergeCell ref="AP5:AQ5"/>
    <mergeCell ref="J5:L5"/>
    <mergeCell ref="AR5:AS5"/>
    <mergeCell ref="Y5:AA5"/>
    <mergeCell ref="D5:F5"/>
    <mergeCell ref="M5:O5"/>
    <mergeCell ref="AE5:AG5"/>
    <mergeCell ref="AB5:AD5"/>
    <mergeCell ref="AW5:AW6"/>
    <mergeCell ref="B4:F4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P34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1:IV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178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I1:AX1"/>
    <mergeCell ref="AT5:AV5"/>
    <mergeCell ref="M5:O5"/>
    <mergeCell ref="Y5:AA5"/>
    <mergeCell ref="J5:L5"/>
    <mergeCell ref="B2:AX3"/>
    <mergeCell ref="V5:X5"/>
    <mergeCell ref="AN5:AO5"/>
    <mergeCell ref="S5:U5"/>
    <mergeCell ref="G5:I5"/>
    <mergeCell ref="AP5:AQ5"/>
    <mergeCell ref="B4:F4"/>
    <mergeCell ref="AE5:AG5"/>
    <mergeCell ref="AB5:AD5"/>
    <mergeCell ref="P5:R5"/>
    <mergeCell ref="AH5:AJ5"/>
    <mergeCell ref="AX5:AX6"/>
    <mergeCell ref="AR5:AS5"/>
    <mergeCell ref="AW5:AW6"/>
    <mergeCell ref="D5:F5"/>
    <mergeCell ref="AK5:AM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K42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B4" sqref="AB1:AC16384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5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177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7934.500000000001</v>
      </c>
      <c r="H7" s="58">
        <f t="shared" si="0"/>
        <v>2858.8</v>
      </c>
      <c r="I7" s="56">
        <f>H7/G7*100</f>
        <v>36.029995588883985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21671.499999999985</v>
      </c>
      <c r="N7" s="58">
        <f t="shared" si="0"/>
        <v>9852.200000000006</v>
      </c>
      <c r="O7" s="56">
        <f>N7/M7*100</f>
        <v>45.46155088480268</v>
      </c>
      <c r="P7" s="58">
        <f t="shared" si="0"/>
        <v>1423.8000000000002</v>
      </c>
      <c r="Q7" s="58">
        <f t="shared" si="0"/>
        <v>6445.399999999996</v>
      </c>
      <c r="R7" s="56">
        <f>Q7/P7*100</f>
        <v>452.68998454839135</v>
      </c>
      <c r="S7" s="58">
        <f t="shared" si="0"/>
        <v>76.1</v>
      </c>
      <c r="T7" s="58">
        <f t="shared" si="0"/>
        <v>2140.5999999999995</v>
      </c>
      <c r="U7" s="56">
        <f>T7/S7*100</f>
        <v>2812.877792378449</v>
      </c>
      <c r="V7" s="58">
        <f t="shared" si="0"/>
        <v>68</v>
      </c>
      <c r="W7" s="58">
        <f t="shared" si="0"/>
        <v>1846.9</v>
      </c>
      <c r="X7" s="56">
        <f>W7/V7*100</f>
        <v>2716.029411764706</v>
      </c>
      <c r="Y7" s="58">
        <f t="shared" si="0"/>
        <v>1567.9000000000005</v>
      </c>
      <c r="Z7" s="58">
        <f t="shared" si="0"/>
        <v>10432.899999999996</v>
      </c>
      <c r="AA7" s="56">
        <f>Z7/Y7*100</f>
        <v>665.4059570125642</v>
      </c>
      <c r="AB7" s="58">
        <f t="shared" si="0"/>
        <v>73.8</v>
      </c>
      <c r="AC7" s="58">
        <f t="shared" si="0"/>
        <v>342.3000000000002</v>
      </c>
      <c r="AD7" s="56">
        <f>AC7/AB7*100</f>
        <v>463.82113821138245</v>
      </c>
      <c r="AE7" s="58">
        <f t="shared" si="0"/>
        <v>70.9</v>
      </c>
      <c r="AF7" s="58">
        <f t="shared" si="0"/>
        <v>753.5000000000001</v>
      </c>
      <c r="AG7" s="56">
        <f>AF7/AE7*100</f>
        <v>1062.7644569816644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144.7</v>
      </c>
      <c r="AL7" s="58">
        <f t="shared" si="0"/>
        <v>1095.8000000000002</v>
      </c>
      <c r="AM7" s="56">
        <f>AL7/AK7*100</f>
        <v>757.2909467864549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23384.099999999988</v>
      </c>
      <c r="AU7" s="57">
        <f t="shared" si="1"/>
        <v>21380.9</v>
      </c>
      <c r="AV7" s="56">
        <f>AU7/AT7*100</f>
        <v>91.43349540927387</v>
      </c>
      <c r="AW7" s="58">
        <f t="shared" si="0"/>
        <v>2003.2000000000012</v>
      </c>
      <c r="AX7" s="58">
        <f t="shared" si="0"/>
        <v>224.30000000000018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124.30000000000001</v>
      </c>
      <c r="Q8" s="75">
        <f t="shared" si="8"/>
        <v>566.1999999999999</v>
      </c>
      <c r="R8" s="75" t="e">
        <f t="shared" si="8"/>
        <v>#DIV/0!</v>
      </c>
      <c r="S8" s="75">
        <f t="shared" si="8"/>
        <v>0</v>
      </c>
      <c r="T8" s="75">
        <f t="shared" si="8"/>
        <v>211.3</v>
      </c>
      <c r="U8" s="75" t="e">
        <f t="shared" si="8"/>
        <v>#DIV/0!</v>
      </c>
      <c r="V8" s="75">
        <f t="shared" si="8"/>
        <v>0</v>
      </c>
      <c r="W8" s="75">
        <f t="shared" si="8"/>
        <v>332.2</v>
      </c>
      <c r="X8" s="58" t="e">
        <f aca="true" t="shared" si="9" ref="X8:X24">W8/V8*100</f>
        <v>#DIV/0!</v>
      </c>
      <c r="Y8" s="58">
        <f aca="true" t="shared" si="10" ref="Y8:Y39">P8+S8+V8</f>
        <v>124.30000000000001</v>
      </c>
      <c r="Z8" s="58">
        <f aca="true" t="shared" si="11" ref="Z8:Z39">Q8+T8+W8</f>
        <v>1109.7</v>
      </c>
      <c r="AA8" s="58">
        <f aca="true" t="shared" si="12" ref="AA8:AA73">Z8/Y8*100</f>
        <v>892.7594529364442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57.9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57.9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2091</v>
      </c>
      <c r="AU8" s="57">
        <f t="shared" si="1"/>
        <v>1984.8000000000002</v>
      </c>
      <c r="AV8" s="58">
        <f aca="true" t="shared" si="17" ref="AV8:AV75">AU8/AT8*100</f>
        <v>94.92109038737448</v>
      </c>
      <c r="AW8" s="58">
        <f>AT8-AU8</f>
        <v>106.19999999999982</v>
      </c>
      <c r="AX8" s="79">
        <f aca="true" t="shared" si="18" ref="AX8:AX39">C8+AT8-AU8</f>
        <v>-4.000000000000227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>
        <f>64.5</f>
        <v>64.5</v>
      </c>
      <c r="Q9" s="91">
        <f>202.2+231.2</f>
        <v>433.4</v>
      </c>
      <c r="R9" s="56">
        <f aca="true" t="shared" si="19" ref="R9:R76">Q9/P9*100</f>
        <v>671.9379844961239</v>
      </c>
      <c r="S9" s="91"/>
      <c r="T9" s="91">
        <v>211.3</v>
      </c>
      <c r="U9" s="56" t="e">
        <f aca="true" t="shared" si="20" ref="U9:U76">T9/S9*100</f>
        <v>#DIV/0!</v>
      </c>
      <c r="V9" s="91"/>
      <c r="W9" s="91">
        <v>11</v>
      </c>
      <c r="X9" s="56" t="e">
        <f t="shared" si="9"/>
        <v>#DIV/0!</v>
      </c>
      <c r="Y9" s="93">
        <f t="shared" si="10"/>
        <v>64.5</v>
      </c>
      <c r="Z9" s="93">
        <f t="shared" si="11"/>
        <v>655.7</v>
      </c>
      <c r="AA9" s="56">
        <f t="shared" si="12"/>
        <v>1016.5891472868218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803.8</v>
      </c>
      <c r="AU9" s="94">
        <f t="shared" si="1"/>
        <v>772.7</v>
      </c>
      <c r="AV9" s="56">
        <f t="shared" si="17"/>
        <v>96.13087832794228</v>
      </c>
      <c r="AW9" s="93">
        <f aca="true" t="shared" si="22" ref="AW9:AW75">AT9-AU9</f>
        <v>31.09999999999991</v>
      </c>
      <c r="AX9" s="95">
        <f t="shared" si="18"/>
        <v>-2.900000000000091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>
        <v>21.7</v>
      </c>
      <c r="Q10" s="65">
        <v>85.8</v>
      </c>
      <c r="R10" s="58">
        <f t="shared" si="19"/>
        <v>395.39170506912444</v>
      </c>
      <c r="S10" s="61"/>
      <c r="T10" s="61"/>
      <c r="U10" s="64" t="e">
        <f t="shared" si="20"/>
        <v>#DIV/0!</v>
      </c>
      <c r="V10" s="61"/>
      <c r="W10" s="61">
        <v>21.7</v>
      </c>
      <c r="X10" s="64" t="e">
        <f t="shared" si="9"/>
        <v>#DIV/0!</v>
      </c>
      <c r="Y10" s="62">
        <f t="shared" si="10"/>
        <v>21.7</v>
      </c>
      <c r="Z10" s="62">
        <f t="shared" si="11"/>
        <v>107.5</v>
      </c>
      <c r="AA10" s="58">
        <f t="shared" si="12"/>
        <v>495.39170506912444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429.8</v>
      </c>
      <c r="AU10" s="94">
        <f t="shared" si="23"/>
        <v>353.6</v>
      </c>
      <c r="AV10" s="58">
        <f>AU10/AT10*100</f>
        <v>82.27082363890182</v>
      </c>
      <c r="AW10" s="62">
        <f>AT10-AU10</f>
        <v>76.19999999999999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>
        <v>38.1</v>
      </c>
      <c r="Q13" s="61">
        <v>47</v>
      </c>
      <c r="R13" s="58">
        <f t="shared" si="19"/>
        <v>123.35958005249343</v>
      </c>
      <c r="S13" s="61"/>
      <c r="T13" s="61"/>
      <c r="U13" s="58" t="e">
        <f t="shared" si="20"/>
        <v>#DIV/0!</v>
      </c>
      <c r="V13" s="61"/>
      <c r="W13" s="61">
        <v>299.5</v>
      </c>
      <c r="X13" s="58" t="e">
        <f t="shared" si="9"/>
        <v>#DIV/0!</v>
      </c>
      <c r="Y13" s="62">
        <f t="shared" si="10"/>
        <v>38.1</v>
      </c>
      <c r="Z13" s="62">
        <f t="shared" si="11"/>
        <v>346.5</v>
      </c>
      <c r="AA13" s="58">
        <f t="shared" si="12"/>
        <v>909.4488188976378</v>
      </c>
      <c r="AB13" s="61"/>
      <c r="AC13" s="61"/>
      <c r="AD13" s="58"/>
      <c r="AE13" s="61"/>
      <c r="AF13" s="61">
        <v>57.9</v>
      </c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57.9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857.4</v>
      </c>
      <c r="AU13" s="94">
        <f t="shared" si="23"/>
        <v>858.5</v>
      </c>
      <c r="AV13" s="58">
        <f t="shared" si="17"/>
        <v>100.12829484487986</v>
      </c>
      <c r="AW13" s="62">
        <f t="shared" si="22"/>
        <v>-1.1000000000000227</v>
      </c>
      <c r="AX13" s="63">
        <f t="shared" si="18"/>
        <v>-1.1000000000000227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267.6</v>
      </c>
      <c r="Q14" s="75">
        <f t="shared" si="24"/>
        <v>664.5</v>
      </c>
      <c r="R14" s="75" t="e">
        <f t="shared" si="24"/>
        <v>#DIV/0!</v>
      </c>
      <c r="S14" s="75">
        <f t="shared" si="24"/>
        <v>68</v>
      </c>
      <c r="T14" s="75">
        <f t="shared" si="24"/>
        <v>263.3</v>
      </c>
      <c r="U14" s="75" t="e">
        <f t="shared" si="24"/>
        <v>#DIV/0!</v>
      </c>
      <c r="V14" s="75">
        <f t="shared" si="24"/>
        <v>68</v>
      </c>
      <c r="W14" s="75">
        <f t="shared" si="24"/>
        <v>682.9</v>
      </c>
      <c r="X14" s="58">
        <f t="shared" si="9"/>
        <v>1004.2647058823529</v>
      </c>
      <c r="Y14" s="58">
        <f t="shared" si="10"/>
        <v>403.6</v>
      </c>
      <c r="Z14" s="58">
        <f t="shared" si="11"/>
        <v>1610.6999999999998</v>
      </c>
      <c r="AA14" s="58">
        <f t="shared" si="12"/>
        <v>399.08325074331015</v>
      </c>
      <c r="AB14" s="75">
        <f aca="true" t="shared" si="25" ref="AB14:AI14">SUM(AB15:AB22)</f>
        <v>73.8</v>
      </c>
      <c r="AC14" s="75">
        <f t="shared" si="25"/>
        <v>113.8</v>
      </c>
      <c r="AD14" s="75">
        <f t="shared" si="25"/>
        <v>0</v>
      </c>
      <c r="AE14" s="75">
        <f t="shared" si="25"/>
        <v>70.9</v>
      </c>
      <c r="AF14" s="75">
        <f t="shared" si="25"/>
        <v>231.7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144.7</v>
      </c>
      <c r="AL14" s="58">
        <f t="shared" si="21"/>
        <v>345.5</v>
      </c>
      <c r="AM14" s="58">
        <f t="shared" si="15"/>
        <v>238.76986869384936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4205.2</v>
      </c>
      <c r="AU14" s="57">
        <f t="shared" si="23"/>
        <v>3828.7</v>
      </c>
      <c r="AV14" s="58">
        <f t="shared" si="17"/>
        <v>91.04679920098924</v>
      </c>
      <c r="AW14" s="58">
        <f t="shared" si="22"/>
        <v>376.5</v>
      </c>
      <c r="AX14" s="79">
        <f t="shared" si="18"/>
        <v>61.69999999999982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>
        <v>58.4</v>
      </c>
      <c r="Q15" s="61">
        <v>167.8</v>
      </c>
      <c r="R15" s="58">
        <f t="shared" si="19"/>
        <v>287.32876712328766</v>
      </c>
      <c r="S15" s="61"/>
      <c r="T15" s="61">
        <v>91.2</v>
      </c>
      <c r="U15" s="58" t="e">
        <f t="shared" si="20"/>
        <v>#DIV/0!</v>
      </c>
      <c r="V15" s="61"/>
      <c r="W15" s="61">
        <v>169.5</v>
      </c>
      <c r="X15" s="58" t="e">
        <f t="shared" si="9"/>
        <v>#DIV/0!</v>
      </c>
      <c r="Y15" s="62">
        <f t="shared" si="10"/>
        <v>58.4</v>
      </c>
      <c r="Z15" s="62">
        <f t="shared" si="11"/>
        <v>428.5</v>
      </c>
      <c r="AA15" s="58">
        <f t="shared" si="12"/>
        <v>733.7328767123288</v>
      </c>
      <c r="AB15" s="61"/>
      <c r="AC15" s="61"/>
      <c r="AD15" s="58"/>
      <c r="AE15" s="61"/>
      <c r="AF15" s="61">
        <v>37.7</v>
      </c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37.7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952.0000000000001</v>
      </c>
      <c r="AU15" s="94">
        <f t="shared" si="23"/>
        <v>843.5</v>
      </c>
      <c r="AV15" s="58">
        <f t="shared" si="17"/>
        <v>88.60294117647058</v>
      </c>
      <c r="AW15" s="62">
        <f t="shared" si="22"/>
        <v>108.50000000000011</v>
      </c>
      <c r="AX15" s="63">
        <f t="shared" si="18"/>
        <v>-36.299999999999955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>
        <v>48.7</v>
      </c>
      <c r="Q16" s="61">
        <v>221.1</v>
      </c>
      <c r="R16" s="58">
        <f t="shared" si="19"/>
        <v>454.00410677618066</v>
      </c>
      <c r="S16" s="61"/>
      <c r="T16" s="61">
        <v>14.1</v>
      </c>
      <c r="U16" s="58" t="e">
        <f t="shared" si="20"/>
        <v>#DIV/0!</v>
      </c>
      <c r="V16" s="61"/>
      <c r="W16" s="61">
        <v>41.8</v>
      </c>
      <c r="X16" s="58" t="e">
        <f t="shared" si="9"/>
        <v>#DIV/0!</v>
      </c>
      <c r="Y16" s="62">
        <f t="shared" si="10"/>
        <v>48.7</v>
      </c>
      <c r="Z16" s="62">
        <f t="shared" si="11"/>
        <v>277</v>
      </c>
      <c r="AA16" s="58">
        <f t="shared" si="12"/>
        <v>568.788501026694</v>
      </c>
      <c r="AB16" s="61"/>
      <c r="AC16" s="61">
        <v>50.3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50.3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1067.9</v>
      </c>
      <c r="AU16" s="94">
        <f t="shared" si="23"/>
        <v>957.5</v>
      </c>
      <c r="AV16" s="58">
        <f t="shared" si="17"/>
        <v>89.66195336642006</v>
      </c>
      <c r="AW16" s="62">
        <f t="shared" si="22"/>
        <v>110.40000000000009</v>
      </c>
      <c r="AX16" s="63">
        <f t="shared" si="18"/>
        <v>20.90000000000009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>
        <v>38.6</v>
      </c>
      <c r="Q17" s="61">
        <v>105.1</v>
      </c>
      <c r="R17" s="58">
        <f t="shared" si="19"/>
        <v>272.27979274611397</v>
      </c>
      <c r="S17" s="61"/>
      <c r="T17" s="61">
        <v>83.5</v>
      </c>
      <c r="U17" s="58" t="e">
        <f t="shared" si="20"/>
        <v>#DIV/0!</v>
      </c>
      <c r="V17" s="61"/>
      <c r="W17" s="61">
        <v>156.7</v>
      </c>
      <c r="X17" s="58" t="e">
        <f t="shared" si="9"/>
        <v>#DIV/0!</v>
      </c>
      <c r="Y17" s="62">
        <f t="shared" si="10"/>
        <v>38.6</v>
      </c>
      <c r="Z17" s="62">
        <f t="shared" si="11"/>
        <v>345.29999999999995</v>
      </c>
      <c r="AA17" s="58">
        <f t="shared" si="12"/>
        <v>894.5595854922278</v>
      </c>
      <c r="AB17" s="61"/>
      <c r="AC17" s="61">
        <v>0.8</v>
      </c>
      <c r="AD17" s="58"/>
      <c r="AE17" s="61"/>
      <c r="AF17" s="61">
        <v>29.4</v>
      </c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30.2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940.1</v>
      </c>
      <c r="AU17" s="94">
        <f t="shared" si="23"/>
        <v>1017.4</v>
      </c>
      <c r="AV17" s="58">
        <f t="shared" si="17"/>
        <v>108.22252951813635</v>
      </c>
      <c r="AW17" s="62">
        <f t="shared" si="22"/>
        <v>-77.29999999999995</v>
      </c>
      <c r="AX17" s="63">
        <f t="shared" si="18"/>
        <v>-0.1999999999999318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>
        <v>121.9</v>
      </c>
      <c r="Q19" s="61">
        <v>170.5</v>
      </c>
      <c r="R19" s="58">
        <f t="shared" si="19"/>
        <v>139.8687448728466</v>
      </c>
      <c r="S19" s="61">
        <v>68</v>
      </c>
      <c r="T19" s="61">
        <v>74.5</v>
      </c>
      <c r="U19" s="58">
        <f t="shared" si="20"/>
        <v>109.55882352941177</v>
      </c>
      <c r="V19" s="61">
        <v>68</v>
      </c>
      <c r="W19" s="61">
        <v>314.9</v>
      </c>
      <c r="X19" s="66">
        <f t="shared" si="9"/>
        <v>463.0882352941176</v>
      </c>
      <c r="Y19" s="62">
        <f t="shared" si="10"/>
        <v>257.9</v>
      </c>
      <c r="Z19" s="62">
        <f t="shared" si="11"/>
        <v>559.9</v>
      </c>
      <c r="AA19" s="58">
        <f t="shared" si="12"/>
        <v>217.0996510275301</v>
      </c>
      <c r="AB19" s="61">
        <v>73.8</v>
      </c>
      <c r="AC19" s="61">
        <v>62.7</v>
      </c>
      <c r="AD19" s="58"/>
      <c r="AE19" s="61">
        <v>70.9</v>
      </c>
      <c r="AF19" s="61">
        <v>164.6</v>
      </c>
      <c r="AG19" s="58"/>
      <c r="AH19" s="61"/>
      <c r="AI19" s="61"/>
      <c r="AJ19" s="58" t="e">
        <f t="shared" si="14"/>
        <v>#DIV/0!</v>
      </c>
      <c r="AK19" s="62">
        <f t="shared" si="21"/>
        <v>144.7</v>
      </c>
      <c r="AL19" s="62">
        <f t="shared" si="21"/>
        <v>227.3</v>
      </c>
      <c r="AM19" s="58">
        <f t="shared" si="15"/>
        <v>157.08362128541813</v>
      </c>
      <c r="AN19" s="61"/>
      <c r="AO19" s="61"/>
      <c r="AP19" s="61"/>
      <c r="AQ19" s="61"/>
      <c r="AR19" s="61"/>
      <c r="AS19" s="61"/>
      <c r="AT19" s="94">
        <f t="shared" si="23"/>
        <v>1245.2</v>
      </c>
      <c r="AU19" s="94">
        <f t="shared" si="23"/>
        <v>1010.3</v>
      </c>
      <c r="AV19" s="58">
        <f t="shared" si="17"/>
        <v>81.13556055252168</v>
      </c>
      <c r="AW19" s="62">
        <f t="shared" si="22"/>
        <v>234.9000000000001</v>
      </c>
      <c r="AX19" s="63">
        <f t="shared" si="18"/>
        <v>77.30000000000018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80.2</v>
      </c>
      <c r="Q23" s="75">
        <f t="shared" si="27"/>
        <v>624</v>
      </c>
      <c r="R23" s="75" t="e">
        <f t="shared" si="27"/>
        <v>#DIV/0!</v>
      </c>
      <c r="S23" s="75">
        <f t="shared" si="27"/>
        <v>0</v>
      </c>
      <c r="T23" s="75">
        <f t="shared" si="27"/>
        <v>196.8</v>
      </c>
      <c r="U23" s="75" t="e">
        <f t="shared" si="27"/>
        <v>#DIV/0!</v>
      </c>
      <c r="V23" s="75">
        <f t="shared" si="27"/>
        <v>0</v>
      </c>
      <c r="W23" s="75">
        <f t="shared" si="27"/>
        <v>148.7</v>
      </c>
      <c r="X23" s="72" t="e">
        <f t="shared" si="9"/>
        <v>#DIV/0!</v>
      </c>
      <c r="Y23" s="58">
        <f t="shared" si="10"/>
        <v>80.2</v>
      </c>
      <c r="Z23" s="58">
        <f t="shared" si="11"/>
        <v>969.5</v>
      </c>
      <c r="AA23" s="58">
        <f t="shared" si="12"/>
        <v>1208.852867830424</v>
      </c>
      <c r="AB23" s="75">
        <f aca="true" t="shared" si="28" ref="AB23:AI23">SUM(AB24:AB29)</f>
        <v>0</v>
      </c>
      <c r="AC23" s="75">
        <f t="shared" si="28"/>
        <v>3.9</v>
      </c>
      <c r="AD23" s="75">
        <f t="shared" si="28"/>
        <v>0</v>
      </c>
      <c r="AE23" s="75">
        <f t="shared" si="28"/>
        <v>0</v>
      </c>
      <c r="AF23" s="75">
        <f t="shared" si="28"/>
        <v>216.8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220.70000000000002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1659.6000000000001</v>
      </c>
      <c r="AU23" s="57">
        <f t="shared" si="23"/>
        <v>1428.3</v>
      </c>
      <c r="AV23" s="58">
        <f t="shared" si="17"/>
        <v>86.06290672451192</v>
      </c>
      <c r="AW23" s="58">
        <f t="shared" si="22"/>
        <v>231.30000000000018</v>
      </c>
      <c r="AX23" s="79">
        <f t="shared" si="18"/>
        <v>-15.999999999999773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>
        <v>29.8</v>
      </c>
      <c r="Q24" s="61">
        <v>128.2</v>
      </c>
      <c r="R24" s="58">
        <f t="shared" si="19"/>
        <v>430.20134228187914</v>
      </c>
      <c r="S24" s="61"/>
      <c r="T24" s="61">
        <v>97</v>
      </c>
      <c r="U24" s="58" t="e">
        <f t="shared" si="20"/>
        <v>#DIV/0!</v>
      </c>
      <c r="V24" s="61"/>
      <c r="W24" s="61">
        <v>29.8</v>
      </c>
      <c r="X24" s="72" t="e">
        <f t="shared" si="9"/>
        <v>#DIV/0!</v>
      </c>
      <c r="Y24" s="62">
        <f t="shared" si="10"/>
        <v>29.8</v>
      </c>
      <c r="Z24" s="62">
        <f t="shared" si="11"/>
        <v>255</v>
      </c>
      <c r="AA24" s="58">
        <f t="shared" si="12"/>
        <v>855.7046979865772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349.4</v>
      </c>
      <c r="AU24" s="94">
        <f t="shared" si="23"/>
        <v>255</v>
      </c>
      <c r="AV24" s="58">
        <f t="shared" si="17"/>
        <v>72.98225529479107</v>
      </c>
      <c r="AW24" s="62">
        <f t="shared" si="22"/>
        <v>94.39999999999998</v>
      </c>
      <c r="AX24" s="63">
        <f t="shared" si="18"/>
        <v>-0.10000000000002274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>
        <v>0.6</v>
      </c>
      <c r="Q25" s="61">
        <v>17.4</v>
      </c>
      <c r="R25" s="58">
        <f t="shared" si="19"/>
        <v>2900</v>
      </c>
      <c r="S25" s="61"/>
      <c r="T25" s="61"/>
      <c r="U25" s="58" t="e">
        <f t="shared" si="20"/>
        <v>#DIV/0!</v>
      </c>
      <c r="V25" s="61"/>
      <c r="W25" s="61">
        <v>7.2</v>
      </c>
      <c r="X25" s="58" t="e">
        <f>W25/V25*100</f>
        <v>#DIV/0!</v>
      </c>
      <c r="Y25" s="62">
        <f t="shared" si="10"/>
        <v>0.6</v>
      </c>
      <c r="Z25" s="62">
        <f t="shared" si="11"/>
        <v>24.599999999999998</v>
      </c>
      <c r="AA25" s="58">
        <f t="shared" si="12"/>
        <v>4100</v>
      </c>
      <c r="AB25" s="61"/>
      <c r="AC25" s="61">
        <v>3.9</v>
      </c>
      <c r="AD25" s="58"/>
      <c r="AE25" s="61"/>
      <c r="AF25" s="61">
        <v>4.3</v>
      </c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8.2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125.6</v>
      </c>
      <c r="AU25" s="94">
        <f t="shared" si="23"/>
        <v>107.3</v>
      </c>
      <c r="AV25" s="58">
        <f t="shared" si="17"/>
        <v>85.4299363057325</v>
      </c>
      <c r="AW25" s="62">
        <f t="shared" si="22"/>
        <v>18.299999999999997</v>
      </c>
      <c r="AX25" s="63">
        <f t="shared" si="18"/>
        <v>1.0999999999999943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>
        <v>49.8</v>
      </c>
      <c r="Q26" s="61">
        <v>478.4</v>
      </c>
      <c r="R26" s="58">
        <f t="shared" si="19"/>
        <v>960.6425702811246</v>
      </c>
      <c r="S26" s="61"/>
      <c r="T26" s="61">
        <v>99.8</v>
      </c>
      <c r="U26" s="58" t="e">
        <f t="shared" si="20"/>
        <v>#DIV/0!</v>
      </c>
      <c r="V26" s="61"/>
      <c r="W26" s="61">
        <v>111.7</v>
      </c>
      <c r="X26" s="58" t="e">
        <f>W26/V26*100</f>
        <v>#DIV/0!</v>
      </c>
      <c r="Y26" s="62">
        <f t="shared" si="10"/>
        <v>49.8</v>
      </c>
      <c r="Z26" s="62">
        <f t="shared" si="11"/>
        <v>689.9</v>
      </c>
      <c r="AA26" s="58">
        <f t="shared" si="12"/>
        <v>1385.3413654618475</v>
      </c>
      <c r="AB26" s="61"/>
      <c r="AC26" s="61"/>
      <c r="AD26" s="58"/>
      <c r="AE26" s="61"/>
      <c r="AF26" s="61">
        <v>212.5</v>
      </c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212.5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1184.6</v>
      </c>
      <c r="AU26" s="94">
        <f t="shared" si="23"/>
        <v>1066</v>
      </c>
      <c r="AV26" s="58">
        <f t="shared" si="17"/>
        <v>89.98818166469695</v>
      </c>
      <c r="AW26" s="62">
        <f t="shared" si="22"/>
        <v>118.59999999999991</v>
      </c>
      <c r="AX26" s="63">
        <f t="shared" si="18"/>
        <v>-17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103.4</v>
      </c>
      <c r="Q30" s="108">
        <f t="shared" si="32"/>
        <v>824.6999999999999</v>
      </c>
      <c r="R30" s="108" t="e">
        <f t="shared" si="32"/>
        <v>#DIV/0!</v>
      </c>
      <c r="S30" s="108">
        <f t="shared" si="32"/>
        <v>8.1</v>
      </c>
      <c r="T30" s="108">
        <f t="shared" si="32"/>
        <v>441.1</v>
      </c>
      <c r="U30" s="108" t="e">
        <f t="shared" si="32"/>
        <v>#DIV/0!</v>
      </c>
      <c r="V30" s="108">
        <f t="shared" si="32"/>
        <v>0</v>
      </c>
      <c r="W30" s="108">
        <f t="shared" si="32"/>
        <v>108.6</v>
      </c>
      <c r="X30" s="56" t="e">
        <f t="shared" si="31"/>
        <v>#DIV/0!</v>
      </c>
      <c r="Y30" s="56">
        <f t="shared" si="10"/>
        <v>111.5</v>
      </c>
      <c r="Z30" s="56">
        <f t="shared" si="11"/>
        <v>1374.3999999999999</v>
      </c>
      <c r="AA30" s="56">
        <f t="shared" si="12"/>
        <v>1232.6457399103138</v>
      </c>
      <c r="AB30" s="108">
        <f aca="true" t="shared" si="33" ref="AB30:AI30">SUM(AB31:AB38)</f>
        <v>0</v>
      </c>
      <c r="AC30" s="108">
        <f t="shared" si="33"/>
        <v>6.1</v>
      </c>
      <c r="AD30" s="108">
        <f t="shared" si="33"/>
        <v>0</v>
      </c>
      <c r="AE30" s="108">
        <f t="shared" si="33"/>
        <v>0</v>
      </c>
      <c r="AF30" s="108">
        <f t="shared" si="33"/>
        <v>14.8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20.9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2490.4</v>
      </c>
      <c r="AU30" s="57">
        <f t="shared" si="23"/>
        <v>2213.9</v>
      </c>
      <c r="AV30" s="56">
        <f t="shared" si="17"/>
        <v>88.8973658849984</v>
      </c>
      <c r="AW30" s="56">
        <f>AT30-AU30</f>
        <v>276.5</v>
      </c>
      <c r="AX30" s="55">
        <f t="shared" si="18"/>
        <v>-51.09999999999991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>
        <v>26.8</v>
      </c>
      <c r="Q31" s="65">
        <v>115.4</v>
      </c>
      <c r="R31" s="58">
        <f t="shared" si="19"/>
        <v>430.5970149253732</v>
      </c>
      <c r="S31" s="61">
        <v>8.1</v>
      </c>
      <c r="T31" s="61">
        <v>63.2</v>
      </c>
      <c r="U31" s="64">
        <f t="shared" si="20"/>
        <v>780.246913580247</v>
      </c>
      <c r="V31" s="61"/>
      <c r="W31" s="61">
        <v>21.9</v>
      </c>
      <c r="X31" s="64" t="e">
        <f t="shared" si="31"/>
        <v>#DIV/0!</v>
      </c>
      <c r="Y31" s="62">
        <f t="shared" si="10"/>
        <v>34.9</v>
      </c>
      <c r="Z31" s="62">
        <f t="shared" si="11"/>
        <v>200.50000000000003</v>
      </c>
      <c r="AA31" s="58">
        <f t="shared" si="12"/>
        <v>574.4985673352437</v>
      </c>
      <c r="AB31" s="61"/>
      <c r="AC31" s="61">
        <v>4.8</v>
      </c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4.8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412.49999999999994</v>
      </c>
      <c r="AU31" s="94">
        <f t="shared" si="23"/>
        <v>404.3</v>
      </c>
      <c r="AV31" s="58">
        <f>AU31/AT31*100</f>
        <v>98.01212121212123</v>
      </c>
      <c r="AW31" s="62">
        <f>AT31-AU31</f>
        <v>8.199999999999932</v>
      </c>
      <c r="AX31" s="63">
        <f t="shared" si="18"/>
        <v>8.199999999999932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>
        <v>20</v>
      </c>
      <c r="Q33" s="61">
        <v>216.2</v>
      </c>
      <c r="R33" s="58">
        <f t="shared" si="19"/>
        <v>1080.9999999999998</v>
      </c>
      <c r="S33" s="61"/>
      <c r="T33" s="61"/>
      <c r="U33" s="58" t="e">
        <f t="shared" si="20"/>
        <v>#DIV/0!</v>
      </c>
      <c r="V33" s="61"/>
      <c r="W33" s="61">
        <v>18.6</v>
      </c>
      <c r="X33" s="66" t="e">
        <f t="shared" si="31"/>
        <v>#DIV/0!</v>
      </c>
      <c r="Y33" s="62">
        <f t="shared" si="10"/>
        <v>20</v>
      </c>
      <c r="Z33" s="62">
        <f t="shared" si="11"/>
        <v>234.79999999999998</v>
      </c>
      <c r="AA33" s="58">
        <f t="shared" si="12"/>
        <v>1173.9999999999998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242.7</v>
      </c>
      <c r="AU33" s="94">
        <f t="shared" si="23"/>
        <v>242.7</v>
      </c>
      <c r="AV33" s="58">
        <f t="shared" si="37"/>
        <v>100</v>
      </c>
      <c r="AW33" s="62">
        <f t="shared" si="38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>
        <v>10.5</v>
      </c>
      <c r="Q35" s="61">
        <f>368.4+3.3</f>
        <v>371.7</v>
      </c>
      <c r="R35" s="58">
        <f t="shared" si="19"/>
        <v>3540</v>
      </c>
      <c r="S35" s="61"/>
      <c r="T35" s="61">
        <f>34.1+307.7</f>
        <v>341.8</v>
      </c>
      <c r="U35" s="58" t="e">
        <f t="shared" si="20"/>
        <v>#DIV/0!</v>
      </c>
      <c r="V35" s="61"/>
      <c r="W35" s="61">
        <f>36.8</f>
        <v>36.8</v>
      </c>
      <c r="X35" s="58" t="e">
        <f t="shared" si="31"/>
        <v>#DIV/0!</v>
      </c>
      <c r="Y35" s="62">
        <f t="shared" si="10"/>
        <v>10.5</v>
      </c>
      <c r="Z35" s="62">
        <f t="shared" si="11"/>
        <v>750.3</v>
      </c>
      <c r="AA35" s="58">
        <f t="shared" si="12"/>
        <v>7145.714285714285</v>
      </c>
      <c r="AB35" s="61"/>
      <c r="AC35" s="61"/>
      <c r="AD35" s="58"/>
      <c r="AE35" s="61"/>
      <c r="AF35" s="61">
        <f>11.9</f>
        <v>11.9</v>
      </c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11.9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1163</v>
      </c>
      <c r="AU35" s="94">
        <f t="shared" si="23"/>
        <v>1004.1</v>
      </c>
      <c r="AV35" s="58">
        <f t="shared" si="37"/>
        <v>86.33705932932072</v>
      </c>
      <c r="AW35" s="62">
        <f t="shared" si="38"/>
        <v>158.89999999999998</v>
      </c>
      <c r="AX35" s="63">
        <f t="shared" si="18"/>
        <v>-94.60000000000002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>
        <v>46.1</v>
      </c>
      <c r="Q38" s="61">
        <v>121.4</v>
      </c>
      <c r="R38" s="58">
        <f t="shared" si="19"/>
        <v>263.3405639913232</v>
      </c>
      <c r="S38" s="61"/>
      <c r="T38" s="61">
        <v>36.1</v>
      </c>
      <c r="U38" s="58" t="e">
        <f t="shared" si="20"/>
        <v>#DIV/0!</v>
      </c>
      <c r="V38" s="61"/>
      <c r="W38" s="61">
        <v>31.3</v>
      </c>
      <c r="X38" s="58" t="e">
        <f t="shared" si="31"/>
        <v>#DIV/0!</v>
      </c>
      <c r="Y38" s="62">
        <f t="shared" si="10"/>
        <v>46.1</v>
      </c>
      <c r="Z38" s="62">
        <f t="shared" si="11"/>
        <v>188.8</v>
      </c>
      <c r="AA38" s="58">
        <f t="shared" si="12"/>
        <v>409.54446854663775</v>
      </c>
      <c r="AB38" s="61"/>
      <c r="AC38" s="61">
        <v>1.3</v>
      </c>
      <c r="AD38" s="58"/>
      <c r="AE38" s="61"/>
      <c r="AF38" s="61">
        <v>2.9</v>
      </c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4.2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672.2</v>
      </c>
      <c r="AU38" s="94">
        <f t="shared" si="23"/>
        <v>562.8000000000001</v>
      </c>
      <c r="AV38" s="58">
        <f t="shared" si="37"/>
        <v>83.72508182088664</v>
      </c>
      <c r="AW38" s="62">
        <f t="shared" si="38"/>
        <v>109.39999999999998</v>
      </c>
      <c r="AX38" s="63">
        <f t="shared" si="18"/>
        <v>35.299999999999955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2162.6</v>
      </c>
      <c r="H39" s="75">
        <f>SUM(H40:H44)</f>
        <v>1077.9</v>
      </c>
      <c r="I39" s="59">
        <f t="shared" si="3"/>
        <v>49.84278183667808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5624.099999999999</v>
      </c>
      <c r="N39" s="58">
        <f t="shared" si="6"/>
        <v>2888.7</v>
      </c>
      <c r="O39" s="58">
        <f t="shared" si="7"/>
        <v>51.36288472822318</v>
      </c>
      <c r="P39" s="75">
        <f aca="true" t="shared" si="39" ref="P39:W39">SUM(P40:P44)</f>
        <v>386</v>
      </c>
      <c r="Q39" s="75">
        <f t="shared" si="39"/>
        <v>1464.1999999999998</v>
      </c>
      <c r="R39" s="75" t="e">
        <f t="shared" si="39"/>
        <v>#DIV/0!</v>
      </c>
      <c r="S39" s="75">
        <f t="shared" si="39"/>
        <v>0</v>
      </c>
      <c r="T39" s="75">
        <f t="shared" si="39"/>
        <v>455.5</v>
      </c>
      <c r="U39" s="75" t="e">
        <f t="shared" si="39"/>
        <v>#DIV/0!</v>
      </c>
      <c r="V39" s="75">
        <f t="shared" si="39"/>
        <v>0</v>
      </c>
      <c r="W39" s="75">
        <f t="shared" si="39"/>
        <v>370.90000000000003</v>
      </c>
      <c r="X39" s="58" t="e">
        <f t="shared" si="31"/>
        <v>#DIV/0!</v>
      </c>
      <c r="Y39" s="58">
        <f t="shared" si="10"/>
        <v>386</v>
      </c>
      <c r="Z39" s="58">
        <f t="shared" si="11"/>
        <v>2290.6</v>
      </c>
      <c r="AA39" s="58">
        <f t="shared" si="12"/>
        <v>593.4196891191709</v>
      </c>
      <c r="AB39" s="75">
        <f aca="true" t="shared" si="40" ref="AB39:AI39">SUM(AB40:AB44)</f>
        <v>0</v>
      </c>
      <c r="AC39" s="75">
        <f t="shared" si="40"/>
        <v>118.4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118.4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6010.099999999999</v>
      </c>
      <c r="AU39" s="57">
        <f t="shared" si="23"/>
        <v>5297.699999999999</v>
      </c>
      <c r="AV39" s="58">
        <f t="shared" si="37"/>
        <v>88.14661985657476</v>
      </c>
      <c r="AW39" s="58">
        <f t="shared" si="38"/>
        <v>712.4000000000005</v>
      </c>
      <c r="AX39" s="79">
        <f t="shared" si="18"/>
        <v>69.80000000000018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1625+2.6</f>
        <v>1627.6</v>
      </c>
      <c r="H42" s="61">
        <f>698.4+2.5</f>
        <v>700.9</v>
      </c>
      <c r="I42" s="59">
        <f t="shared" si="3"/>
        <v>43.06340624231998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4135.299999999999</v>
      </c>
      <c r="N42" s="62">
        <f t="shared" si="43"/>
        <v>2132.2</v>
      </c>
      <c r="O42" s="58">
        <f t="shared" si="7"/>
        <v>51.56095083790777</v>
      </c>
      <c r="P42" s="61">
        <f>292.5+8.6</f>
        <v>301.1</v>
      </c>
      <c r="Q42" s="61">
        <f>1166.1+12.8</f>
        <v>1178.8999999999999</v>
      </c>
      <c r="R42" s="58">
        <f t="shared" si="19"/>
        <v>391.5310528063765</v>
      </c>
      <c r="S42" s="61"/>
      <c r="T42" s="61">
        <f>338.4+8.6</f>
        <v>347</v>
      </c>
      <c r="U42" s="58" t="e">
        <f t="shared" si="20"/>
        <v>#DIV/0!</v>
      </c>
      <c r="V42" s="61"/>
      <c r="W42" s="61">
        <v>348.6</v>
      </c>
      <c r="X42" s="58" t="e">
        <f t="shared" si="31"/>
        <v>#DIV/0!</v>
      </c>
      <c r="Y42" s="62">
        <f t="shared" si="44"/>
        <v>301.1</v>
      </c>
      <c r="Z42" s="62">
        <f t="shared" si="45"/>
        <v>1874.5</v>
      </c>
      <c r="AA42" s="58">
        <f t="shared" si="12"/>
        <v>622.5506476253736</v>
      </c>
      <c r="AB42" s="61"/>
      <c r="AC42" s="61">
        <f>118.4</f>
        <v>118.4</v>
      </c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118.4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4436.4</v>
      </c>
      <c r="AU42" s="94">
        <f t="shared" si="23"/>
        <v>4125.099999999999</v>
      </c>
      <c r="AV42" s="58">
        <f t="shared" si="37"/>
        <v>92.98304931926788</v>
      </c>
      <c r="AW42" s="62">
        <f t="shared" si="38"/>
        <v>311.3000000000002</v>
      </c>
      <c r="AX42" s="63">
        <f t="shared" si="46"/>
        <v>61.30000000000018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>
        <v>84.9</v>
      </c>
      <c r="Q44" s="61">
        <v>285.3</v>
      </c>
      <c r="R44" s="58">
        <f t="shared" si="19"/>
        <v>336.0424028268551</v>
      </c>
      <c r="S44" s="61"/>
      <c r="T44" s="61">
        <v>108.5</v>
      </c>
      <c r="U44" s="58" t="e">
        <f t="shared" si="20"/>
        <v>#DIV/0!</v>
      </c>
      <c r="V44" s="61"/>
      <c r="W44" s="61">
        <v>22.3</v>
      </c>
      <c r="X44" s="72" t="e">
        <f t="shared" si="31"/>
        <v>#DIV/0!</v>
      </c>
      <c r="Y44" s="62">
        <f t="shared" si="44"/>
        <v>84.9</v>
      </c>
      <c r="Z44" s="62">
        <f t="shared" si="45"/>
        <v>416.1</v>
      </c>
      <c r="AA44" s="58">
        <f t="shared" si="12"/>
        <v>490.10600706713785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1573.7</v>
      </c>
      <c r="AU44" s="94">
        <f t="shared" si="23"/>
        <v>1172.6</v>
      </c>
      <c r="AV44" s="58">
        <f t="shared" si="37"/>
        <v>74.51229586325219</v>
      </c>
      <c r="AW44" s="62">
        <f t="shared" si="38"/>
        <v>401.10000000000014</v>
      </c>
      <c r="AX44" s="63">
        <f t="shared" si="46"/>
        <v>8.5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>
        <v>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5</v>
      </c>
      <c r="AA57" s="58" t="e">
        <f t="shared" si="12"/>
        <v>#DIV/0!</v>
      </c>
      <c r="AB57" s="61"/>
      <c r="AC57" s="61"/>
      <c r="AD57" s="58"/>
      <c r="AE57" s="61"/>
      <c r="AF57" s="61">
        <v>72.7</v>
      </c>
      <c r="AG57" s="58"/>
      <c r="AH57" s="61"/>
      <c r="AI57" s="61"/>
      <c r="AJ57" s="58"/>
      <c r="AK57" s="62">
        <f t="shared" si="21"/>
        <v>0</v>
      </c>
      <c r="AL57" s="62">
        <f t="shared" si="21"/>
        <v>72.7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323.5</v>
      </c>
      <c r="AV57" s="58">
        <f t="shared" si="17"/>
        <v>100</v>
      </c>
      <c r="AW57" s="62">
        <f t="shared" si="22"/>
        <v>0</v>
      </c>
      <c r="AX57" s="63">
        <f t="shared" si="46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>
        <v>1.3</v>
      </c>
      <c r="Q60" s="61">
        <v>17.9</v>
      </c>
      <c r="R60" s="58">
        <f t="shared" si="19"/>
        <v>1376.923076923077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1.3</v>
      </c>
      <c r="Z60" s="62">
        <f t="shared" si="45"/>
        <v>17.9</v>
      </c>
      <c r="AA60" s="58">
        <f t="shared" si="12"/>
        <v>1376.923076923077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54.89999999999999</v>
      </c>
      <c r="AU60" s="94">
        <f t="shared" si="23"/>
        <v>56.1</v>
      </c>
      <c r="AV60" s="58">
        <f t="shared" si="17"/>
        <v>102.1857923497268</v>
      </c>
      <c r="AW60" s="62">
        <f t="shared" si="22"/>
        <v>-1.20000000000001</v>
      </c>
      <c r="AX60" s="63">
        <f t="shared" si="46"/>
        <v>1.1999999999999886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461</v>
      </c>
      <c r="Q61" s="109">
        <f t="shared" si="54"/>
        <v>2283.9</v>
      </c>
      <c r="R61" s="109" t="e">
        <f t="shared" si="54"/>
        <v>#DIV/0!</v>
      </c>
      <c r="S61" s="109">
        <f t="shared" si="54"/>
        <v>0</v>
      </c>
      <c r="T61" s="109">
        <f t="shared" si="54"/>
        <v>567.6</v>
      </c>
      <c r="U61" s="109" t="e">
        <f t="shared" si="54"/>
        <v>#DIV/0!</v>
      </c>
      <c r="V61" s="109">
        <f t="shared" si="54"/>
        <v>0</v>
      </c>
      <c r="W61" s="109">
        <f t="shared" si="54"/>
        <v>203.6</v>
      </c>
      <c r="X61" s="58" t="e">
        <f t="shared" si="51"/>
        <v>#DIV/0!</v>
      </c>
      <c r="Y61" s="58">
        <f t="shared" si="44"/>
        <v>461</v>
      </c>
      <c r="Z61" s="58">
        <f t="shared" si="45"/>
        <v>3055.1</v>
      </c>
      <c r="AA61" s="58">
        <f t="shared" si="12"/>
        <v>662.7114967462039</v>
      </c>
      <c r="AB61" s="109">
        <f aca="true" t="shared" si="55" ref="AB61:AI61">SUM(AB62:AB71)</f>
        <v>0</v>
      </c>
      <c r="AC61" s="109">
        <f t="shared" si="55"/>
        <v>100.1</v>
      </c>
      <c r="AD61" s="109">
        <f t="shared" si="55"/>
        <v>0</v>
      </c>
      <c r="AE61" s="109">
        <f t="shared" si="55"/>
        <v>0</v>
      </c>
      <c r="AF61" s="109">
        <f t="shared" si="55"/>
        <v>159.6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259.7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6549.4</v>
      </c>
      <c r="AU61" s="57">
        <f t="shared" si="23"/>
        <v>6247.900000000001</v>
      </c>
      <c r="AV61" s="58">
        <f t="shared" si="17"/>
        <v>95.39652487250741</v>
      </c>
      <c r="AW61" s="58">
        <f t="shared" si="22"/>
        <v>301.4999999999991</v>
      </c>
      <c r="AX61" s="79">
        <f t="shared" si="46"/>
        <v>162.6999999999989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>
        <v>90.7</v>
      </c>
      <c r="Q62" s="61">
        <v>498.7</v>
      </c>
      <c r="R62" s="58">
        <f t="shared" si="19"/>
        <v>549.8346196251377</v>
      </c>
      <c r="S62" s="61"/>
      <c r="T62" s="61">
        <v>207.2</v>
      </c>
      <c r="U62" s="58" t="e">
        <f t="shared" si="20"/>
        <v>#DIV/0!</v>
      </c>
      <c r="V62" s="61"/>
      <c r="W62" s="61">
        <v>73.1</v>
      </c>
      <c r="X62" s="58" t="e">
        <f t="shared" si="51"/>
        <v>#DIV/0!</v>
      </c>
      <c r="Y62" s="62">
        <f t="shared" si="44"/>
        <v>90.7</v>
      </c>
      <c r="Z62" s="62">
        <f t="shared" si="45"/>
        <v>779</v>
      </c>
      <c r="AA62" s="58">
        <f t="shared" si="12"/>
        <v>858.875413450937</v>
      </c>
      <c r="AB62" s="61"/>
      <c r="AC62" s="61">
        <v>61.7</v>
      </c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61.7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1274.8</v>
      </c>
      <c r="AU62" s="94">
        <f t="shared" si="23"/>
        <v>1130.4</v>
      </c>
      <c r="AV62" s="58">
        <f t="shared" si="17"/>
        <v>88.672732977722</v>
      </c>
      <c r="AW62" s="62">
        <f t="shared" si="22"/>
        <v>144.39999999999986</v>
      </c>
      <c r="AX62" s="63">
        <f t="shared" si="46"/>
        <v>6.199999999999818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>
        <v>59.4</v>
      </c>
      <c r="Q63" s="61">
        <v>223.9</v>
      </c>
      <c r="R63" s="58">
        <f t="shared" si="19"/>
        <v>376.93602693602696</v>
      </c>
      <c r="S63" s="61"/>
      <c r="T63" s="61">
        <v>0.5</v>
      </c>
      <c r="U63" s="58" t="e">
        <f t="shared" si="20"/>
        <v>#DIV/0!</v>
      </c>
      <c r="V63" s="61"/>
      <c r="W63" s="61">
        <v>37.2</v>
      </c>
      <c r="X63" s="58" t="e">
        <f t="shared" si="51"/>
        <v>#DIV/0!</v>
      </c>
      <c r="Y63" s="62">
        <f t="shared" si="44"/>
        <v>59.4</v>
      </c>
      <c r="Z63" s="62">
        <f t="shared" si="45"/>
        <v>261.6</v>
      </c>
      <c r="AA63" s="58">
        <f t="shared" si="12"/>
        <v>440.4040404040405</v>
      </c>
      <c r="AB63" s="61"/>
      <c r="AC63" s="61">
        <v>12.5</v>
      </c>
      <c r="AD63" s="58"/>
      <c r="AE63" s="61"/>
      <c r="AF63" s="61">
        <v>58.4</v>
      </c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70.9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745.1</v>
      </c>
      <c r="AU63" s="94">
        <f t="shared" si="23"/>
        <v>744.9</v>
      </c>
      <c r="AV63" s="58">
        <f t="shared" si="17"/>
        <v>99.97315796537377</v>
      </c>
      <c r="AW63" s="62">
        <f t="shared" si="22"/>
        <v>0.20000000000004547</v>
      </c>
      <c r="AX63" s="63">
        <f t="shared" si="46"/>
        <v>-2.3999999999999773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>
        <v>59.8</v>
      </c>
      <c r="Q70" s="61">
        <v>261.5</v>
      </c>
      <c r="R70" s="58">
        <f>Q70/P70*100</f>
        <v>437.2909698996656</v>
      </c>
      <c r="S70" s="61"/>
      <c r="T70" s="61">
        <v>59.8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59.8</v>
      </c>
      <c r="Z70" s="62">
        <f>Q70+T70+W70</f>
        <v>321.3</v>
      </c>
      <c r="AA70" s="58">
        <f>Z70/Y70*100</f>
        <v>537.2909698996656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903.2</v>
      </c>
      <c r="AU70" s="94">
        <f>N70+Z70+AL70+AO70+AQ70+AS70</f>
        <v>903.2</v>
      </c>
      <c r="AV70" s="58">
        <f>AU70/AT70*100</f>
        <v>100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>
        <v>251.1</v>
      </c>
      <c r="Q71" s="61">
        <v>1299.8</v>
      </c>
      <c r="R71" s="58">
        <f t="shared" si="19"/>
        <v>517.642373556352</v>
      </c>
      <c r="S71" s="61"/>
      <c r="T71" s="61">
        <v>300.1</v>
      </c>
      <c r="U71" s="58" t="e">
        <f t="shared" si="20"/>
        <v>#DIV/0!</v>
      </c>
      <c r="V71" s="61"/>
      <c r="W71" s="61">
        <v>93.3</v>
      </c>
      <c r="X71" s="58" t="e">
        <f t="shared" si="51"/>
        <v>#DIV/0!</v>
      </c>
      <c r="Y71" s="62">
        <f t="shared" si="44"/>
        <v>251.1</v>
      </c>
      <c r="Z71" s="62">
        <f t="shared" si="45"/>
        <v>1693.2</v>
      </c>
      <c r="AA71" s="58">
        <f t="shared" si="12"/>
        <v>674.3130227001195</v>
      </c>
      <c r="AB71" s="61"/>
      <c r="AC71" s="61">
        <v>25.9</v>
      </c>
      <c r="AD71" s="58"/>
      <c r="AE71" s="61"/>
      <c r="AF71" s="61">
        <v>101.2</v>
      </c>
      <c r="AG71" s="58"/>
      <c r="AH71" s="61"/>
      <c r="AI71" s="61"/>
      <c r="AJ71" s="58"/>
      <c r="AK71" s="62">
        <f t="shared" si="57"/>
        <v>0</v>
      </c>
      <c r="AL71" s="62">
        <f t="shared" si="57"/>
        <v>127.1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3626.3</v>
      </c>
      <c r="AU71" s="94">
        <f t="shared" si="23"/>
        <v>3469.4</v>
      </c>
      <c r="AV71" s="58">
        <f t="shared" si="17"/>
        <v>95.6732757907509</v>
      </c>
      <c r="AW71" s="62">
        <f t="shared" si="22"/>
        <v>156.9000000000001</v>
      </c>
      <c r="AX71" s="63">
        <f t="shared" si="46"/>
        <v>158.9000000000001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36223.2</v>
      </c>
      <c r="Q72" s="75">
        <f t="shared" si="60"/>
        <v>63165.7</v>
      </c>
      <c r="R72" s="75">
        <f t="shared" si="60"/>
        <v>378.90314075530245</v>
      </c>
      <c r="S72" s="75">
        <f t="shared" si="60"/>
        <v>4720.4</v>
      </c>
      <c r="T72" s="75">
        <f t="shared" si="60"/>
        <v>29656</v>
      </c>
      <c r="U72" s="75" t="e">
        <f t="shared" si="60"/>
        <v>#DIV/0!</v>
      </c>
      <c r="V72" s="75">
        <f t="shared" si="60"/>
        <v>1604</v>
      </c>
      <c r="W72" s="75">
        <f t="shared" si="60"/>
        <v>18896.3</v>
      </c>
      <c r="X72" s="58">
        <f t="shared" si="51"/>
        <v>1178.073566084788</v>
      </c>
      <c r="Y72" s="58">
        <f t="shared" si="44"/>
        <v>42547.6</v>
      </c>
      <c r="Z72" s="58">
        <f t="shared" si="45"/>
        <v>111718</v>
      </c>
      <c r="AA72" s="58">
        <f t="shared" si="12"/>
        <v>262.57180193477427</v>
      </c>
      <c r="AB72" s="75">
        <f>SUM(AB73:AB75)</f>
        <v>566.8</v>
      </c>
      <c r="AC72" s="75">
        <f>SUM(AC73:AC75)</f>
        <v>12236.4</v>
      </c>
      <c r="AD72" s="58">
        <f>AC72/AB72*100</f>
        <v>2158.856739590685</v>
      </c>
      <c r="AE72" s="75">
        <f>SUM(AE73:AE75)</f>
        <v>818.3</v>
      </c>
      <c r="AF72" s="75">
        <f>SUM(AF73:AF75)</f>
        <v>15511.2</v>
      </c>
      <c r="AG72" s="58">
        <f>AF72/AE72*100</f>
        <v>1895.5395331785412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1385.1</v>
      </c>
      <c r="AL72" s="58">
        <f t="shared" si="57"/>
        <v>27747.6</v>
      </c>
      <c r="AM72" s="58">
        <f t="shared" si="15"/>
        <v>2003.2921810699588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316575.1</v>
      </c>
      <c r="AU72" s="57">
        <f t="shared" si="23"/>
        <v>290895.8</v>
      </c>
      <c r="AV72" s="58">
        <f t="shared" si="17"/>
        <v>91.88840183577294</v>
      </c>
      <c r="AW72" s="79">
        <f>SUM(AW73:AW75)</f>
        <v>25679.3</v>
      </c>
      <c r="AX72" s="79">
        <f>SUM(AX73:AX75)</f>
        <v>33782.3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>
        <v>35608</v>
      </c>
      <c r="Q73" s="61">
        <v>61948</v>
      </c>
      <c r="R73" s="58">
        <f t="shared" si="19"/>
        <v>173.97214109188945</v>
      </c>
      <c r="S73" s="61">
        <v>4675</v>
      </c>
      <c r="T73" s="61">
        <v>28709</v>
      </c>
      <c r="U73" s="58">
        <f t="shared" si="20"/>
        <v>614.0962566844919</v>
      </c>
      <c r="V73" s="61">
        <v>1585</v>
      </c>
      <c r="W73" s="61">
        <v>18258</v>
      </c>
      <c r="X73" s="58">
        <f>W73/V73*100</f>
        <v>1151.9242902208202</v>
      </c>
      <c r="Y73" s="62">
        <f t="shared" si="44"/>
        <v>41868</v>
      </c>
      <c r="Z73" s="62">
        <f t="shared" si="45"/>
        <v>108915</v>
      </c>
      <c r="AA73" s="58">
        <f t="shared" si="12"/>
        <v>260.1390083118372</v>
      </c>
      <c r="AB73" s="61">
        <v>533</v>
      </c>
      <c r="AC73" s="61">
        <v>12226</v>
      </c>
      <c r="AD73" s="58"/>
      <c r="AE73" s="61">
        <v>786</v>
      </c>
      <c r="AF73" s="61">
        <v>15113</v>
      </c>
      <c r="AG73" s="58"/>
      <c r="AH73" s="61"/>
      <c r="AI73" s="61"/>
      <c r="AJ73" s="58"/>
      <c r="AK73" s="62">
        <f aca="true" t="shared" si="62" ref="AK73:AL75">AB73+AE73+AH73</f>
        <v>1319</v>
      </c>
      <c r="AL73" s="62">
        <f t="shared" si="62"/>
        <v>27339</v>
      </c>
      <c r="AM73" s="58">
        <f t="shared" si="15"/>
        <v>2072.706595905989</v>
      </c>
      <c r="AN73" s="61"/>
      <c r="AO73" s="61"/>
      <c r="AP73" s="61"/>
      <c r="AQ73" s="61"/>
      <c r="AR73" s="61"/>
      <c r="AS73" s="61"/>
      <c r="AT73" s="94">
        <f t="shared" si="23"/>
        <v>310539</v>
      </c>
      <c r="AU73" s="94">
        <f t="shared" si="23"/>
        <v>284892</v>
      </c>
      <c r="AV73" s="58">
        <f t="shared" si="17"/>
        <v>91.74113396384995</v>
      </c>
      <c r="AW73" s="62">
        <f>AT73-AU73</f>
        <v>25647</v>
      </c>
      <c r="AX73" s="63">
        <f>C73+AT73-AU73</f>
        <v>33750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>
        <v>594.2</v>
      </c>
      <c r="Q74" s="61">
        <v>1217.7</v>
      </c>
      <c r="R74" s="58">
        <f t="shared" si="19"/>
        <v>204.930999663413</v>
      </c>
      <c r="S74" s="61">
        <v>45.4</v>
      </c>
      <c r="T74" s="61">
        <v>947</v>
      </c>
      <c r="U74" s="58">
        <f t="shared" si="20"/>
        <v>2085.90308370044</v>
      </c>
      <c r="V74" s="61">
        <v>52.4</v>
      </c>
      <c r="W74" s="61">
        <v>317.2</v>
      </c>
      <c r="X74" s="58">
        <f>W74/V74*100</f>
        <v>605.3435114503817</v>
      </c>
      <c r="Y74" s="62">
        <f t="shared" si="44"/>
        <v>692</v>
      </c>
      <c r="Z74" s="62">
        <f t="shared" si="45"/>
        <v>2481.8999999999996</v>
      </c>
      <c r="AA74" s="58">
        <f>Z74/Y74*100</f>
        <v>358.6560693641618</v>
      </c>
      <c r="AB74" s="61">
        <v>33.8</v>
      </c>
      <c r="AC74" s="61">
        <v>10.4</v>
      </c>
      <c r="AD74" s="58"/>
      <c r="AE74" s="61">
        <v>32.3</v>
      </c>
      <c r="AF74" s="61">
        <v>398.2</v>
      </c>
      <c r="AG74" s="58"/>
      <c r="AH74" s="61"/>
      <c r="AI74" s="61"/>
      <c r="AJ74" s="58"/>
      <c r="AK74" s="62">
        <f t="shared" si="62"/>
        <v>66.1</v>
      </c>
      <c r="AL74" s="62">
        <f t="shared" si="62"/>
        <v>408.59999999999997</v>
      </c>
      <c r="AM74" s="58">
        <f>AL74/AK74*100</f>
        <v>618.1543116490167</v>
      </c>
      <c r="AN74" s="61"/>
      <c r="AO74" s="61"/>
      <c r="AP74" s="61"/>
      <c r="AQ74" s="61"/>
      <c r="AR74" s="61"/>
      <c r="AS74" s="61"/>
      <c r="AT74" s="94">
        <f t="shared" si="23"/>
        <v>5715</v>
      </c>
      <c r="AU74" s="94">
        <f t="shared" si="23"/>
        <v>5682.7</v>
      </c>
      <c r="AV74" s="58">
        <f t="shared" si="17"/>
        <v>99.43482064741906</v>
      </c>
      <c r="AW74" s="62">
        <f>AT74-AU74</f>
        <v>32.30000000000018</v>
      </c>
      <c r="AX74" s="63">
        <f>C74+AT74-AU74</f>
        <v>32.30000000000018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>
        <v>21</v>
      </c>
      <c r="Q75" s="61">
        <v>0</v>
      </c>
      <c r="R75" s="58">
        <f t="shared" si="19"/>
        <v>0</v>
      </c>
      <c r="S75" s="61"/>
      <c r="T75" s="61"/>
      <c r="U75" s="58" t="e">
        <f t="shared" si="20"/>
        <v>#DIV/0!</v>
      </c>
      <c r="V75" s="61">
        <v>-33.4</v>
      </c>
      <c r="W75" s="61">
        <v>321.1</v>
      </c>
      <c r="X75" s="58">
        <f>W75/V75*100</f>
        <v>-961.3772455089821</v>
      </c>
      <c r="Y75" s="62">
        <f t="shared" si="44"/>
        <v>-12.399999999999999</v>
      </c>
      <c r="Z75" s="62">
        <f t="shared" si="45"/>
        <v>321.1</v>
      </c>
      <c r="AA75" s="58">
        <f>Z75/Y75*100</f>
        <v>-2589.5161290322585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321.1</v>
      </c>
      <c r="AU75" s="94">
        <f t="shared" si="23"/>
        <v>321.1</v>
      </c>
      <c r="AV75" s="58">
        <f t="shared" si="17"/>
        <v>100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102024.20000000001</v>
      </c>
      <c r="H76" s="79">
        <f>H72+H7</f>
        <v>61352.3</v>
      </c>
      <c r="I76" s="59">
        <f>H76/G76*100</f>
        <v>60.135046390954294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294313.9</v>
      </c>
      <c r="N76" s="79">
        <f>N72+N7</f>
        <v>161282.40000000002</v>
      </c>
      <c r="O76" s="58">
        <f t="shared" si="7"/>
        <v>54.79945051864693</v>
      </c>
      <c r="P76" s="79">
        <f>P72+P7</f>
        <v>37647</v>
      </c>
      <c r="Q76" s="79">
        <f>Q72+Q7</f>
        <v>69611.09999999999</v>
      </c>
      <c r="R76" s="58">
        <f t="shared" si="19"/>
        <v>184.90477328870824</v>
      </c>
      <c r="S76" s="79">
        <f>S72+S7</f>
        <v>4796.5</v>
      </c>
      <c r="T76" s="79">
        <f>T72+T7</f>
        <v>31796.6</v>
      </c>
      <c r="U76" s="58">
        <f t="shared" si="20"/>
        <v>662.9125403940373</v>
      </c>
      <c r="V76" s="79">
        <f>V72+V7</f>
        <v>1672</v>
      </c>
      <c r="W76" s="79">
        <f>W72+W7</f>
        <v>20743.2</v>
      </c>
      <c r="X76" s="58">
        <f>W76/V76*100</f>
        <v>1240.6220095693782</v>
      </c>
      <c r="Y76" s="79">
        <f>Y72+Y7</f>
        <v>44115.5</v>
      </c>
      <c r="Z76" s="79">
        <f>Z72+Z7</f>
        <v>122150.9</v>
      </c>
      <c r="AA76" s="58">
        <f>Z76/Y76*100</f>
        <v>276.88884859063137</v>
      </c>
      <c r="AB76" s="79">
        <f>AB72+AB7</f>
        <v>640.5999999999999</v>
      </c>
      <c r="AC76" s="79">
        <f>AC72+AC7</f>
        <v>12578.7</v>
      </c>
      <c r="AD76" s="58">
        <f>AC76/AB76*100</f>
        <v>1963.5810177958167</v>
      </c>
      <c r="AE76" s="79">
        <f>AE72+AE7</f>
        <v>889.1999999999999</v>
      </c>
      <c r="AF76" s="79">
        <f>AF72+AF7</f>
        <v>16264.7</v>
      </c>
      <c r="AG76" s="58">
        <f>AF76/AE76*100</f>
        <v>1829.1385515069728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1529.8</v>
      </c>
      <c r="AL76" s="79">
        <f>AL72+AL7</f>
        <v>28843.399999999998</v>
      </c>
      <c r="AM76" s="58">
        <f>AL76/AK76*100</f>
        <v>1885.4360047064977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339959.2</v>
      </c>
      <c r="AU76" s="57">
        <f t="shared" si="23"/>
        <v>312276.70000000007</v>
      </c>
      <c r="AV76" s="58">
        <f>AU76/AT76*100</f>
        <v>91.85711108862476</v>
      </c>
      <c r="AW76" s="79">
        <f>AW72+AW7</f>
        <v>27682.5</v>
      </c>
      <c r="AX76" s="79">
        <f>AX72+AX7</f>
        <v>34006.600000000006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69"/>
      <c r="B77" s="169"/>
      <c r="C77" s="16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/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67"/>
      <c r="C82" s="167"/>
      <c r="D82" s="167"/>
      <c r="E82" s="167"/>
      <c r="F82" s="167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68"/>
      <c r="AX82" s="168"/>
    </row>
    <row r="83" spans="1:50" ht="73.5" customHeight="1" hidden="1">
      <c r="A83" s="166" t="s">
        <v>46</v>
      </c>
      <c r="B83" s="16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77:C77"/>
    <mergeCell ref="AR5:AS5"/>
    <mergeCell ref="AH5:AJ5"/>
    <mergeCell ref="AB5:AD5"/>
    <mergeCell ref="D5:F5"/>
    <mergeCell ref="G5:I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I1:AX1"/>
    <mergeCell ref="AX5:AX6"/>
    <mergeCell ref="B2:AX3"/>
    <mergeCell ref="B4:F4"/>
    <mergeCell ref="V5:X5"/>
    <mergeCell ref="P5:R5"/>
    <mergeCell ref="AE5:AG5"/>
    <mergeCell ref="AN5:AO5"/>
    <mergeCell ref="AK5:AM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J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B4" sqref="AB1:AC16384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hidden="1" customWidth="1"/>
    <col min="11" max="11" width="17.87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7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176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60510.2</v>
      </c>
      <c r="K7" s="58">
        <f t="shared" si="0"/>
        <v>63895.60000000003</v>
      </c>
      <c r="L7" s="56">
        <f>K7/J7*100</f>
        <v>105.59475923067521</v>
      </c>
      <c r="M7" s="58">
        <f t="shared" si="0"/>
        <v>195336.19999999992</v>
      </c>
      <c r="N7" s="58">
        <f t="shared" si="0"/>
        <v>122898.4</v>
      </c>
      <c r="O7" s="56">
        <f>N7/M7*100</f>
        <v>62.91634627887716</v>
      </c>
      <c r="P7" s="58">
        <f t="shared" si="0"/>
        <v>11075.400000000001</v>
      </c>
      <c r="Q7" s="58">
        <f t="shared" si="0"/>
        <v>46305.2</v>
      </c>
      <c r="R7" s="56">
        <f>Q7/P7*100</f>
        <v>418.0905430052187</v>
      </c>
      <c r="S7" s="58">
        <f t="shared" si="0"/>
        <v>1001.4</v>
      </c>
      <c r="T7" s="58">
        <f t="shared" si="0"/>
        <v>15123.200000000003</v>
      </c>
      <c r="U7" s="56">
        <f>T7/S7*100</f>
        <v>1510.205712003196</v>
      </c>
      <c r="V7" s="58">
        <f t="shared" si="0"/>
        <v>1016.1999999999997</v>
      </c>
      <c r="W7" s="58">
        <f t="shared" si="0"/>
        <v>5572.999999999999</v>
      </c>
      <c r="X7" s="56">
        <f>W7/V7*100</f>
        <v>548.4156662074396</v>
      </c>
      <c r="Y7" s="58">
        <f t="shared" si="0"/>
        <v>13093.000000000004</v>
      </c>
      <c r="Z7" s="58">
        <f t="shared" si="0"/>
        <v>67001.4</v>
      </c>
      <c r="AA7" s="56">
        <f>Z7/Y7*100</f>
        <v>511.7345146261359</v>
      </c>
      <c r="AB7" s="58">
        <f t="shared" si="0"/>
        <v>1016.4000000000001</v>
      </c>
      <c r="AC7" s="58">
        <f t="shared" si="0"/>
        <v>3617.899999999999</v>
      </c>
      <c r="AD7" s="56">
        <f>AC7/AB7*100</f>
        <v>355.95238095238085</v>
      </c>
      <c r="AE7" s="58">
        <f t="shared" si="0"/>
        <v>1012.2</v>
      </c>
      <c r="AF7" s="58">
        <f t="shared" si="0"/>
        <v>3284.6</v>
      </c>
      <c r="AG7" s="56">
        <f>AF7/AE7*100</f>
        <v>324.5010867417506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2028.5999999999997</v>
      </c>
      <c r="AL7" s="58">
        <f t="shared" si="0"/>
        <v>6902.500000000002</v>
      </c>
      <c r="AM7" s="56">
        <f>AL7/AK7*100</f>
        <v>340.2592921226463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210457.79999999993</v>
      </c>
      <c r="AU7" s="57">
        <f t="shared" si="1"/>
        <v>196802.3</v>
      </c>
      <c r="AV7" s="56">
        <f>AU7/AT7*100</f>
        <v>93.51152582608012</v>
      </c>
      <c r="AW7" s="58">
        <f t="shared" si="0"/>
        <v>13655.50000000001</v>
      </c>
      <c r="AX7" s="58">
        <f t="shared" si="0"/>
        <v>17593.000000000007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557.9000000000001</v>
      </c>
      <c r="Q8" s="75">
        <f t="shared" si="8"/>
        <v>2383.4</v>
      </c>
      <c r="R8" s="75" t="e">
        <f t="shared" si="8"/>
        <v>#DIV/0!</v>
      </c>
      <c r="S8" s="75">
        <f t="shared" si="8"/>
        <v>0</v>
      </c>
      <c r="T8" s="75">
        <f t="shared" si="8"/>
        <v>613.7</v>
      </c>
      <c r="U8" s="75" t="e">
        <f t="shared" si="8"/>
        <v>#DIV/0!</v>
      </c>
      <c r="V8" s="75">
        <f t="shared" si="8"/>
        <v>0</v>
      </c>
      <c r="W8" s="75">
        <f t="shared" si="8"/>
        <v>62.7</v>
      </c>
      <c r="X8" s="58" t="e">
        <f aca="true" t="shared" si="9" ref="X8:X24">W8/V8*100</f>
        <v>#DIV/0!</v>
      </c>
      <c r="Y8" s="58">
        <f aca="true" t="shared" si="10" ref="Y8:Y39">P8+S8+V8</f>
        <v>557.9000000000001</v>
      </c>
      <c r="Z8" s="58">
        <f aca="true" t="shared" si="11" ref="Z8:Z39">Q8+T8+W8</f>
        <v>3059.8</v>
      </c>
      <c r="AA8" s="58">
        <f aca="true" t="shared" si="12" ref="AA8:AA73">Z8/Y8*100</f>
        <v>548.4495429288402</v>
      </c>
      <c r="AB8" s="75">
        <f aca="true" t="shared" si="13" ref="AB8:AI8">SUM(AB9:AB13)</f>
        <v>0</v>
      </c>
      <c r="AC8" s="75">
        <f t="shared" si="13"/>
        <v>50.7</v>
      </c>
      <c r="AD8" s="75">
        <f t="shared" si="13"/>
        <v>0</v>
      </c>
      <c r="AE8" s="75">
        <f t="shared" si="13"/>
        <v>0</v>
      </c>
      <c r="AF8" s="75">
        <f t="shared" si="13"/>
        <v>380.1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430.8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8372.900000000001</v>
      </c>
      <c r="AU8" s="57">
        <f t="shared" si="1"/>
        <v>8053.6</v>
      </c>
      <c r="AV8" s="58">
        <f aca="true" t="shared" si="17" ref="AV8:AV75">AU8/AT8*100</f>
        <v>96.18650646729327</v>
      </c>
      <c r="AW8" s="58">
        <f>AT8-AU8</f>
        <v>319.3000000000011</v>
      </c>
      <c r="AX8" s="79">
        <f aca="true" t="shared" si="18" ref="AX8:AX39">C8+AT8-AU8</f>
        <v>-452.6999999999989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>
        <f>93.4+20.4</f>
        <v>113.80000000000001</v>
      </c>
      <c r="Q9" s="91">
        <f>346.4</f>
        <v>346.4</v>
      </c>
      <c r="R9" s="56">
        <f aca="true" t="shared" si="19" ref="R9:R76">Q9/P9*100</f>
        <v>304.3936731107205</v>
      </c>
      <c r="S9" s="91"/>
      <c r="T9" s="91">
        <v>60</v>
      </c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113.80000000000001</v>
      </c>
      <c r="Z9" s="93">
        <f t="shared" si="11"/>
        <v>406.4</v>
      </c>
      <c r="AA9" s="56">
        <f t="shared" si="12"/>
        <v>357.1177504393673</v>
      </c>
      <c r="AB9" s="91"/>
      <c r="AC9" s="91"/>
      <c r="AD9" s="56"/>
      <c r="AE9" s="91"/>
      <c r="AF9" s="91">
        <v>380.1</v>
      </c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380.1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864.6000000000001</v>
      </c>
      <c r="AU9" s="94">
        <f t="shared" si="1"/>
        <v>864.5</v>
      </c>
      <c r="AV9" s="56">
        <f t="shared" si="17"/>
        <v>99.98843395789959</v>
      </c>
      <c r="AW9" s="93">
        <f aca="true" t="shared" si="22" ref="AW9:AW75">AT9-AU9</f>
        <v>0.10000000000013642</v>
      </c>
      <c r="AX9" s="95">
        <f t="shared" si="18"/>
        <v>0.10000000000013642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>
        <v>166.4</v>
      </c>
      <c r="Q10" s="65">
        <v>1091.6</v>
      </c>
      <c r="R10" s="58">
        <f t="shared" si="19"/>
        <v>656.0096153846154</v>
      </c>
      <c r="S10" s="61"/>
      <c r="T10" s="61">
        <v>553.7</v>
      </c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166.4</v>
      </c>
      <c r="Z10" s="62">
        <f t="shared" si="11"/>
        <v>1645.3</v>
      </c>
      <c r="AA10" s="58">
        <f t="shared" si="12"/>
        <v>988.7620192307692</v>
      </c>
      <c r="AB10" s="61"/>
      <c r="AC10" s="61">
        <v>50.7</v>
      </c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50.7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4147.1</v>
      </c>
      <c r="AU10" s="94">
        <f t="shared" si="23"/>
        <v>4028.5999999999995</v>
      </c>
      <c r="AV10" s="58">
        <f>AU10/AT10*100</f>
        <v>97.14258156301993</v>
      </c>
      <c r="AW10" s="62">
        <f>AT10-AU10</f>
        <v>118.50000000000091</v>
      </c>
      <c r="AX10" s="63">
        <f t="shared" si="18"/>
        <v>-2.3999999999991815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>
        <v>277.7</v>
      </c>
      <c r="Q13" s="61">
        <v>945.4</v>
      </c>
      <c r="R13" s="58">
        <f t="shared" si="19"/>
        <v>340.43932301044293</v>
      </c>
      <c r="S13" s="61"/>
      <c r="T13" s="61"/>
      <c r="U13" s="58" t="e">
        <f t="shared" si="20"/>
        <v>#DIV/0!</v>
      </c>
      <c r="V13" s="61"/>
      <c r="W13" s="61">
        <v>62.7</v>
      </c>
      <c r="X13" s="58" t="e">
        <f t="shared" si="9"/>
        <v>#DIV/0!</v>
      </c>
      <c r="Y13" s="62">
        <f t="shared" si="10"/>
        <v>277.7</v>
      </c>
      <c r="Z13" s="62">
        <f t="shared" si="11"/>
        <v>1008.1</v>
      </c>
      <c r="AA13" s="58">
        <f t="shared" si="12"/>
        <v>363.0176449405834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3361.2</v>
      </c>
      <c r="AU13" s="94">
        <f t="shared" si="23"/>
        <v>3160.4999999999995</v>
      </c>
      <c r="AV13" s="58">
        <f t="shared" si="17"/>
        <v>94.02891824348445</v>
      </c>
      <c r="AW13" s="62">
        <f t="shared" si="22"/>
        <v>200.70000000000027</v>
      </c>
      <c r="AX13" s="63">
        <f t="shared" si="18"/>
        <v>-450.39999999999964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2662.9</v>
      </c>
      <c r="Q14" s="75">
        <f t="shared" si="24"/>
        <v>5625</v>
      </c>
      <c r="R14" s="75" t="e">
        <f t="shared" si="24"/>
        <v>#DIV/0!</v>
      </c>
      <c r="S14" s="75">
        <f t="shared" si="24"/>
        <v>1009.4</v>
      </c>
      <c r="T14" s="75">
        <f t="shared" si="24"/>
        <v>1976.6</v>
      </c>
      <c r="U14" s="75" t="e">
        <f t="shared" si="24"/>
        <v>#DIV/0!</v>
      </c>
      <c r="V14" s="75">
        <f t="shared" si="24"/>
        <v>1009.5999999999999</v>
      </c>
      <c r="W14" s="75">
        <f t="shared" si="24"/>
        <v>2586.2</v>
      </c>
      <c r="X14" s="58">
        <f t="shared" si="9"/>
        <v>256.1608557844691</v>
      </c>
      <c r="Y14" s="58">
        <f t="shared" si="10"/>
        <v>4681.9</v>
      </c>
      <c r="Z14" s="58">
        <f t="shared" si="11"/>
        <v>10187.8</v>
      </c>
      <c r="AA14" s="58">
        <f t="shared" si="12"/>
        <v>217.59969243255944</v>
      </c>
      <c r="AB14" s="75">
        <f aca="true" t="shared" si="25" ref="AB14:AI14">SUM(AB15:AB22)</f>
        <v>1007.4</v>
      </c>
      <c r="AC14" s="75">
        <f t="shared" si="25"/>
        <v>1094.8</v>
      </c>
      <c r="AD14" s="75">
        <f t="shared" si="25"/>
        <v>0</v>
      </c>
      <c r="AE14" s="75">
        <f t="shared" si="25"/>
        <v>1007.5</v>
      </c>
      <c r="AF14" s="75">
        <f t="shared" si="25"/>
        <v>247.60000000000002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2014.9</v>
      </c>
      <c r="AL14" s="58">
        <f t="shared" si="21"/>
        <v>1342.4</v>
      </c>
      <c r="AM14" s="58">
        <f t="shared" si="15"/>
        <v>66.6236537793439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39139.3</v>
      </c>
      <c r="AU14" s="57">
        <f t="shared" si="23"/>
        <v>32085.100000000002</v>
      </c>
      <c r="AV14" s="58">
        <f t="shared" si="17"/>
        <v>81.97668328253188</v>
      </c>
      <c r="AW14" s="58">
        <f t="shared" si="22"/>
        <v>7054.200000000001</v>
      </c>
      <c r="AX14" s="79">
        <f t="shared" si="18"/>
        <v>8738.8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>
        <v>709.8</v>
      </c>
      <c r="Q15" s="61">
        <v>2782.6</v>
      </c>
      <c r="R15" s="58">
        <f t="shared" si="19"/>
        <v>392.0259227951536</v>
      </c>
      <c r="S15" s="61"/>
      <c r="T15" s="61">
        <v>236.4</v>
      </c>
      <c r="U15" s="58" t="e">
        <f t="shared" si="20"/>
        <v>#DIV/0!</v>
      </c>
      <c r="V15" s="61"/>
      <c r="W15" s="61">
        <v>506.2</v>
      </c>
      <c r="X15" s="58" t="e">
        <f t="shared" si="9"/>
        <v>#DIV/0!</v>
      </c>
      <c r="Y15" s="62">
        <f t="shared" si="10"/>
        <v>709.8</v>
      </c>
      <c r="Z15" s="62">
        <f t="shared" si="11"/>
        <v>3525.2</v>
      </c>
      <c r="AA15" s="58">
        <f t="shared" si="12"/>
        <v>496.64694280078896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11668.8</v>
      </c>
      <c r="AU15" s="94">
        <f t="shared" si="23"/>
        <v>11584.4</v>
      </c>
      <c r="AV15" s="58">
        <f t="shared" si="17"/>
        <v>99.27670368846839</v>
      </c>
      <c r="AW15" s="62">
        <f t="shared" si="22"/>
        <v>84.39999999999964</v>
      </c>
      <c r="AX15" s="63">
        <f t="shared" si="18"/>
        <v>-1.3999999999996362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>
        <v>245.5</v>
      </c>
      <c r="Q16" s="61">
        <v>1855.2</v>
      </c>
      <c r="R16" s="58">
        <f t="shared" si="19"/>
        <v>755.6822810590631</v>
      </c>
      <c r="S16" s="61"/>
      <c r="T16" s="61">
        <v>2.3</v>
      </c>
      <c r="U16" s="58" t="e">
        <f t="shared" si="20"/>
        <v>#DIV/0!</v>
      </c>
      <c r="V16" s="61"/>
      <c r="W16" s="61">
        <v>1.2</v>
      </c>
      <c r="X16" s="58" t="e">
        <f t="shared" si="9"/>
        <v>#DIV/0!</v>
      </c>
      <c r="Y16" s="62">
        <f t="shared" si="10"/>
        <v>245.5</v>
      </c>
      <c r="Z16" s="62">
        <f t="shared" si="11"/>
        <v>1858.7</v>
      </c>
      <c r="AA16" s="58">
        <f t="shared" si="12"/>
        <v>757.1079429735234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5134.8</v>
      </c>
      <c r="AU16" s="94">
        <f t="shared" si="23"/>
        <v>4339.9</v>
      </c>
      <c r="AV16" s="58">
        <f t="shared" si="17"/>
        <v>84.51935810547636</v>
      </c>
      <c r="AW16" s="62">
        <f t="shared" si="22"/>
        <v>794.9000000000005</v>
      </c>
      <c r="AX16" s="63">
        <f t="shared" si="18"/>
        <v>-2.2999999999992724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>
        <v>115.9</v>
      </c>
      <c r="Q17" s="61">
        <v>815.9</v>
      </c>
      <c r="R17" s="58">
        <f t="shared" si="19"/>
        <v>703.9689387402933</v>
      </c>
      <c r="S17" s="61"/>
      <c r="T17" s="61">
        <v>1078.5</v>
      </c>
      <c r="U17" s="58" t="e">
        <f t="shared" si="20"/>
        <v>#DIV/0!</v>
      </c>
      <c r="V17" s="61"/>
      <c r="W17" s="61">
        <v>94.7</v>
      </c>
      <c r="X17" s="58" t="e">
        <f t="shared" si="9"/>
        <v>#DIV/0!</v>
      </c>
      <c r="Y17" s="62">
        <f t="shared" si="10"/>
        <v>115.9</v>
      </c>
      <c r="Z17" s="62">
        <f t="shared" si="11"/>
        <v>1989.1000000000001</v>
      </c>
      <c r="AA17" s="58">
        <f t="shared" si="12"/>
        <v>1716.220880069025</v>
      </c>
      <c r="AB17" s="61">
        <v>0</v>
      </c>
      <c r="AC17" s="61">
        <v>397.3</v>
      </c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397.3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6154.499999999999</v>
      </c>
      <c r="AU17" s="94">
        <f t="shared" si="23"/>
        <v>6235.200000000001</v>
      </c>
      <c r="AV17" s="58">
        <f t="shared" si="17"/>
        <v>101.3112356812089</v>
      </c>
      <c r="AW17" s="62">
        <f t="shared" si="22"/>
        <v>-80.70000000000164</v>
      </c>
      <c r="AX17" s="63">
        <f t="shared" si="18"/>
        <v>147.699999999998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>
        <f>1547.5+44.2</f>
        <v>1591.7</v>
      </c>
      <c r="Q19" s="61">
        <f>137.3+34</f>
        <v>171.3</v>
      </c>
      <c r="R19" s="58">
        <f t="shared" si="19"/>
        <v>10.762078281083118</v>
      </c>
      <c r="S19" s="61">
        <f>993.6+15.8</f>
        <v>1009.4</v>
      </c>
      <c r="T19" s="61">
        <f>597.6+61.8</f>
        <v>659.4</v>
      </c>
      <c r="U19" s="58">
        <f t="shared" si="20"/>
        <v>65.3259361997226</v>
      </c>
      <c r="V19" s="61">
        <f>993.8+15.8</f>
        <v>1009.5999999999999</v>
      </c>
      <c r="W19" s="61">
        <v>1984.1</v>
      </c>
      <c r="X19" s="66">
        <f t="shared" si="9"/>
        <v>196.52337559429478</v>
      </c>
      <c r="Y19" s="62">
        <f t="shared" si="10"/>
        <v>3610.7</v>
      </c>
      <c r="Z19" s="62">
        <f t="shared" si="11"/>
        <v>2814.8</v>
      </c>
      <c r="AA19" s="58">
        <f t="shared" si="12"/>
        <v>77.95718281773618</v>
      </c>
      <c r="AB19" s="61">
        <f>991.6+15.8</f>
        <v>1007.4</v>
      </c>
      <c r="AC19" s="61">
        <v>697.5</v>
      </c>
      <c r="AD19" s="58"/>
      <c r="AE19" s="61">
        <f>991.7+15.8</f>
        <v>1007.5</v>
      </c>
      <c r="AF19" s="61">
        <f>200.3+47.3</f>
        <v>247.60000000000002</v>
      </c>
      <c r="AG19" s="58"/>
      <c r="AH19" s="61"/>
      <c r="AI19" s="61"/>
      <c r="AJ19" s="58" t="e">
        <f t="shared" si="14"/>
        <v>#DIV/0!</v>
      </c>
      <c r="AK19" s="62">
        <f t="shared" si="21"/>
        <v>2014.9</v>
      </c>
      <c r="AL19" s="62">
        <f t="shared" si="21"/>
        <v>945.1</v>
      </c>
      <c r="AM19" s="58">
        <f t="shared" si="15"/>
        <v>46.9055536254901</v>
      </c>
      <c r="AN19" s="61"/>
      <c r="AO19" s="61"/>
      <c r="AP19" s="61"/>
      <c r="AQ19" s="61"/>
      <c r="AR19" s="61"/>
      <c r="AS19" s="61"/>
      <c r="AT19" s="94">
        <f t="shared" si="23"/>
        <v>16181.199999999999</v>
      </c>
      <c r="AU19" s="94">
        <f t="shared" si="23"/>
        <v>9925.6</v>
      </c>
      <c r="AV19" s="58">
        <f t="shared" si="17"/>
        <v>61.3403208661904</v>
      </c>
      <c r="AW19" s="62">
        <f t="shared" si="22"/>
        <v>6255.5999999999985</v>
      </c>
      <c r="AX19" s="63">
        <f t="shared" si="18"/>
        <v>8594.799999999997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961.1</v>
      </c>
      <c r="Q23" s="75">
        <f t="shared" si="27"/>
        <v>4727.8</v>
      </c>
      <c r="R23" s="75" t="e">
        <f t="shared" si="27"/>
        <v>#DIV/0!</v>
      </c>
      <c r="S23" s="75">
        <f t="shared" si="27"/>
        <v>0</v>
      </c>
      <c r="T23" s="75">
        <f t="shared" si="27"/>
        <v>2743.2999999999997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961.1</v>
      </c>
      <c r="Z23" s="58">
        <f t="shared" si="11"/>
        <v>7471.1</v>
      </c>
      <c r="AA23" s="58">
        <f t="shared" si="12"/>
        <v>777.3488710852149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21836</v>
      </c>
      <c r="AU23" s="57">
        <f t="shared" si="23"/>
        <v>21511.5</v>
      </c>
      <c r="AV23" s="58">
        <f t="shared" si="17"/>
        <v>98.51392196372963</v>
      </c>
      <c r="AW23" s="58">
        <f t="shared" si="22"/>
        <v>324.5</v>
      </c>
      <c r="AX23" s="79">
        <f t="shared" si="18"/>
        <v>1111.9000000000015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>
        <v>88.5</v>
      </c>
      <c r="Q24" s="61">
        <v>490.3</v>
      </c>
      <c r="R24" s="58">
        <f t="shared" si="19"/>
        <v>554.0112994350283</v>
      </c>
      <c r="S24" s="61"/>
      <c r="T24" s="61">
        <v>62.5</v>
      </c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88.5</v>
      </c>
      <c r="Z24" s="62">
        <f t="shared" si="11"/>
        <v>552.8</v>
      </c>
      <c r="AA24" s="58">
        <f t="shared" si="12"/>
        <v>624.632768361582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1579.6</v>
      </c>
      <c r="AU24" s="94">
        <f t="shared" si="23"/>
        <v>1579.6000000000001</v>
      </c>
      <c r="AV24" s="58">
        <f t="shared" si="17"/>
        <v>100.00000000000003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>
        <v>316</v>
      </c>
      <c r="Q25" s="61">
        <v>2281.7</v>
      </c>
      <c r="R25" s="58">
        <f t="shared" si="19"/>
        <v>722.0569620253164</v>
      </c>
      <c r="S25" s="61"/>
      <c r="T25" s="61">
        <v>328.6</v>
      </c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316</v>
      </c>
      <c r="Z25" s="62">
        <f t="shared" si="11"/>
        <v>2610.2999999999997</v>
      </c>
      <c r="AA25" s="58">
        <f t="shared" si="12"/>
        <v>826.0443037974684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8378.6</v>
      </c>
      <c r="AU25" s="94">
        <f t="shared" si="23"/>
        <v>8306.199999999999</v>
      </c>
      <c r="AV25" s="58">
        <f t="shared" si="17"/>
        <v>99.13589382474397</v>
      </c>
      <c r="AW25" s="62">
        <f t="shared" si="22"/>
        <v>72.40000000000146</v>
      </c>
      <c r="AX25" s="63">
        <f t="shared" si="18"/>
        <v>10.000000000001819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>
        <v>556.6</v>
      </c>
      <c r="Q26" s="61">
        <v>1955.8</v>
      </c>
      <c r="R26" s="58">
        <f t="shared" si="19"/>
        <v>351.38339920948613</v>
      </c>
      <c r="S26" s="61"/>
      <c r="T26" s="61">
        <v>2352.2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556.6</v>
      </c>
      <c r="Z26" s="62">
        <f t="shared" si="11"/>
        <v>4308</v>
      </c>
      <c r="AA26" s="58">
        <f t="shared" si="12"/>
        <v>773.9849083722601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11877.800000000001</v>
      </c>
      <c r="AU26" s="94">
        <f t="shared" si="23"/>
        <v>11625.7</v>
      </c>
      <c r="AV26" s="58">
        <f t="shared" si="17"/>
        <v>97.87755308222062</v>
      </c>
      <c r="AW26" s="62">
        <f t="shared" si="22"/>
        <v>252.10000000000036</v>
      </c>
      <c r="AX26" s="63">
        <f t="shared" si="18"/>
        <v>1101.8999999999996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833.8</v>
      </c>
      <c r="Q30" s="108">
        <f t="shared" si="32"/>
        <v>7770.4</v>
      </c>
      <c r="R30" s="108" t="e">
        <f t="shared" si="32"/>
        <v>#DIV/0!</v>
      </c>
      <c r="S30" s="108">
        <f t="shared" si="32"/>
        <v>0</v>
      </c>
      <c r="T30" s="108">
        <f t="shared" si="32"/>
        <v>3159.8</v>
      </c>
      <c r="U30" s="108" t="e">
        <f t="shared" si="32"/>
        <v>#DIV/0!</v>
      </c>
      <c r="V30" s="108">
        <f t="shared" si="32"/>
        <v>0</v>
      </c>
      <c r="W30" s="108">
        <f t="shared" si="32"/>
        <v>27.4</v>
      </c>
      <c r="X30" s="56" t="e">
        <f t="shared" si="31"/>
        <v>#DIV/0!</v>
      </c>
      <c r="Y30" s="56">
        <f t="shared" si="10"/>
        <v>833.8</v>
      </c>
      <c r="Z30" s="56">
        <f t="shared" si="11"/>
        <v>10957.6</v>
      </c>
      <c r="AA30" s="56">
        <f t="shared" si="12"/>
        <v>1314.176061405613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0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39262.6</v>
      </c>
      <c r="AU30" s="57">
        <f t="shared" si="23"/>
        <v>38847.2</v>
      </c>
      <c r="AV30" s="56">
        <f t="shared" si="17"/>
        <v>98.94199569055539</v>
      </c>
      <c r="AW30" s="56">
        <f>AT30-AU30</f>
        <v>415.40000000000146</v>
      </c>
      <c r="AX30" s="55">
        <f t="shared" si="18"/>
        <v>379.90000000000146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>
        <v>212.6</v>
      </c>
      <c r="Q31" s="65">
        <v>970.8</v>
      </c>
      <c r="R31" s="58">
        <f t="shared" si="19"/>
        <v>456.6321730950141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212.6</v>
      </c>
      <c r="Z31" s="62">
        <f t="shared" si="11"/>
        <v>970.8</v>
      </c>
      <c r="AA31" s="58">
        <f t="shared" si="12"/>
        <v>456.6321730950141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2778.9</v>
      </c>
      <c r="AU31" s="94">
        <f t="shared" si="23"/>
        <v>2778.8999999999996</v>
      </c>
      <c r="AV31" s="58">
        <f>AU31/AT31*100</f>
        <v>99.99999999999999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>
        <v>53.6</v>
      </c>
      <c r="Q33" s="61">
        <v>1562.9</v>
      </c>
      <c r="R33" s="58">
        <f t="shared" si="19"/>
        <v>2915.858208955224</v>
      </c>
      <c r="S33" s="61"/>
      <c r="T33" s="61">
        <v>86.1</v>
      </c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53.6</v>
      </c>
      <c r="Z33" s="62">
        <f t="shared" si="11"/>
        <v>1649</v>
      </c>
      <c r="AA33" s="58">
        <f t="shared" si="12"/>
        <v>3076.492537313433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4510.900000000001</v>
      </c>
      <c r="AU33" s="94">
        <f t="shared" si="23"/>
        <v>4445.1</v>
      </c>
      <c r="AV33" s="58">
        <f t="shared" si="37"/>
        <v>98.54131104657607</v>
      </c>
      <c r="AW33" s="62">
        <f t="shared" si="38"/>
        <v>65.80000000000018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>
        <f>36.5+111.4</f>
        <v>147.9</v>
      </c>
      <c r="Q35" s="61">
        <f>1044.3+1471.1</f>
        <v>2515.3999999999996</v>
      </c>
      <c r="R35" s="58">
        <f t="shared" si="19"/>
        <v>1700.7437457741717</v>
      </c>
      <c r="S35" s="61"/>
      <c r="T35" s="61">
        <f>1368.2+11.2</f>
        <v>1379.4</v>
      </c>
      <c r="U35" s="58" t="e">
        <f t="shared" si="20"/>
        <v>#DIV/0!</v>
      </c>
      <c r="V35" s="61"/>
      <c r="W35" s="61">
        <f>27.4</f>
        <v>27.4</v>
      </c>
      <c r="X35" s="58" t="e">
        <f t="shared" si="31"/>
        <v>#DIV/0!</v>
      </c>
      <c r="Y35" s="62">
        <f t="shared" si="10"/>
        <v>147.9</v>
      </c>
      <c r="Z35" s="62">
        <f t="shared" si="11"/>
        <v>3922.2</v>
      </c>
      <c r="AA35" s="58">
        <f t="shared" si="12"/>
        <v>2651.9269776876263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18235.600000000002</v>
      </c>
      <c r="AU35" s="94">
        <f t="shared" si="23"/>
        <v>18146.5</v>
      </c>
      <c r="AV35" s="58">
        <f t="shared" si="37"/>
        <v>99.51139529272412</v>
      </c>
      <c r="AW35" s="62">
        <f t="shared" si="38"/>
        <v>89.10000000000218</v>
      </c>
      <c r="AX35" s="63">
        <f t="shared" si="18"/>
        <v>-0.09999999999854481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>
        <v>43.8</v>
      </c>
      <c r="Q36" s="61">
        <v>899.8</v>
      </c>
      <c r="R36" s="58">
        <f t="shared" si="19"/>
        <v>2054.337899543379</v>
      </c>
      <c r="S36" s="61"/>
      <c r="T36" s="61">
        <v>43.8</v>
      </c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43.8</v>
      </c>
      <c r="Z36" s="62">
        <f t="shared" si="11"/>
        <v>943.5999999999999</v>
      </c>
      <c r="AA36" s="58">
        <f t="shared" si="12"/>
        <v>2154.3378995433786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4048.4000000000005</v>
      </c>
      <c r="AU36" s="94">
        <f t="shared" si="23"/>
        <v>3828.7</v>
      </c>
      <c r="AV36" s="58">
        <f t="shared" si="37"/>
        <v>94.57316470704474</v>
      </c>
      <c r="AW36" s="62">
        <f t="shared" si="38"/>
        <v>219.70000000000073</v>
      </c>
      <c r="AX36" s="63">
        <f t="shared" si="18"/>
        <v>320.0000000000009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>
        <v>375.9</v>
      </c>
      <c r="Q38" s="61">
        <v>1821.5</v>
      </c>
      <c r="R38" s="58">
        <f t="shared" si="19"/>
        <v>484.5703644586327</v>
      </c>
      <c r="S38" s="61"/>
      <c r="T38" s="61">
        <v>1650.5</v>
      </c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375.9</v>
      </c>
      <c r="Z38" s="62">
        <f t="shared" si="11"/>
        <v>3472</v>
      </c>
      <c r="AA38" s="58">
        <f t="shared" si="12"/>
        <v>923.6499068901304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9688.8</v>
      </c>
      <c r="AU38" s="94">
        <f t="shared" si="23"/>
        <v>9648</v>
      </c>
      <c r="AV38" s="58">
        <f t="shared" si="37"/>
        <v>99.5788952192222</v>
      </c>
      <c r="AW38" s="62">
        <f t="shared" si="38"/>
        <v>40.79999999999927</v>
      </c>
      <c r="AX38" s="63">
        <f t="shared" si="18"/>
        <v>60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1957.2</v>
      </c>
      <c r="Q39" s="75">
        <f t="shared" si="39"/>
        <v>4246.5</v>
      </c>
      <c r="R39" s="75" t="e">
        <f t="shared" si="39"/>
        <v>#DIV/0!</v>
      </c>
      <c r="S39" s="75">
        <f t="shared" si="39"/>
        <v>0</v>
      </c>
      <c r="T39" s="75">
        <f t="shared" si="39"/>
        <v>3159.9</v>
      </c>
      <c r="U39" s="75" t="e">
        <f t="shared" si="39"/>
        <v>#DIV/0!</v>
      </c>
      <c r="V39" s="75">
        <f t="shared" si="39"/>
        <v>0</v>
      </c>
      <c r="W39" s="75">
        <f t="shared" si="39"/>
        <v>2509.3</v>
      </c>
      <c r="X39" s="58" t="e">
        <f t="shared" si="31"/>
        <v>#DIV/0!</v>
      </c>
      <c r="Y39" s="58">
        <f t="shared" si="10"/>
        <v>1957.2</v>
      </c>
      <c r="Z39" s="58">
        <f t="shared" si="11"/>
        <v>9915.7</v>
      </c>
      <c r="AA39" s="58">
        <f t="shared" si="12"/>
        <v>506.626813815655</v>
      </c>
      <c r="AB39" s="75">
        <f aca="true" t="shared" si="40" ref="AB39:AI39">SUM(AB40:AB44)</f>
        <v>0</v>
      </c>
      <c r="AC39" s="75">
        <f t="shared" si="40"/>
        <v>2410.4</v>
      </c>
      <c r="AD39" s="75">
        <f t="shared" si="40"/>
        <v>0</v>
      </c>
      <c r="AE39" s="75">
        <f t="shared" si="40"/>
        <v>0</v>
      </c>
      <c r="AF39" s="75">
        <f t="shared" si="40"/>
        <v>2410.4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4820.8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34854.7</v>
      </c>
      <c r="AU39" s="57">
        <f t="shared" si="23"/>
        <v>33005.1</v>
      </c>
      <c r="AV39" s="58">
        <f t="shared" si="37"/>
        <v>94.69339859473759</v>
      </c>
      <c r="AW39" s="58">
        <f t="shared" si="38"/>
        <v>1849.5999999999985</v>
      </c>
      <c r="AX39" s="79">
        <f t="shared" si="18"/>
        <v>2467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>
        <f>1443.8+302.2</f>
        <v>1746</v>
      </c>
      <c r="Q42" s="61">
        <f>2406.9+377.4</f>
        <v>2784.3</v>
      </c>
      <c r="R42" s="58">
        <f t="shared" si="19"/>
        <v>159.46735395189003</v>
      </c>
      <c r="S42" s="61"/>
      <c r="T42" s="61">
        <f>2660.4+289.6</f>
        <v>2950</v>
      </c>
      <c r="U42" s="58" t="e">
        <f t="shared" si="20"/>
        <v>#DIV/0!</v>
      </c>
      <c r="V42" s="61"/>
      <c r="W42" s="61">
        <f>216.8+2292.5</f>
        <v>2509.3</v>
      </c>
      <c r="X42" s="58" t="e">
        <f t="shared" si="31"/>
        <v>#DIV/0!</v>
      </c>
      <c r="Y42" s="62">
        <f t="shared" si="44"/>
        <v>1746</v>
      </c>
      <c r="Z42" s="62">
        <f t="shared" si="45"/>
        <v>8243.6</v>
      </c>
      <c r="AA42" s="58">
        <f t="shared" si="12"/>
        <v>472.14203894616264</v>
      </c>
      <c r="AB42" s="61"/>
      <c r="AC42" s="61">
        <f>2193.6+216.8</f>
        <v>2410.4</v>
      </c>
      <c r="AD42" s="58"/>
      <c r="AE42" s="61"/>
      <c r="AF42" s="61">
        <f>2193.6+216.8</f>
        <v>2410.4</v>
      </c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4820.8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29659.8</v>
      </c>
      <c r="AU42" s="94">
        <f t="shared" si="23"/>
        <v>28358.2</v>
      </c>
      <c r="AV42" s="58">
        <f t="shared" si="37"/>
        <v>95.61156852035415</v>
      </c>
      <c r="AW42" s="62">
        <f t="shared" si="38"/>
        <v>1301.5999999999985</v>
      </c>
      <c r="AX42" s="63">
        <f t="shared" si="46"/>
        <v>2463.5</v>
      </c>
      <c r="AY42" s="14">
        <f>2152.7</f>
        <v>2152.7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>
        <v>211.2</v>
      </c>
      <c r="Q44" s="61">
        <v>1462.2</v>
      </c>
      <c r="R44" s="58">
        <f t="shared" si="19"/>
        <v>692.3295454545455</v>
      </c>
      <c r="S44" s="61"/>
      <c r="T44" s="61">
        <f>204.7+5.2</f>
        <v>209.89999999999998</v>
      </c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211.2</v>
      </c>
      <c r="Z44" s="62">
        <f t="shared" si="45"/>
        <v>1672.1</v>
      </c>
      <c r="AA44" s="58">
        <f t="shared" si="12"/>
        <v>791.7140151515151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5194.9</v>
      </c>
      <c r="AU44" s="94">
        <f t="shared" si="23"/>
        <v>4646.9</v>
      </c>
      <c r="AV44" s="58">
        <f t="shared" si="37"/>
        <v>89.4511925157366</v>
      </c>
      <c r="AW44" s="62">
        <f t="shared" si="38"/>
        <v>548</v>
      </c>
      <c r="AX44" s="63">
        <f t="shared" si="46"/>
        <v>3.5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37.4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811.5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37.4</v>
      </c>
      <c r="Z45" s="58">
        <f t="shared" si="45"/>
        <v>811.5</v>
      </c>
      <c r="AA45" s="58">
        <f t="shared" si="12"/>
        <v>2169.7860962566847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12137.300000000001</v>
      </c>
      <c r="AU45" s="57">
        <f t="shared" si="23"/>
        <v>1059.8</v>
      </c>
      <c r="AV45" s="58">
        <f t="shared" si="37"/>
        <v>8.73176077051733</v>
      </c>
      <c r="AW45" s="58">
        <f t="shared" si="38"/>
        <v>11077.500000000002</v>
      </c>
      <c r="AX45" s="79">
        <f t="shared" si="46"/>
        <v>10219.300000000001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>
        <v>37.4</v>
      </c>
      <c r="Q50" s="61"/>
      <c r="R50" s="58">
        <f t="shared" si="19"/>
        <v>0</v>
      </c>
      <c r="S50" s="61"/>
      <c r="T50" s="61">
        <v>811.5</v>
      </c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37.4</v>
      </c>
      <c r="Z50" s="62">
        <f t="shared" si="45"/>
        <v>811.5</v>
      </c>
      <c r="AA50" s="58">
        <f t="shared" si="12"/>
        <v>2169.7860962566847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811.5</v>
      </c>
      <c r="AU50" s="94">
        <f t="shared" si="23"/>
        <v>811.5</v>
      </c>
      <c r="AV50" s="58">
        <f t="shared" si="17"/>
        <v>100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>
        <v>1.6</v>
      </c>
      <c r="Q57" s="61">
        <f>716.8+79.4</f>
        <v>796.1999999999999</v>
      </c>
      <c r="R57" s="58">
        <f t="shared" si="19"/>
        <v>49762.49999999999</v>
      </c>
      <c r="S57" s="61"/>
      <c r="T57" s="61">
        <v>1.6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1.6</v>
      </c>
      <c r="Z57" s="62">
        <f t="shared" si="45"/>
        <v>797.8</v>
      </c>
      <c r="AA57" s="58">
        <f t="shared" si="12"/>
        <v>49862.49999999999</v>
      </c>
      <c r="AB57" s="61"/>
      <c r="AC57" s="61">
        <v>42.3</v>
      </c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42.3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2658.2</v>
      </c>
      <c r="AU57" s="94">
        <f t="shared" si="23"/>
        <v>2248.5</v>
      </c>
      <c r="AV57" s="58">
        <f t="shared" si="17"/>
        <v>84.5873147242495</v>
      </c>
      <c r="AW57" s="62">
        <f t="shared" si="22"/>
        <v>409.6999999999998</v>
      </c>
      <c r="AX57" s="63">
        <f t="shared" si="46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>
        <v>1029.7</v>
      </c>
      <c r="Q60" s="61">
        <v>7427.5</v>
      </c>
      <c r="R60" s="58">
        <f t="shared" si="19"/>
        <v>721.3265999805768</v>
      </c>
      <c r="S60" s="61"/>
      <c r="T60" s="61">
        <v>952.7</v>
      </c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1029.7</v>
      </c>
      <c r="Z60" s="62">
        <f t="shared" si="45"/>
        <v>8380.2</v>
      </c>
      <c r="AA60" s="58">
        <f t="shared" si="12"/>
        <v>813.848693794309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28568.5</v>
      </c>
      <c r="AU60" s="94">
        <f t="shared" si="23"/>
        <v>26013.7</v>
      </c>
      <c r="AV60" s="58">
        <f t="shared" si="17"/>
        <v>91.05728337154558</v>
      </c>
      <c r="AW60" s="62">
        <f t="shared" si="22"/>
        <v>2554.7999999999993</v>
      </c>
      <c r="AX60" s="63">
        <f t="shared" si="46"/>
        <v>2106.2999999999993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11858.7</v>
      </c>
      <c r="K61" s="109">
        <f>SUM(K62:K71)</f>
        <v>9335.1</v>
      </c>
      <c r="L61" s="58">
        <f t="shared" si="50"/>
        <v>78.71942118444686</v>
      </c>
      <c r="M61" s="58">
        <f t="shared" si="42"/>
        <v>31908</v>
      </c>
      <c r="N61" s="58">
        <f t="shared" si="43"/>
        <v>18540</v>
      </c>
      <c r="O61" s="58">
        <f t="shared" si="7"/>
        <v>58.10455058292591</v>
      </c>
      <c r="P61" s="109">
        <f aca="true" t="shared" si="54" ref="P61:W61">SUM(P62:P71)</f>
        <v>3033.8</v>
      </c>
      <c r="Q61" s="109">
        <f t="shared" si="54"/>
        <v>13328.399999999998</v>
      </c>
      <c r="R61" s="109" t="e">
        <f t="shared" si="54"/>
        <v>#DIV/0!</v>
      </c>
      <c r="S61" s="109">
        <f t="shared" si="54"/>
        <v>-8</v>
      </c>
      <c r="T61" s="109">
        <f t="shared" si="54"/>
        <v>1704.1</v>
      </c>
      <c r="U61" s="109" t="e">
        <f t="shared" si="54"/>
        <v>#DIV/0!</v>
      </c>
      <c r="V61" s="109">
        <f t="shared" si="54"/>
        <v>6.6</v>
      </c>
      <c r="W61" s="109">
        <f t="shared" si="54"/>
        <v>387.4</v>
      </c>
      <c r="X61" s="58">
        <f t="shared" si="51"/>
        <v>5869.69696969697</v>
      </c>
      <c r="Y61" s="58">
        <f t="shared" si="44"/>
        <v>3032.4</v>
      </c>
      <c r="Z61" s="58">
        <f t="shared" si="45"/>
        <v>15419.899999999998</v>
      </c>
      <c r="AA61" s="58">
        <f t="shared" si="12"/>
        <v>508.5048146682495</v>
      </c>
      <c r="AB61" s="109">
        <f aca="true" t="shared" si="55" ref="AB61:AI61">SUM(AB62:AB71)</f>
        <v>9</v>
      </c>
      <c r="AC61" s="109">
        <f t="shared" si="55"/>
        <v>19.7</v>
      </c>
      <c r="AD61" s="109">
        <f t="shared" si="55"/>
        <v>0</v>
      </c>
      <c r="AE61" s="109">
        <f t="shared" si="55"/>
        <v>4.7</v>
      </c>
      <c r="AF61" s="109">
        <f t="shared" si="55"/>
        <v>246.5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13.7</v>
      </c>
      <c r="AL61" s="58">
        <f t="shared" si="21"/>
        <v>266.2</v>
      </c>
      <c r="AM61" s="58">
        <f t="shared" si="15"/>
        <v>1943.065693430657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34954.1</v>
      </c>
      <c r="AU61" s="57">
        <f t="shared" si="23"/>
        <v>34226.09999999999</v>
      </c>
      <c r="AV61" s="58">
        <f t="shared" si="17"/>
        <v>97.91726864659651</v>
      </c>
      <c r="AW61" s="58">
        <f t="shared" si="22"/>
        <v>728.0000000000073</v>
      </c>
      <c r="AX61" s="79">
        <f t="shared" si="46"/>
        <v>3241.80000000001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>
        <f>174.3+1155.8</f>
        <v>1330.1</v>
      </c>
      <c r="Q62" s="61">
        <f>730.6+5237.8</f>
        <v>5968.400000000001</v>
      </c>
      <c r="R62" s="58">
        <f t="shared" si="19"/>
        <v>448.7181414931209</v>
      </c>
      <c r="S62" s="61"/>
      <c r="T62" s="61">
        <v>600.5</v>
      </c>
      <c r="U62" s="58" t="e">
        <f t="shared" si="20"/>
        <v>#DIV/0!</v>
      </c>
      <c r="V62" s="61"/>
      <c r="W62" s="61">
        <v>291.1</v>
      </c>
      <c r="X62" s="58" t="e">
        <f t="shared" si="51"/>
        <v>#DIV/0!</v>
      </c>
      <c r="Y62" s="62">
        <f t="shared" si="44"/>
        <v>1330.1</v>
      </c>
      <c r="Z62" s="62">
        <f t="shared" si="45"/>
        <v>6860.000000000001</v>
      </c>
      <c r="AA62" s="58">
        <f t="shared" si="12"/>
        <v>515.7506954364335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16393.2</v>
      </c>
      <c r="AU62" s="94">
        <f t="shared" si="23"/>
        <v>17226.9</v>
      </c>
      <c r="AV62" s="58">
        <f t="shared" si="17"/>
        <v>105.08564526754995</v>
      </c>
      <c r="AW62" s="62">
        <f t="shared" si="22"/>
        <v>-833.7000000000007</v>
      </c>
      <c r="AX62" s="63">
        <f t="shared" si="46"/>
        <v>-173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>
        <f>524.9</f>
        <v>524.9</v>
      </c>
      <c r="Q63" s="61">
        <f>2939.7+13.4</f>
        <v>2953.1</v>
      </c>
      <c r="R63" s="58">
        <f t="shared" si="19"/>
        <v>562.6024004572299</v>
      </c>
      <c r="S63" s="61">
        <v>-26.1</v>
      </c>
      <c r="T63" s="61">
        <f>3-18.7</f>
        <v>-15.7</v>
      </c>
      <c r="U63" s="58">
        <f t="shared" si="20"/>
        <v>60.15325670498084</v>
      </c>
      <c r="V63" s="61"/>
      <c r="W63" s="61"/>
      <c r="X63" s="58" t="e">
        <f t="shared" si="51"/>
        <v>#DIV/0!</v>
      </c>
      <c r="Y63" s="62">
        <f t="shared" si="44"/>
        <v>498.79999999999995</v>
      </c>
      <c r="Z63" s="62">
        <f t="shared" si="45"/>
        <v>2937.4</v>
      </c>
      <c r="AA63" s="58">
        <f t="shared" si="12"/>
        <v>588.8933440256617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4897.3</v>
      </c>
      <c r="AU63" s="94">
        <f t="shared" si="23"/>
        <v>4897.3</v>
      </c>
      <c r="AV63" s="58">
        <f t="shared" si="17"/>
        <v>100</v>
      </c>
      <c r="AW63" s="62">
        <f t="shared" si="22"/>
        <v>0</v>
      </c>
      <c r="AX63" s="63">
        <f t="shared" si="46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>
        <v>32.8</v>
      </c>
      <c r="Q64" s="61">
        <v>83.8</v>
      </c>
      <c r="R64" s="58">
        <f t="shared" si="19"/>
        <v>255.48780487804882</v>
      </c>
      <c r="S64" s="61"/>
      <c r="T64" s="61">
        <v>16.4</v>
      </c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32.8</v>
      </c>
      <c r="Z64" s="62">
        <f t="shared" si="45"/>
        <v>100.19999999999999</v>
      </c>
      <c r="AA64" s="58">
        <f t="shared" si="12"/>
        <v>305.4878048780488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387.8</v>
      </c>
      <c r="AU64" s="94">
        <f t="shared" si="23"/>
        <v>387.8</v>
      </c>
      <c r="AV64" s="58">
        <f t="shared" si="17"/>
        <v>100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>
        <v>383.9</v>
      </c>
      <c r="Q67" s="61">
        <v>693</v>
      </c>
      <c r="R67" s="58">
        <f t="shared" si="19"/>
        <v>180.51575931232094</v>
      </c>
      <c r="S67" s="61">
        <v>18.1</v>
      </c>
      <c r="T67" s="61">
        <v>599.5</v>
      </c>
      <c r="U67" s="58">
        <f t="shared" si="20"/>
        <v>3312.154696132596</v>
      </c>
      <c r="V67" s="61">
        <v>6.6</v>
      </c>
      <c r="W67" s="61">
        <v>11.7</v>
      </c>
      <c r="X67" s="58">
        <f t="shared" si="51"/>
        <v>177.27272727272728</v>
      </c>
      <c r="Y67" s="62">
        <f t="shared" si="44"/>
        <v>408.6</v>
      </c>
      <c r="Z67" s="62">
        <f t="shared" si="45"/>
        <v>1304.2</v>
      </c>
      <c r="AA67" s="58">
        <f t="shared" si="12"/>
        <v>319.1874694077337</v>
      </c>
      <c r="AB67" s="61">
        <v>9</v>
      </c>
      <c r="AC67" s="61">
        <v>8.2</v>
      </c>
      <c r="AD67" s="58"/>
      <c r="AE67" s="61">
        <v>4.7</v>
      </c>
      <c r="AF67" s="61">
        <v>6.5</v>
      </c>
      <c r="AG67" s="58"/>
      <c r="AH67" s="61"/>
      <c r="AI67" s="61"/>
      <c r="AJ67" s="58"/>
      <c r="AK67" s="62">
        <f t="shared" si="57"/>
        <v>13.7</v>
      </c>
      <c r="AL67" s="62">
        <f t="shared" si="57"/>
        <v>14.7</v>
      </c>
      <c r="AM67" s="58">
        <f t="shared" si="15"/>
        <v>107.2992700729927</v>
      </c>
      <c r="AN67" s="61"/>
      <c r="AO67" s="61"/>
      <c r="AP67" s="61"/>
      <c r="AQ67" s="61"/>
      <c r="AR67" s="61"/>
      <c r="AS67" s="61"/>
      <c r="AT67" s="94">
        <f t="shared" si="23"/>
        <v>1696.0000000000002</v>
      </c>
      <c r="AU67" s="94">
        <f t="shared" si="23"/>
        <v>1696.1000000000001</v>
      </c>
      <c r="AV67" s="58">
        <f t="shared" si="17"/>
        <v>100.00589622641509</v>
      </c>
      <c r="AW67" s="62">
        <f t="shared" si="22"/>
        <v>-0.09999999999990905</v>
      </c>
      <c r="AX67" s="63">
        <f t="shared" si="46"/>
        <v>-0.09999999999990905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>
        <v>0</v>
      </c>
      <c r="Q69" s="61">
        <v>326.3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326.3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1091</v>
      </c>
      <c r="AV69" s="58">
        <f t="shared" si="17"/>
        <v>144.59907223326707</v>
      </c>
      <c r="AW69" s="62">
        <f t="shared" si="22"/>
        <v>-336.5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>
        <v>99.4</v>
      </c>
      <c r="Q70" s="61">
        <v>113.9</v>
      </c>
      <c r="R70" s="58">
        <f>Q70/P70*100</f>
        <v>114.58752515090542</v>
      </c>
      <c r="S70" s="61"/>
      <c r="T70" s="61">
        <v>99.4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99.4</v>
      </c>
      <c r="Z70" s="62">
        <f>Q70+T70+W70</f>
        <v>213.3</v>
      </c>
      <c r="AA70" s="58">
        <f>Z70/Y70*100</f>
        <v>214.58752515090544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435.79999999999995</v>
      </c>
      <c r="AU70" s="94">
        <f>N70+Z70+AL70+AO70+AQ70+AS70</f>
        <v>435.8</v>
      </c>
      <c r="AV70" s="58">
        <f>AU70/AT70*100</f>
        <v>100.00000000000003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3897.6+156.9</f>
        <v>4054.5</v>
      </c>
      <c r="K71" s="61">
        <f>1770.3+143.1</f>
        <v>1913.3999999999999</v>
      </c>
      <c r="L71" s="58">
        <f t="shared" si="50"/>
        <v>47.192008879023305</v>
      </c>
      <c r="M71" s="62">
        <f t="shared" si="42"/>
        <v>9726.8</v>
      </c>
      <c r="N71" s="62">
        <f>E71+H71+K71</f>
        <v>4561.2</v>
      </c>
      <c r="O71" s="58">
        <f t="shared" si="7"/>
        <v>46.89312003947855</v>
      </c>
      <c r="P71" s="61">
        <f>615+47.7</f>
        <v>662.7</v>
      </c>
      <c r="Q71" s="61">
        <f>3016.2+173.7</f>
        <v>3189.8999999999996</v>
      </c>
      <c r="R71" s="58">
        <f t="shared" si="19"/>
        <v>481.349026708918</v>
      </c>
      <c r="S71" s="61"/>
      <c r="T71" s="61">
        <f>367.5+36.5</f>
        <v>404</v>
      </c>
      <c r="U71" s="58" t="e">
        <f t="shared" si="20"/>
        <v>#DIV/0!</v>
      </c>
      <c r="V71" s="61"/>
      <c r="W71" s="61">
        <v>84.6</v>
      </c>
      <c r="X71" s="58" t="e">
        <f t="shared" si="51"/>
        <v>#DIV/0!</v>
      </c>
      <c r="Y71" s="62">
        <f t="shared" si="44"/>
        <v>662.7</v>
      </c>
      <c r="Z71" s="62">
        <f t="shared" si="45"/>
        <v>3678.4999999999995</v>
      </c>
      <c r="AA71" s="58">
        <f t="shared" si="12"/>
        <v>555.0777123887127</v>
      </c>
      <c r="AB71" s="61"/>
      <c r="AC71" s="61">
        <v>11.5</v>
      </c>
      <c r="AD71" s="58"/>
      <c r="AE71" s="61"/>
      <c r="AF71" s="61">
        <v>240</v>
      </c>
      <c r="AG71" s="58"/>
      <c r="AH71" s="61"/>
      <c r="AI71" s="61"/>
      <c r="AJ71" s="58"/>
      <c r="AK71" s="62">
        <f t="shared" si="57"/>
        <v>0</v>
      </c>
      <c r="AL71" s="62">
        <f t="shared" si="57"/>
        <v>251.5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10389.5</v>
      </c>
      <c r="AU71" s="94">
        <f t="shared" si="23"/>
        <v>8491.199999999999</v>
      </c>
      <c r="AV71" s="58">
        <f t="shared" si="17"/>
        <v>81.72866836710139</v>
      </c>
      <c r="AW71" s="62">
        <f t="shared" si="22"/>
        <v>1898.300000000001</v>
      </c>
      <c r="AX71" s="63">
        <f t="shared" si="46"/>
        <v>3414.9000000000015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41582</v>
      </c>
      <c r="Q72" s="75">
        <f t="shared" si="60"/>
        <v>77773.90000000001</v>
      </c>
      <c r="R72" s="75">
        <f t="shared" si="60"/>
        <v>649.593628502926</v>
      </c>
      <c r="S72" s="75">
        <f t="shared" si="60"/>
        <v>2309.5</v>
      </c>
      <c r="T72" s="75">
        <f t="shared" si="60"/>
        <v>37516.9</v>
      </c>
      <c r="U72" s="75">
        <f t="shared" si="60"/>
        <v>2777.150211926359</v>
      </c>
      <c r="V72" s="75">
        <f t="shared" si="60"/>
        <v>1080.3</v>
      </c>
      <c r="W72" s="75">
        <f t="shared" si="60"/>
        <v>6115.900000000001</v>
      </c>
      <c r="X72" s="58">
        <f t="shared" si="51"/>
        <v>566.1297787651579</v>
      </c>
      <c r="Y72" s="58">
        <f t="shared" si="44"/>
        <v>44971.8</v>
      </c>
      <c r="Z72" s="58">
        <f t="shared" si="45"/>
        <v>121406.70000000001</v>
      </c>
      <c r="AA72" s="58">
        <f t="shared" si="12"/>
        <v>269.961842754793</v>
      </c>
      <c r="AB72" s="75">
        <f>SUM(AB73:AB75)</f>
        <v>1026.4</v>
      </c>
      <c r="AC72" s="75">
        <f>SUM(AC73:AC75)</f>
        <v>4724.900000000001</v>
      </c>
      <c r="AD72" s="58">
        <f>AC72/AB72*100</f>
        <v>460.3371005455963</v>
      </c>
      <c r="AE72" s="75">
        <f>SUM(AE73:AE75)</f>
        <v>780.2</v>
      </c>
      <c r="AF72" s="75">
        <f>SUM(AF73:AF75)</f>
        <v>1540.9</v>
      </c>
      <c r="AG72" s="58">
        <f>AF72/AE72*100</f>
        <v>197.5006408613176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7"/>
        <v>1806.6000000000001</v>
      </c>
      <c r="AL72" s="58">
        <f t="shared" si="57"/>
        <v>6265.800000000001</v>
      </c>
      <c r="AM72" s="58">
        <f t="shared" si="15"/>
        <v>346.828296247094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335707.89999999997</v>
      </c>
      <c r="AU72" s="57">
        <f t="shared" si="23"/>
        <v>349039.10000000003</v>
      </c>
      <c r="AV72" s="58">
        <f t="shared" si="17"/>
        <v>103.97107127952606</v>
      </c>
      <c r="AW72" s="79">
        <f>SUM(AW73:AW75)</f>
        <v>-13331.199999999999</v>
      </c>
      <c r="AX72" s="79">
        <f>SUM(AX73:AX75)</f>
        <v>47717.8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>
        <f>8963+30527</f>
        <v>39490</v>
      </c>
      <c r="Q73" s="61">
        <f>16871+58873</f>
        <v>75744</v>
      </c>
      <c r="R73" s="58">
        <f t="shared" si="19"/>
        <v>191.80552038490757</v>
      </c>
      <c r="S73" s="61">
        <f>631+1182</f>
        <v>1813</v>
      </c>
      <c r="T73" s="61">
        <f>6660+29433</f>
        <v>36093</v>
      </c>
      <c r="U73" s="58">
        <f t="shared" si="20"/>
        <v>1990.7887479316053</v>
      </c>
      <c r="V73" s="61">
        <f>202+570</f>
        <v>772</v>
      </c>
      <c r="W73" s="61">
        <f>2101+3667</f>
        <v>5768</v>
      </c>
      <c r="X73" s="58">
        <f>W73/V73*100</f>
        <v>747.1502590673575</v>
      </c>
      <c r="Y73" s="62">
        <f t="shared" si="44"/>
        <v>42075</v>
      </c>
      <c r="Z73" s="62">
        <f t="shared" si="45"/>
        <v>117605</v>
      </c>
      <c r="AA73" s="58">
        <f t="shared" si="12"/>
        <v>279.5127748068924</v>
      </c>
      <c r="AB73" s="61">
        <v>719</v>
      </c>
      <c r="AC73" s="61">
        <f>266+4147</f>
        <v>4413</v>
      </c>
      <c r="AD73" s="58"/>
      <c r="AE73" s="61">
        <f>64+429</f>
        <v>493</v>
      </c>
      <c r="AF73" s="61">
        <f>255+991</f>
        <v>1246</v>
      </c>
      <c r="AG73" s="58"/>
      <c r="AH73" s="61"/>
      <c r="AI73" s="61"/>
      <c r="AJ73" s="58"/>
      <c r="AK73" s="62">
        <f aca="true" t="shared" si="62" ref="AK73:AL75">AB73+AE73+AH73</f>
        <v>1212</v>
      </c>
      <c r="AL73" s="62">
        <f t="shared" si="62"/>
        <v>5659</v>
      </c>
      <c r="AM73" s="58">
        <f t="shared" si="15"/>
        <v>466.9141914191419</v>
      </c>
      <c r="AN73" s="61"/>
      <c r="AO73" s="61"/>
      <c r="AP73" s="61"/>
      <c r="AQ73" s="61"/>
      <c r="AR73" s="61"/>
      <c r="AS73" s="61"/>
      <c r="AT73" s="94">
        <f t="shared" si="23"/>
        <v>323382</v>
      </c>
      <c r="AU73" s="94">
        <f t="shared" si="23"/>
        <v>336857</v>
      </c>
      <c r="AV73" s="58">
        <f t="shared" si="17"/>
        <v>104.16689859052141</v>
      </c>
      <c r="AW73" s="62">
        <f>AT73-AU73</f>
        <v>-13475</v>
      </c>
      <c r="AX73" s="63">
        <f>C73+AT73-AU73</f>
        <v>47574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>
        <v>1846.2</v>
      </c>
      <c r="Q74" s="61">
        <v>1043.6</v>
      </c>
      <c r="R74" s="58">
        <f t="shared" si="19"/>
        <v>56.52692016032932</v>
      </c>
      <c r="S74" s="61">
        <v>461.4</v>
      </c>
      <c r="T74" s="61">
        <v>1242.4</v>
      </c>
      <c r="U74" s="58">
        <f t="shared" si="20"/>
        <v>269.2674469007369</v>
      </c>
      <c r="V74" s="61">
        <v>295.5</v>
      </c>
      <c r="W74" s="61">
        <v>312.8</v>
      </c>
      <c r="X74" s="58">
        <f>W74/V74*100</f>
        <v>105.85448392554993</v>
      </c>
      <c r="Y74" s="62">
        <f t="shared" si="44"/>
        <v>2603.1</v>
      </c>
      <c r="Z74" s="62">
        <f t="shared" si="45"/>
        <v>2598.8</v>
      </c>
      <c r="AA74" s="58">
        <f>Z74/Y74*100</f>
        <v>99.83481233913412</v>
      </c>
      <c r="AB74" s="61">
        <v>307.4</v>
      </c>
      <c r="AC74" s="61">
        <v>299.1</v>
      </c>
      <c r="AD74" s="58"/>
      <c r="AE74" s="61">
        <v>282.7</v>
      </c>
      <c r="AF74" s="61">
        <v>294.9</v>
      </c>
      <c r="AG74" s="58"/>
      <c r="AH74" s="61"/>
      <c r="AI74" s="61"/>
      <c r="AJ74" s="58"/>
      <c r="AK74" s="62">
        <f t="shared" si="62"/>
        <v>590.0999999999999</v>
      </c>
      <c r="AL74" s="62">
        <f t="shared" si="62"/>
        <v>594</v>
      </c>
      <c r="AM74" s="58">
        <f>AL74/AK74*100</f>
        <v>100.66090493136758</v>
      </c>
      <c r="AN74" s="61"/>
      <c r="AO74" s="61"/>
      <c r="AP74" s="61"/>
      <c r="AQ74" s="61"/>
      <c r="AR74" s="61"/>
      <c r="AS74" s="61"/>
      <c r="AT74" s="94">
        <f t="shared" si="23"/>
        <v>8903.6</v>
      </c>
      <c r="AU74" s="94">
        <f t="shared" si="23"/>
        <v>8764.3</v>
      </c>
      <c r="AV74" s="58">
        <f t="shared" si="17"/>
        <v>98.43546430657261</v>
      </c>
      <c r="AW74" s="62">
        <f>AT74-AU74</f>
        <v>139.3000000000011</v>
      </c>
      <c r="AX74" s="63">
        <f>C74+AT74-AU74</f>
        <v>139.3000000000011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>
        <v>245.8</v>
      </c>
      <c r="Q75" s="61">
        <f>373.3+613</f>
        <v>986.3</v>
      </c>
      <c r="R75" s="58">
        <f t="shared" si="19"/>
        <v>401.2611879576891</v>
      </c>
      <c r="S75" s="61">
        <f>4.4+30.7</f>
        <v>35.1</v>
      </c>
      <c r="T75" s="61">
        <f>36.6+144.9</f>
        <v>181.5</v>
      </c>
      <c r="U75" s="58">
        <f t="shared" si="20"/>
        <v>517.0940170940171</v>
      </c>
      <c r="V75" s="61">
        <v>12.8</v>
      </c>
      <c r="W75" s="61">
        <v>35.1</v>
      </c>
      <c r="X75" s="58">
        <f>W75/V75*100</f>
        <v>274.21875</v>
      </c>
      <c r="Y75" s="62">
        <f t="shared" si="44"/>
        <v>293.70000000000005</v>
      </c>
      <c r="Z75" s="62">
        <f t="shared" si="45"/>
        <v>1202.8999999999999</v>
      </c>
      <c r="AA75" s="58">
        <f>Z75/Y75*100</f>
        <v>409.5675859720802</v>
      </c>
      <c r="AB75" s="61"/>
      <c r="AC75" s="61">
        <v>12.8</v>
      </c>
      <c r="AD75" s="58"/>
      <c r="AE75" s="61">
        <v>4.5</v>
      </c>
      <c r="AF75" s="61"/>
      <c r="AG75" s="58"/>
      <c r="AH75" s="61"/>
      <c r="AI75" s="61"/>
      <c r="AJ75" s="58"/>
      <c r="AK75" s="62">
        <f t="shared" si="62"/>
        <v>4.5</v>
      </c>
      <c r="AL75" s="62">
        <f t="shared" si="62"/>
        <v>12.8</v>
      </c>
      <c r="AM75" s="58">
        <f>AL75/AK75*100</f>
        <v>284.44444444444446</v>
      </c>
      <c r="AN75" s="61"/>
      <c r="AO75" s="61"/>
      <c r="AP75" s="61"/>
      <c r="AQ75" s="61"/>
      <c r="AR75" s="61"/>
      <c r="AS75" s="61"/>
      <c r="AT75" s="94">
        <f t="shared" si="23"/>
        <v>3422.3</v>
      </c>
      <c r="AU75" s="94">
        <f t="shared" si="23"/>
        <v>3417.8</v>
      </c>
      <c r="AV75" s="58">
        <f t="shared" si="17"/>
        <v>99.86850948192736</v>
      </c>
      <c r="AW75" s="62">
        <f t="shared" si="22"/>
        <v>4.5</v>
      </c>
      <c r="AX75" s="63">
        <f>C75+AT75-AU75</f>
        <v>4.5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139339.9</v>
      </c>
      <c r="K76" s="79">
        <f>K72+K7</f>
        <v>198182.60000000003</v>
      </c>
      <c r="L76" s="58">
        <f t="shared" si="50"/>
        <v>142.22961262351993</v>
      </c>
      <c r="M76" s="79">
        <f>M72+M7</f>
        <v>484265.69999999995</v>
      </c>
      <c r="N76" s="79">
        <f>N72+N7</f>
        <v>344265</v>
      </c>
      <c r="O76" s="58">
        <f t="shared" si="7"/>
        <v>71.09010611323495</v>
      </c>
      <c r="P76" s="79">
        <f>P72+P7</f>
        <v>52657.4</v>
      </c>
      <c r="Q76" s="79">
        <f>Q72+Q7</f>
        <v>124079.1</v>
      </c>
      <c r="R76" s="58">
        <f t="shared" si="19"/>
        <v>235.63468762225256</v>
      </c>
      <c r="S76" s="79">
        <f>S72+S7</f>
        <v>3310.9</v>
      </c>
      <c r="T76" s="79">
        <f>T72+T7</f>
        <v>52640.100000000006</v>
      </c>
      <c r="U76" s="58">
        <f t="shared" si="20"/>
        <v>1589.9030475097406</v>
      </c>
      <c r="V76" s="79">
        <f>V72+V7</f>
        <v>2096.4999999999995</v>
      </c>
      <c r="W76" s="79">
        <f>W72+W7</f>
        <v>11688.9</v>
      </c>
      <c r="X76" s="58">
        <f>W76/V76*100</f>
        <v>557.54352492249</v>
      </c>
      <c r="Y76" s="79">
        <f>Y72+Y7</f>
        <v>58064.8</v>
      </c>
      <c r="Z76" s="79">
        <f>Z72+Z7</f>
        <v>188408.1</v>
      </c>
      <c r="AA76" s="58">
        <f>Z76/Y76*100</f>
        <v>324.4790303247406</v>
      </c>
      <c r="AB76" s="79">
        <f>AB72+AB7</f>
        <v>2042.8000000000002</v>
      </c>
      <c r="AC76" s="79">
        <f>AC72+AC7</f>
        <v>8342.8</v>
      </c>
      <c r="AD76" s="58">
        <f>AC76/AB76*100</f>
        <v>408.4002349716076</v>
      </c>
      <c r="AE76" s="79">
        <f>AE72+AE7</f>
        <v>1792.4</v>
      </c>
      <c r="AF76" s="79">
        <f>AF72+AF7</f>
        <v>4825.5</v>
      </c>
      <c r="AG76" s="58">
        <f>AF76/AE76*100</f>
        <v>269.220040169605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3835.2</v>
      </c>
      <c r="AL76" s="79">
        <f>AL72+AL7</f>
        <v>13168.300000000003</v>
      </c>
      <c r="AM76" s="58">
        <f>AL76/AK76*100</f>
        <v>343.35367125573646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546165.7</v>
      </c>
      <c r="AU76" s="57">
        <f t="shared" si="23"/>
        <v>545841.4</v>
      </c>
      <c r="AV76" s="58">
        <f>AU76/AT76*100</f>
        <v>99.94062241550506</v>
      </c>
      <c r="AW76" s="79">
        <f>AW72+AW7</f>
        <v>324.3000000000102</v>
      </c>
      <c r="AX76" s="79">
        <f>AX72+AX7</f>
        <v>65310.80000000001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Y5:AA5"/>
    <mergeCell ref="J5:L5"/>
    <mergeCell ref="AN5:AO5"/>
    <mergeCell ref="I1:AX1"/>
    <mergeCell ref="B2:AX3"/>
    <mergeCell ref="G5:I5"/>
    <mergeCell ref="AX5:AX6"/>
    <mergeCell ref="S5:U5"/>
    <mergeCell ref="AH5:AJ5"/>
    <mergeCell ref="B4:F4"/>
    <mergeCell ref="AW5:AW6"/>
    <mergeCell ref="AB5:AD5"/>
    <mergeCell ref="AK5:AM5"/>
    <mergeCell ref="AT5:AV5"/>
    <mergeCell ref="AP5:AQ5"/>
    <mergeCell ref="P5:R5"/>
    <mergeCell ref="D5:F5"/>
    <mergeCell ref="V5:X5"/>
    <mergeCell ref="AE5:AG5"/>
    <mergeCell ref="AR5:AS5"/>
    <mergeCell ref="M5:O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tabSelected="1" view="pageBreakPreview" zoomScale="50" zoomScaleNormal="50" zoomScaleSheetLayoutView="50" zoomScalePageLayoutView="0" workbookViewId="0" topLeftCell="A1">
      <pane xSplit="2" ySplit="6" topLeftCell="N2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4" sqref="AB1:AC16384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175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10879.500000000002</v>
      </c>
      <c r="E7" s="58">
        <f t="shared" si="0"/>
        <v>1343.0999999999997</v>
      </c>
      <c r="F7" s="56">
        <f>E7/D7*100</f>
        <v>12.345236453881148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10409.500000000002</v>
      </c>
      <c r="K7" s="58">
        <f t="shared" si="0"/>
        <v>9565</v>
      </c>
      <c r="L7" s="56">
        <f>K7/J7*100</f>
        <v>91.8872184062635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3237.200000000001</v>
      </c>
      <c r="Q7" s="58">
        <f t="shared" si="0"/>
        <v>8675.900000000001</v>
      </c>
      <c r="R7" s="56">
        <f>Q7/P7*100</f>
        <v>268.0063017422463</v>
      </c>
      <c r="S7" s="58">
        <f t="shared" si="0"/>
        <v>525.3000000000001</v>
      </c>
      <c r="T7" s="58">
        <f t="shared" si="0"/>
        <v>3107.200000000002</v>
      </c>
      <c r="U7" s="56">
        <f>T7/S7*100</f>
        <v>591.5096135541598</v>
      </c>
      <c r="V7" s="58">
        <f t="shared" si="0"/>
        <v>448.0999999999999</v>
      </c>
      <c r="W7" s="58">
        <f t="shared" si="0"/>
        <v>1145.8000000000002</v>
      </c>
      <c r="X7" s="56">
        <f>W7/V7*100</f>
        <v>255.7018522651195</v>
      </c>
      <c r="Y7" s="58">
        <f t="shared" si="0"/>
        <v>4210.6</v>
      </c>
      <c r="Z7" s="58">
        <f t="shared" si="0"/>
        <v>12928.900000000003</v>
      </c>
      <c r="AA7" s="56">
        <f>Z7/Y7*100</f>
        <v>307.05600151997345</v>
      </c>
      <c r="AB7" s="58">
        <f t="shared" si="0"/>
        <v>468.2</v>
      </c>
      <c r="AC7" s="58">
        <f t="shared" si="0"/>
        <v>547.2000000000002</v>
      </c>
      <c r="AD7" s="56">
        <f>AC7/AB7*100</f>
        <v>116.87313114053828</v>
      </c>
      <c r="AE7" s="58">
        <f t="shared" si="0"/>
        <v>453.9000000000002</v>
      </c>
      <c r="AF7" s="58">
        <f t="shared" si="0"/>
        <v>1481.3999999999996</v>
      </c>
      <c r="AG7" s="56">
        <f>AF7/AE7*100</f>
        <v>326.37144745538643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922.1000000000001</v>
      </c>
      <c r="AL7" s="58">
        <f t="shared" si="0"/>
        <v>2028.6</v>
      </c>
      <c r="AM7" s="56">
        <f>AL7/AK7*100</f>
        <v>219.99783103784836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38264.1</v>
      </c>
      <c r="AU7" s="57">
        <f t="shared" si="1"/>
        <v>35698.3</v>
      </c>
      <c r="AV7" s="56">
        <f>AU7/AT7*100</f>
        <v>93.29449797590954</v>
      </c>
      <c r="AW7" s="58">
        <f t="shared" si="0"/>
        <v>2565.8000000000015</v>
      </c>
      <c r="AX7" s="58">
        <f t="shared" si="0"/>
        <v>1018.9999999999986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177.20000000000002</v>
      </c>
      <c r="Q8" s="75">
        <f t="shared" si="8"/>
        <v>193</v>
      </c>
      <c r="R8" s="75" t="e">
        <f t="shared" si="8"/>
        <v>#DIV/0!</v>
      </c>
      <c r="S8" s="75">
        <f t="shared" si="8"/>
        <v>0</v>
      </c>
      <c r="T8" s="75">
        <f t="shared" si="8"/>
        <v>175.3</v>
      </c>
      <c r="U8" s="75" t="e">
        <f t="shared" si="8"/>
        <v>#DIV/0!</v>
      </c>
      <c r="V8" s="75">
        <f t="shared" si="8"/>
        <v>0</v>
      </c>
      <c r="W8" s="75">
        <f t="shared" si="8"/>
        <v>412.1</v>
      </c>
      <c r="X8" s="58" t="e">
        <f aca="true" t="shared" si="9" ref="X8:X24">W8/V8*100</f>
        <v>#DIV/0!</v>
      </c>
      <c r="Y8" s="58">
        <f aca="true" t="shared" si="10" ref="Y8:Y39">P8+S8+V8</f>
        <v>177.20000000000002</v>
      </c>
      <c r="Z8" s="58">
        <f aca="true" t="shared" si="11" ref="Z8:Z39">Q8+T8+W8</f>
        <v>780.4000000000001</v>
      </c>
      <c r="AA8" s="58">
        <f aca="true" t="shared" si="12" ref="AA8:AA73">Z8/Y8*100</f>
        <v>440.4063205417607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61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61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1151.3</v>
      </c>
      <c r="AU8" s="57">
        <f t="shared" si="1"/>
        <v>1240.4</v>
      </c>
      <c r="AV8" s="58">
        <f aca="true" t="shared" si="17" ref="AV8:AV75">AU8/AT8*100</f>
        <v>107.73907756449232</v>
      </c>
      <c r="AW8" s="58">
        <f>AT8-AU8</f>
        <v>-89.10000000000014</v>
      </c>
      <c r="AX8" s="79">
        <f aca="true" t="shared" si="18" ref="AX8:AX39">C8+AT8-AU8</f>
        <v>65.49999999999977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>
        <v>14.3</v>
      </c>
      <c r="Q10" s="65">
        <v>71.5</v>
      </c>
      <c r="R10" s="58">
        <f t="shared" si="19"/>
        <v>500</v>
      </c>
      <c r="S10" s="61"/>
      <c r="T10" s="61">
        <v>119.2</v>
      </c>
      <c r="U10" s="64" t="e">
        <f t="shared" si="20"/>
        <v>#DIV/0!</v>
      </c>
      <c r="V10" s="61"/>
      <c r="W10" s="61">
        <v>35.6</v>
      </c>
      <c r="X10" s="64" t="e">
        <f t="shared" si="9"/>
        <v>#DIV/0!</v>
      </c>
      <c r="Y10" s="62">
        <f t="shared" si="10"/>
        <v>14.3</v>
      </c>
      <c r="Z10" s="62">
        <f t="shared" si="11"/>
        <v>226.29999999999998</v>
      </c>
      <c r="AA10" s="58">
        <f t="shared" si="12"/>
        <v>1582.5174825174822</v>
      </c>
      <c r="AB10" s="61"/>
      <c r="AC10" s="61"/>
      <c r="AD10" s="58"/>
      <c r="AE10" s="61"/>
      <c r="AF10" s="61">
        <v>61</v>
      </c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61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298.1</v>
      </c>
      <c r="AU10" s="94">
        <f t="shared" si="23"/>
        <v>387.2</v>
      </c>
      <c r="AV10" s="58">
        <f>AU10/AT10*100</f>
        <v>129.88929889298893</v>
      </c>
      <c r="AW10" s="62">
        <f>AT10-AU10</f>
        <v>-89.09999999999997</v>
      </c>
      <c r="AX10" s="63">
        <f t="shared" si="18"/>
        <v>65.50000000000006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>
        <v>162.9</v>
      </c>
      <c r="Q13" s="61">
        <v>121.5</v>
      </c>
      <c r="R13" s="58">
        <f t="shared" si="19"/>
        <v>74.58563535911603</v>
      </c>
      <c r="S13" s="61"/>
      <c r="T13" s="61">
        <v>56.1</v>
      </c>
      <c r="U13" s="58" t="e">
        <f t="shared" si="20"/>
        <v>#DIV/0!</v>
      </c>
      <c r="V13" s="61"/>
      <c r="W13" s="61">
        <v>376.5</v>
      </c>
      <c r="X13" s="58" t="e">
        <f t="shared" si="9"/>
        <v>#DIV/0!</v>
      </c>
      <c r="Y13" s="62">
        <f t="shared" si="10"/>
        <v>162.9</v>
      </c>
      <c r="Z13" s="62">
        <f t="shared" si="11"/>
        <v>554.1</v>
      </c>
      <c r="AA13" s="58">
        <f t="shared" si="12"/>
        <v>340.1473296500921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853.1999999999999</v>
      </c>
      <c r="AU13" s="94">
        <f t="shared" si="23"/>
        <v>853.2</v>
      </c>
      <c r="AV13" s="58">
        <f t="shared" si="17"/>
        <v>100.00000000000003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742</v>
      </c>
      <c r="Q14" s="75">
        <f t="shared" si="24"/>
        <v>1471.4</v>
      </c>
      <c r="R14" s="75" t="e">
        <f t="shared" si="24"/>
        <v>#DIV/0!</v>
      </c>
      <c r="S14" s="75">
        <f t="shared" si="24"/>
        <v>354.1</v>
      </c>
      <c r="T14" s="75">
        <f t="shared" si="24"/>
        <v>757.5999999999999</v>
      </c>
      <c r="U14" s="75" t="e">
        <f t="shared" si="24"/>
        <v>#DIV/0!</v>
      </c>
      <c r="V14" s="75">
        <f t="shared" si="24"/>
        <v>354.1</v>
      </c>
      <c r="W14" s="75">
        <f t="shared" si="24"/>
        <v>479.3</v>
      </c>
      <c r="X14" s="58">
        <f t="shared" si="9"/>
        <v>135.35724371646427</v>
      </c>
      <c r="Y14" s="58">
        <f t="shared" si="10"/>
        <v>1450.1999999999998</v>
      </c>
      <c r="Z14" s="58">
        <f t="shared" si="11"/>
        <v>2708.3</v>
      </c>
      <c r="AA14" s="58">
        <f t="shared" si="12"/>
        <v>186.75355123431254</v>
      </c>
      <c r="AB14" s="75">
        <f aca="true" t="shared" si="25" ref="AB14:AI14">SUM(AB15:AB22)</f>
        <v>354.1</v>
      </c>
      <c r="AC14" s="75">
        <f t="shared" si="25"/>
        <v>418.8</v>
      </c>
      <c r="AD14" s="75">
        <f t="shared" si="25"/>
        <v>0</v>
      </c>
      <c r="AE14" s="75">
        <f t="shared" si="25"/>
        <v>354.1</v>
      </c>
      <c r="AF14" s="75">
        <f t="shared" si="25"/>
        <v>354.1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708.2</v>
      </c>
      <c r="AL14" s="58">
        <f t="shared" si="21"/>
        <v>772.9000000000001</v>
      </c>
      <c r="AM14" s="58">
        <f t="shared" si="15"/>
        <v>109.13583733408643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7853.299999999999</v>
      </c>
      <c r="AU14" s="57">
        <f t="shared" si="23"/>
        <v>6665.6</v>
      </c>
      <c r="AV14" s="58">
        <f t="shared" si="17"/>
        <v>84.87642137700077</v>
      </c>
      <c r="AW14" s="58">
        <f t="shared" si="22"/>
        <v>1187.699999999999</v>
      </c>
      <c r="AX14" s="79">
        <f t="shared" si="18"/>
        <v>331.59999999999854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>
        <v>92.7</v>
      </c>
      <c r="Q15" s="61">
        <v>458</v>
      </c>
      <c r="R15" s="58">
        <f t="shared" si="19"/>
        <v>494.06688241639694</v>
      </c>
      <c r="S15" s="61"/>
      <c r="T15" s="61">
        <v>20.4</v>
      </c>
      <c r="U15" s="58" t="e">
        <f t="shared" si="20"/>
        <v>#DIV/0!</v>
      </c>
      <c r="V15" s="61"/>
      <c r="W15" s="61">
        <v>79.1</v>
      </c>
      <c r="X15" s="58" t="e">
        <f t="shared" si="9"/>
        <v>#DIV/0!</v>
      </c>
      <c r="Y15" s="62">
        <f t="shared" si="10"/>
        <v>92.7</v>
      </c>
      <c r="Z15" s="62">
        <f t="shared" si="11"/>
        <v>557.5</v>
      </c>
      <c r="AA15" s="58">
        <f t="shared" si="12"/>
        <v>601.4023732470334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1438.3</v>
      </c>
      <c r="AU15" s="94">
        <f t="shared" si="23"/>
        <v>1147.1999999999998</v>
      </c>
      <c r="AV15" s="58">
        <f t="shared" si="17"/>
        <v>79.76082875617047</v>
      </c>
      <c r="AW15" s="62">
        <f t="shared" si="22"/>
        <v>291.10000000000014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>
        <v>0</v>
      </c>
      <c r="Q16" s="61">
        <v>84.4</v>
      </c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84.4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684.4</v>
      </c>
      <c r="AV16" s="58">
        <f t="shared" si="17"/>
        <v>77.49971690635262</v>
      </c>
      <c r="AW16" s="62">
        <f t="shared" si="22"/>
        <v>198.70000000000005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>
        <v>219.9</v>
      </c>
      <c r="Q19" s="61">
        <f>214</f>
        <v>214</v>
      </c>
      <c r="R19" s="58">
        <f t="shared" si="19"/>
        <v>97.31696225557072</v>
      </c>
      <c r="S19" s="61">
        <v>124.7</v>
      </c>
      <c r="T19" s="61">
        <v>307.8</v>
      </c>
      <c r="U19" s="58">
        <f t="shared" si="20"/>
        <v>246.83239775461107</v>
      </c>
      <c r="V19" s="61">
        <v>124.7</v>
      </c>
      <c r="W19" s="61">
        <v>170.8</v>
      </c>
      <c r="X19" s="66">
        <f t="shared" si="9"/>
        <v>136.96872493985566</v>
      </c>
      <c r="Y19" s="62">
        <f t="shared" si="10"/>
        <v>469.3</v>
      </c>
      <c r="Z19" s="62">
        <f t="shared" si="11"/>
        <v>692.5999999999999</v>
      </c>
      <c r="AA19" s="58">
        <f t="shared" si="12"/>
        <v>147.58150436820793</v>
      </c>
      <c r="AB19" s="61">
        <v>124.7</v>
      </c>
      <c r="AC19" s="61">
        <v>189.4</v>
      </c>
      <c r="AD19" s="58"/>
      <c r="AE19" s="61">
        <v>124.7</v>
      </c>
      <c r="AF19" s="61">
        <v>124.7</v>
      </c>
      <c r="AG19" s="58"/>
      <c r="AH19" s="61"/>
      <c r="AI19" s="61"/>
      <c r="AJ19" s="58" t="e">
        <f t="shared" si="14"/>
        <v>#DIV/0!</v>
      </c>
      <c r="AK19" s="62">
        <f t="shared" si="21"/>
        <v>249.4</v>
      </c>
      <c r="AL19" s="62">
        <f t="shared" si="21"/>
        <v>314.1</v>
      </c>
      <c r="AM19" s="58">
        <f t="shared" si="15"/>
        <v>125.94226142742583</v>
      </c>
      <c r="AN19" s="61"/>
      <c r="AO19" s="61"/>
      <c r="AP19" s="61"/>
      <c r="AQ19" s="61"/>
      <c r="AR19" s="61"/>
      <c r="AS19" s="61"/>
      <c r="AT19" s="94">
        <f t="shared" si="23"/>
        <v>2195.8999999999996</v>
      </c>
      <c r="AU19" s="94">
        <f t="shared" si="23"/>
        <v>1898</v>
      </c>
      <c r="AV19" s="58">
        <f t="shared" si="17"/>
        <v>86.43380846122321</v>
      </c>
      <c r="AW19" s="62">
        <f t="shared" si="22"/>
        <v>297.89999999999964</v>
      </c>
      <c r="AX19" s="63">
        <f t="shared" si="18"/>
        <v>102.19999999999959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>
        <v>429.4</v>
      </c>
      <c r="Q21" s="61">
        <v>715</v>
      </c>
      <c r="R21" s="58">
        <f t="shared" si="19"/>
        <v>166.5114112715417</v>
      </c>
      <c r="S21" s="61">
        <v>229.4</v>
      </c>
      <c r="T21" s="61">
        <v>429.4</v>
      </c>
      <c r="U21" s="58">
        <f t="shared" si="20"/>
        <v>187.18395815170007</v>
      </c>
      <c r="V21" s="61">
        <v>229.4</v>
      </c>
      <c r="W21" s="61">
        <v>229.4</v>
      </c>
      <c r="X21" s="58">
        <f t="shared" si="9"/>
        <v>100</v>
      </c>
      <c r="Y21" s="62">
        <f t="shared" si="10"/>
        <v>888.1999999999999</v>
      </c>
      <c r="Z21" s="62">
        <f t="shared" si="11"/>
        <v>1373.8000000000002</v>
      </c>
      <c r="AA21" s="58">
        <f t="shared" si="12"/>
        <v>154.67237108759292</v>
      </c>
      <c r="AB21" s="61">
        <v>229.4</v>
      </c>
      <c r="AC21" s="61">
        <v>229.4</v>
      </c>
      <c r="AD21" s="58"/>
      <c r="AE21" s="61">
        <v>229.4</v>
      </c>
      <c r="AF21" s="61">
        <v>229.4</v>
      </c>
      <c r="AG21" s="58"/>
      <c r="AH21" s="61"/>
      <c r="AI21" s="61"/>
      <c r="AJ21" s="58" t="e">
        <f t="shared" si="14"/>
        <v>#DIV/0!</v>
      </c>
      <c r="AK21" s="62">
        <f t="shared" si="21"/>
        <v>458.8</v>
      </c>
      <c r="AL21" s="62">
        <f t="shared" si="21"/>
        <v>458.8</v>
      </c>
      <c r="AM21" s="58">
        <f t="shared" si="15"/>
        <v>100</v>
      </c>
      <c r="AN21" s="61"/>
      <c r="AO21" s="61"/>
      <c r="AP21" s="61"/>
      <c r="AQ21" s="61"/>
      <c r="AR21" s="61"/>
      <c r="AS21" s="61"/>
      <c r="AT21" s="94">
        <f t="shared" si="23"/>
        <v>3336</v>
      </c>
      <c r="AU21" s="94">
        <f t="shared" si="23"/>
        <v>2936.0000000000005</v>
      </c>
      <c r="AV21" s="58">
        <f t="shared" si="17"/>
        <v>88.00959232613911</v>
      </c>
      <c r="AW21" s="62">
        <f t="shared" si="22"/>
        <v>399.99999999999955</v>
      </c>
      <c r="AX21" s="63">
        <f t="shared" si="18"/>
        <v>229.39999999999964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111.8</v>
      </c>
      <c r="Q23" s="75">
        <f t="shared" si="27"/>
        <v>793.9</v>
      </c>
      <c r="R23" s="75" t="e">
        <f t="shared" si="27"/>
        <v>#DIV/0!</v>
      </c>
      <c r="S23" s="75">
        <f t="shared" si="27"/>
        <v>0</v>
      </c>
      <c r="T23" s="75">
        <f t="shared" si="27"/>
        <v>292.4</v>
      </c>
      <c r="U23" s="75" t="e">
        <f t="shared" si="27"/>
        <v>#DIV/0!</v>
      </c>
      <c r="V23" s="75">
        <f t="shared" si="27"/>
        <v>0</v>
      </c>
      <c r="W23" s="75">
        <f t="shared" si="27"/>
        <v>68.1</v>
      </c>
      <c r="X23" s="72" t="e">
        <f t="shared" si="9"/>
        <v>#DIV/0!</v>
      </c>
      <c r="Y23" s="58">
        <f t="shared" si="10"/>
        <v>111.8</v>
      </c>
      <c r="Z23" s="58">
        <f t="shared" si="11"/>
        <v>1154.3999999999999</v>
      </c>
      <c r="AA23" s="58">
        <f t="shared" si="12"/>
        <v>1032.5581395348836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3169.8</v>
      </c>
      <c r="AU23" s="57">
        <f t="shared" si="23"/>
        <v>2715.6</v>
      </c>
      <c r="AV23" s="58">
        <f t="shared" si="17"/>
        <v>85.67102025364376</v>
      </c>
      <c r="AW23" s="58">
        <f t="shared" si="22"/>
        <v>454.2000000000003</v>
      </c>
      <c r="AX23" s="79">
        <f t="shared" si="18"/>
        <v>138.70000000000027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>
        <v>111.8</v>
      </c>
      <c r="Q26" s="61">
        <v>793.9</v>
      </c>
      <c r="R26" s="58">
        <f t="shared" si="19"/>
        <v>710.1073345259392</v>
      </c>
      <c r="S26" s="61"/>
      <c r="T26" s="61">
        <v>292.4</v>
      </c>
      <c r="U26" s="58" t="e">
        <f t="shared" si="20"/>
        <v>#DIV/0!</v>
      </c>
      <c r="V26" s="61"/>
      <c r="W26" s="61">
        <v>68.1</v>
      </c>
      <c r="X26" s="58" t="e">
        <f>W26/V26*100</f>
        <v>#DIV/0!</v>
      </c>
      <c r="Y26" s="62">
        <f t="shared" si="10"/>
        <v>111.8</v>
      </c>
      <c r="Z26" s="62">
        <f t="shared" si="11"/>
        <v>1154.3999999999999</v>
      </c>
      <c r="AA26" s="58">
        <f t="shared" si="12"/>
        <v>1032.5581395348836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3169.8</v>
      </c>
      <c r="AU26" s="94">
        <f t="shared" si="23"/>
        <v>2715.6</v>
      </c>
      <c r="AV26" s="58">
        <f t="shared" si="17"/>
        <v>85.67102025364376</v>
      </c>
      <c r="AW26" s="62">
        <f t="shared" si="22"/>
        <v>454.2000000000003</v>
      </c>
      <c r="AX26" s="63">
        <f t="shared" si="18"/>
        <v>138.70000000000027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319.4</v>
      </c>
      <c r="Q30" s="108">
        <f t="shared" si="31"/>
        <v>1394.6</v>
      </c>
      <c r="R30" s="108" t="e">
        <f t="shared" si="31"/>
        <v>#DIV/0!</v>
      </c>
      <c r="S30" s="108">
        <f t="shared" si="31"/>
        <v>53.1</v>
      </c>
      <c r="T30" s="108">
        <f t="shared" si="31"/>
        <v>69.9</v>
      </c>
      <c r="U30" s="108" t="e">
        <f t="shared" si="31"/>
        <v>#DIV/0!</v>
      </c>
      <c r="V30" s="108">
        <f t="shared" si="31"/>
        <v>55.8</v>
      </c>
      <c r="W30" s="108">
        <f t="shared" si="31"/>
        <v>53.1</v>
      </c>
      <c r="X30" s="56">
        <f t="shared" si="30"/>
        <v>95.16129032258065</v>
      </c>
      <c r="Y30" s="56">
        <f t="shared" si="10"/>
        <v>428.3</v>
      </c>
      <c r="Z30" s="56">
        <f t="shared" si="11"/>
        <v>1517.6</v>
      </c>
      <c r="AA30" s="56">
        <f t="shared" si="12"/>
        <v>354.3310763483539</v>
      </c>
      <c r="AB30" s="108">
        <f aca="true" t="shared" si="32" ref="AB30:AI30">SUM(AB31:AB38)</f>
        <v>55.8</v>
      </c>
      <c r="AC30" s="108">
        <f t="shared" si="32"/>
        <v>55.8</v>
      </c>
      <c r="AD30" s="108">
        <f t="shared" si="32"/>
        <v>0</v>
      </c>
      <c r="AE30" s="108">
        <f t="shared" si="32"/>
        <v>52.2</v>
      </c>
      <c r="AF30" s="108">
        <f t="shared" si="32"/>
        <v>55.8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108</v>
      </c>
      <c r="AL30" s="56">
        <f t="shared" si="33"/>
        <v>111.6</v>
      </c>
      <c r="AM30" s="56">
        <f t="shared" si="15"/>
        <v>103.33333333333331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5676.2</v>
      </c>
      <c r="AU30" s="57">
        <f t="shared" si="23"/>
        <v>5511.5</v>
      </c>
      <c r="AV30" s="56">
        <f t="shared" si="17"/>
        <v>97.09841090870654</v>
      </c>
      <c r="AW30" s="56">
        <f>AT30-AU30</f>
        <v>164.69999999999982</v>
      </c>
      <c r="AX30" s="55">
        <f t="shared" si="18"/>
        <v>47.69999999999982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>
        <f>31.9+62.2</f>
        <v>94.1</v>
      </c>
      <c r="Q35" s="61">
        <f>324.9+62.2</f>
        <v>387.09999999999997</v>
      </c>
      <c r="R35" s="58">
        <f t="shared" si="19"/>
        <v>411.3708820403826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94.1</v>
      </c>
      <c r="Z35" s="62">
        <f t="shared" si="11"/>
        <v>387.09999999999997</v>
      </c>
      <c r="AA35" s="58">
        <f t="shared" si="12"/>
        <v>411.3708820403826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2687.9</v>
      </c>
      <c r="AU35" s="94">
        <f t="shared" si="23"/>
        <v>2593.1</v>
      </c>
      <c r="AV35" s="58">
        <f t="shared" si="36"/>
        <v>96.47308307600728</v>
      </c>
      <c r="AW35" s="62">
        <f t="shared" si="37"/>
        <v>94.80000000000018</v>
      </c>
      <c r="AX35" s="63">
        <f t="shared" si="18"/>
        <v>-4.5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>
        <v>225.3</v>
      </c>
      <c r="Q38" s="61">
        <v>1007.5</v>
      </c>
      <c r="R38" s="58">
        <f t="shared" si="19"/>
        <v>447.18153573013757</v>
      </c>
      <c r="S38" s="61">
        <v>53.1</v>
      </c>
      <c r="T38" s="61">
        <v>69.9</v>
      </c>
      <c r="U38" s="58">
        <f t="shared" si="20"/>
        <v>131.63841807909606</v>
      </c>
      <c r="V38" s="61">
        <v>55.8</v>
      </c>
      <c r="W38" s="61">
        <v>53.1</v>
      </c>
      <c r="X38" s="58">
        <f t="shared" si="30"/>
        <v>95.16129032258065</v>
      </c>
      <c r="Y38" s="62">
        <f t="shared" si="10"/>
        <v>334.20000000000005</v>
      </c>
      <c r="Z38" s="62">
        <f t="shared" si="11"/>
        <v>1130.5</v>
      </c>
      <c r="AA38" s="58">
        <f t="shared" si="12"/>
        <v>338.2704967085577</v>
      </c>
      <c r="AB38" s="61">
        <v>55.8</v>
      </c>
      <c r="AC38" s="61">
        <v>55.8</v>
      </c>
      <c r="AD38" s="58"/>
      <c r="AE38" s="61">
        <v>52.2</v>
      </c>
      <c r="AF38" s="61">
        <v>55.8</v>
      </c>
      <c r="AG38" s="58"/>
      <c r="AH38" s="61"/>
      <c r="AI38" s="61"/>
      <c r="AJ38" s="58" t="e">
        <f t="shared" si="14"/>
        <v>#DIV/0!</v>
      </c>
      <c r="AK38" s="62">
        <f t="shared" si="33"/>
        <v>108</v>
      </c>
      <c r="AL38" s="62">
        <f t="shared" si="33"/>
        <v>111.6</v>
      </c>
      <c r="AM38" s="58">
        <f t="shared" si="15"/>
        <v>103.33333333333331</v>
      </c>
      <c r="AN38" s="61"/>
      <c r="AO38" s="61"/>
      <c r="AP38" s="61"/>
      <c r="AQ38" s="61"/>
      <c r="AR38" s="61"/>
      <c r="AS38" s="61"/>
      <c r="AT38" s="94">
        <f t="shared" si="23"/>
        <v>2988.3</v>
      </c>
      <c r="AU38" s="94">
        <f t="shared" si="23"/>
        <v>2918.4</v>
      </c>
      <c r="AV38" s="58">
        <f t="shared" si="36"/>
        <v>97.66087742194559</v>
      </c>
      <c r="AW38" s="62">
        <f t="shared" si="37"/>
        <v>69.90000000000009</v>
      </c>
      <c r="AX38" s="63">
        <f t="shared" si="18"/>
        <v>52.20000000000027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258.5</v>
      </c>
      <c r="Q39" s="75">
        <f t="shared" si="38"/>
        <v>708.6</v>
      </c>
      <c r="R39" s="75" t="e">
        <f t="shared" si="38"/>
        <v>#DIV/0!</v>
      </c>
      <c r="S39" s="75">
        <f t="shared" si="38"/>
        <v>0</v>
      </c>
      <c r="T39" s="75">
        <f t="shared" si="38"/>
        <v>172.2</v>
      </c>
      <c r="U39" s="75" t="e">
        <f t="shared" si="38"/>
        <v>#DIV/0!</v>
      </c>
      <c r="V39" s="75">
        <f t="shared" si="38"/>
        <v>0</v>
      </c>
      <c r="W39" s="75">
        <f t="shared" si="38"/>
        <v>78.4</v>
      </c>
      <c r="X39" s="58" t="e">
        <f t="shared" si="30"/>
        <v>#DIV/0!</v>
      </c>
      <c r="Y39" s="58">
        <f t="shared" si="10"/>
        <v>258.5</v>
      </c>
      <c r="Z39" s="58">
        <f t="shared" si="11"/>
        <v>959.1999999999999</v>
      </c>
      <c r="AA39" s="58">
        <f t="shared" si="12"/>
        <v>371.063829787234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3670.3</v>
      </c>
      <c r="AU39" s="57">
        <f t="shared" si="23"/>
        <v>3108.7999999999997</v>
      </c>
      <c r="AV39" s="58">
        <f t="shared" si="36"/>
        <v>84.70152303626406</v>
      </c>
      <c r="AW39" s="58">
        <f t="shared" si="37"/>
        <v>561.5000000000005</v>
      </c>
      <c r="AX39" s="79">
        <f t="shared" si="18"/>
        <v>315.10000000000036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>
        <v>258.5</v>
      </c>
      <c r="Q42" s="61">
        <v>708.6</v>
      </c>
      <c r="R42" s="58">
        <f t="shared" si="19"/>
        <v>274.11992263056095</v>
      </c>
      <c r="S42" s="61"/>
      <c r="T42" s="61">
        <v>172.2</v>
      </c>
      <c r="U42" s="58" t="e">
        <f t="shared" si="20"/>
        <v>#DIV/0!</v>
      </c>
      <c r="V42" s="61"/>
      <c r="W42" s="61">
        <v>78.4</v>
      </c>
      <c r="X42" s="58" t="e">
        <f t="shared" si="30"/>
        <v>#DIV/0!</v>
      </c>
      <c r="Y42" s="62">
        <f t="shared" si="43"/>
        <v>258.5</v>
      </c>
      <c r="Z42" s="62">
        <f t="shared" si="44"/>
        <v>959.1999999999999</v>
      </c>
      <c r="AA42" s="58">
        <f t="shared" si="12"/>
        <v>371.063829787234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3670.3</v>
      </c>
      <c r="AU42" s="94">
        <f t="shared" si="23"/>
        <v>3108.7999999999997</v>
      </c>
      <c r="AV42" s="58">
        <f t="shared" si="36"/>
        <v>84.70152303626406</v>
      </c>
      <c r="AW42" s="62">
        <f t="shared" si="37"/>
        <v>561.5000000000005</v>
      </c>
      <c r="AX42" s="63">
        <f t="shared" si="45"/>
        <v>315.10000000000036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440</v>
      </c>
      <c r="Q45" s="75">
        <f t="shared" si="46"/>
        <v>1355.2</v>
      </c>
      <c r="R45" s="75" t="e">
        <f t="shared" si="46"/>
        <v>#DIV/0!</v>
      </c>
      <c r="S45" s="75">
        <f t="shared" si="46"/>
        <v>34.6</v>
      </c>
      <c r="T45" s="75">
        <f t="shared" si="46"/>
        <v>440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474.6</v>
      </c>
      <c r="Z45" s="58">
        <f t="shared" si="44"/>
        <v>1795.2</v>
      </c>
      <c r="AA45" s="58">
        <f t="shared" si="12"/>
        <v>378.25537294563844</v>
      </c>
      <c r="AB45" s="75">
        <f aca="true" t="shared" si="47" ref="AB45:AI45">SUM(AB46:AB50)</f>
        <v>16.5</v>
      </c>
      <c r="AC45" s="75">
        <f t="shared" si="47"/>
        <v>34.6</v>
      </c>
      <c r="AD45" s="75">
        <f t="shared" si="47"/>
        <v>0</v>
      </c>
      <c r="AE45" s="75">
        <f t="shared" si="47"/>
        <v>11.7</v>
      </c>
      <c r="AF45" s="75">
        <f t="shared" si="47"/>
        <v>16.5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28.2</v>
      </c>
      <c r="AL45" s="58">
        <f t="shared" si="33"/>
        <v>51.1</v>
      </c>
      <c r="AM45" s="58">
        <f t="shared" si="15"/>
        <v>181.20567375886526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5990.5</v>
      </c>
      <c r="AU45" s="57">
        <f t="shared" si="23"/>
        <v>5090.200000000001</v>
      </c>
      <c r="AV45" s="58">
        <f t="shared" si="36"/>
        <v>84.97120440697773</v>
      </c>
      <c r="AW45" s="58">
        <f t="shared" si="37"/>
        <v>900.2999999999993</v>
      </c>
      <c r="AX45" s="79">
        <f t="shared" si="45"/>
        <v>928.8999999999996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>
        <v>440</v>
      </c>
      <c r="Q50" s="61">
        <v>1355.2</v>
      </c>
      <c r="R50" s="58">
        <f t="shared" si="19"/>
        <v>308</v>
      </c>
      <c r="S50" s="61">
        <v>34.6</v>
      </c>
      <c r="T50" s="61">
        <v>440</v>
      </c>
      <c r="U50" s="58">
        <f t="shared" si="20"/>
        <v>1271.6763005780347</v>
      </c>
      <c r="V50" s="61"/>
      <c r="W50" s="61"/>
      <c r="X50" s="66" t="e">
        <f aca="true" t="shared" si="50" ref="X50:X72">W50/V50*100</f>
        <v>#DIV/0!</v>
      </c>
      <c r="Y50" s="62">
        <f t="shared" si="43"/>
        <v>474.6</v>
      </c>
      <c r="Z50" s="62">
        <f t="shared" si="44"/>
        <v>1795.2</v>
      </c>
      <c r="AA50" s="58">
        <f t="shared" si="12"/>
        <v>378.25537294563844</v>
      </c>
      <c r="AB50" s="61">
        <v>16.5</v>
      </c>
      <c r="AC50" s="61">
        <v>34.6</v>
      </c>
      <c r="AD50" s="58"/>
      <c r="AE50" s="61">
        <v>11.7</v>
      </c>
      <c r="AF50" s="61">
        <v>16.5</v>
      </c>
      <c r="AG50" s="58"/>
      <c r="AH50" s="61"/>
      <c r="AI50" s="61"/>
      <c r="AJ50" s="58" t="e">
        <f t="shared" si="14"/>
        <v>#DIV/0!</v>
      </c>
      <c r="AK50" s="62">
        <f t="shared" si="21"/>
        <v>28.2</v>
      </c>
      <c r="AL50" s="62">
        <f t="shared" si="21"/>
        <v>51.1</v>
      </c>
      <c r="AM50" s="58">
        <f t="shared" si="15"/>
        <v>181.20567375886526</v>
      </c>
      <c r="AN50" s="61"/>
      <c r="AO50" s="61"/>
      <c r="AP50" s="61"/>
      <c r="AQ50" s="61"/>
      <c r="AR50" s="61"/>
      <c r="AS50" s="61"/>
      <c r="AT50" s="94">
        <f t="shared" si="23"/>
        <v>5101.900000000001</v>
      </c>
      <c r="AU50" s="94">
        <f t="shared" si="23"/>
        <v>5090.200000000001</v>
      </c>
      <c r="AV50" s="58">
        <f t="shared" si="17"/>
        <v>99.77067367059331</v>
      </c>
      <c r="AW50" s="62">
        <f t="shared" si="22"/>
        <v>11.699999999999818</v>
      </c>
      <c r="AX50" s="63">
        <f t="shared" si="45"/>
        <v>11.699999999999818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>
        <v>340.7</v>
      </c>
      <c r="Q60" s="61">
        <v>926.7</v>
      </c>
      <c r="R60" s="58">
        <f t="shared" si="19"/>
        <v>271.9988259465806</v>
      </c>
      <c r="S60" s="61">
        <v>47.1</v>
      </c>
      <c r="T60" s="61">
        <v>552.7</v>
      </c>
      <c r="U60" s="58">
        <f t="shared" si="20"/>
        <v>1173.4607218683652</v>
      </c>
      <c r="V60" s="61"/>
      <c r="W60" s="61"/>
      <c r="X60" s="58" t="e">
        <f t="shared" si="50"/>
        <v>#DIV/0!</v>
      </c>
      <c r="Y60" s="62">
        <f t="shared" si="43"/>
        <v>387.8</v>
      </c>
      <c r="Z60" s="62">
        <f t="shared" si="44"/>
        <v>1479.4</v>
      </c>
      <c r="AA60" s="58">
        <f t="shared" si="12"/>
        <v>381.4853017019082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2873.8</v>
      </c>
      <c r="AU60" s="94">
        <f t="shared" si="23"/>
        <v>2822.6000000000004</v>
      </c>
      <c r="AV60" s="58">
        <f t="shared" si="17"/>
        <v>98.21838680492728</v>
      </c>
      <c r="AW60" s="62">
        <f t="shared" si="22"/>
        <v>51.19999999999982</v>
      </c>
      <c r="AX60" s="63">
        <f t="shared" si="45"/>
        <v>79.79999999999973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2438.6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2449.1000000000004</v>
      </c>
      <c r="K61" s="109">
        <f>SUM(K62:K71)</f>
        <v>2598.6</v>
      </c>
      <c r="L61" s="58">
        <f t="shared" si="49"/>
        <v>106.10428320607568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847.6</v>
      </c>
      <c r="Q61" s="109">
        <f t="shared" si="53"/>
        <v>1832.5</v>
      </c>
      <c r="R61" s="109" t="e">
        <f t="shared" si="53"/>
        <v>#DIV/0!</v>
      </c>
      <c r="S61" s="109">
        <f t="shared" si="53"/>
        <v>36.4</v>
      </c>
      <c r="T61" s="109">
        <f t="shared" si="53"/>
        <v>647.1</v>
      </c>
      <c r="U61" s="109" t="e">
        <f t="shared" si="53"/>
        <v>#DIV/0!</v>
      </c>
      <c r="V61" s="109">
        <f t="shared" si="53"/>
        <v>38.199999999999996</v>
      </c>
      <c r="W61" s="109">
        <f t="shared" si="53"/>
        <v>54.8</v>
      </c>
      <c r="X61" s="58">
        <f t="shared" si="50"/>
        <v>143.45549738219896</v>
      </c>
      <c r="Y61" s="58">
        <f t="shared" si="43"/>
        <v>922.2</v>
      </c>
      <c r="Z61" s="58">
        <f t="shared" si="44"/>
        <v>2534.4</v>
      </c>
      <c r="AA61" s="58">
        <f t="shared" si="12"/>
        <v>274.82108002602473</v>
      </c>
      <c r="AB61" s="109">
        <f aca="true" t="shared" si="54" ref="AB61:AI61">SUM(AB62:AB71)</f>
        <v>41.800000000000004</v>
      </c>
      <c r="AC61" s="109">
        <f t="shared" si="54"/>
        <v>38</v>
      </c>
      <c r="AD61" s="109">
        <f t="shared" si="54"/>
        <v>0</v>
      </c>
      <c r="AE61" s="109">
        <f t="shared" si="54"/>
        <v>35.9</v>
      </c>
      <c r="AF61" s="109">
        <f t="shared" si="54"/>
        <v>994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77.7</v>
      </c>
      <c r="AL61" s="58">
        <f t="shared" si="21"/>
        <v>1032</v>
      </c>
      <c r="AM61" s="58">
        <f t="shared" si="15"/>
        <v>1328.1853281853282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8767.500000000002</v>
      </c>
      <c r="AU61" s="57">
        <f t="shared" si="23"/>
        <v>8543.6</v>
      </c>
      <c r="AV61" s="58">
        <f t="shared" si="17"/>
        <v>97.44625035642999</v>
      </c>
      <c r="AW61" s="58">
        <f t="shared" si="22"/>
        <v>223.90000000000146</v>
      </c>
      <c r="AX61" s="79">
        <f t="shared" si="45"/>
        <v>28.900000000001455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>
        <v>164.2</v>
      </c>
      <c r="Q62" s="61">
        <v>252.6</v>
      </c>
      <c r="R62" s="58">
        <f t="shared" si="19"/>
        <v>153.836784409257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164.2</v>
      </c>
      <c r="Z62" s="62">
        <f t="shared" si="44"/>
        <v>252.6</v>
      </c>
      <c r="AA62" s="58">
        <f t="shared" si="12"/>
        <v>153.836784409257</v>
      </c>
      <c r="AB62" s="61"/>
      <c r="AC62" s="61"/>
      <c r="AD62" s="58"/>
      <c r="AE62" s="61"/>
      <c r="AF62" s="61">
        <v>952.4</v>
      </c>
      <c r="AG62" s="58"/>
      <c r="AH62" s="61"/>
      <c r="AI62" s="61"/>
      <c r="AJ62" s="58"/>
      <c r="AK62" s="62">
        <f t="shared" si="21"/>
        <v>0</v>
      </c>
      <c r="AL62" s="62">
        <f t="shared" si="21"/>
        <v>952.4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2689.2</v>
      </c>
      <c r="AU62" s="94">
        <f t="shared" si="23"/>
        <v>2512.1</v>
      </c>
      <c r="AV62" s="58">
        <f t="shared" si="17"/>
        <v>93.41439833407705</v>
      </c>
      <c r="AW62" s="62">
        <f t="shared" si="22"/>
        <v>177.0999999999999</v>
      </c>
      <c r="AX62" s="63">
        <f t="shared" si="45"/>
        <v>-7.700000000000273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>
        <v>526.3</v>
      </c>
      <c r="Q63" s="61">
        <v>761</v>
      </c>
      <c r="R63" s="58">
        <f t="shared" si="19"/>
        <v>144.59433783013492</v>
      </c>
      <c r="S63" s="61">
        <v>35.9</v>
      </c>
      <c r="T63" s="61">
        <v>526.2</v>
      </c>
      <c r="U63" s="58">
        <f t="shared" si="20"/>
        <v>1465.7381615598888</v>
      </c>
      <c r="V63" s="61">
        <v>37.8</v>
      </c>
      <c r="W63" s="61">
        <v>35.9</v>
      </c>
      <c r="X63" s="58">
        <f t="shared" si="50"/>
        <v>94.97354497354497</v>
      </c>
      <c r="Y63" s="62">
        <f t="shared" si="43"/>
        <v>599.9999999999999</v>
      </c>
      <c r="Z63" s="62">
        <f t="shared" si="44"/>
        <v>1323.1000000000001</v>
      </c>
      <c r="AA63" s="58">
        <f t="shared" si="12"/>
        <v>220.51666666666674</v>
      </c>
      <c r="AB63" s="61">
        <v>41.6</v>
      </c>
      <c r="AC63" s="61">
        <v>37.8</v>
      </c>
      <c r="AD63" s="58"/>
      <c r="AE63" s="61">
        <v>35.9</v>
      </c>
      <c r="AF63" s="61">
        <v>41.6</v>
      </c>
      <c r="AG63" s="58"/>
      <c r="AH63" s="61"/>
      <c r="AI63" s="61"/>
      <c r="AJ63" s="58"/>
      <c r="AK63" s="62">
        <f aca="true" t="shared" si="56" ref="AK63:AL72">AB63+AE63+AH63</f>
        <v>77.5</v>
      </c>
      <c r="AL63" s="62">
        <f t="shared" si="56"/>
        <v>79.4</v>
      </c>
      <c r="AM63" s="58">
        <f t="shared" si="15"/>
        <v>102.45161290322582</v>
      </c>
      <c r="AN63" s="61"/>
      <c r="AO63" s="61"/>
      <c r="AP63" s="61"/>
      <c r="AQ63" s="61"/>
      <c r="AR63" s="61"/>
      <c r="AS63" s="61"/>
      <c r="AT63" s="94">
        <f t="shared" si="23"/>
        <v>3012</v>
      </c>
      <c r="AU63" s="94">
        <f t="shared" si="23"/>
        <v>2976.0000000000005</v>
      </c>
      <c r="AV63" s="58">
        <f t="shared" si="17"/>
        <v>98.80478087649404</v>
      </c>
      <c r="AW63" s="62">
        <f t="shared" si="22"/>
        <v>35.999999999999545</v>
      </c>
      <c r="AX63" s="63">
        <f t="shared" si="45"/>
        <v>35.999999999999545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>
        <v>41.5</v>
      </c>
      <c r="Q67" s="61">
        <v>93</v>
      </c>
      <c r="R67" s="58">
        <f t="shared" si="19"/>
        <v>224.09638554216866</v>
      </c>
      <c r="S67" s="61">
        <v>0.5</v>
      </c>
      <c r="T67" s="61">
        <v>41.5</v>
      </c>
      <c r="U67" s="58">
        <f t="shared" si="20"/>
        <v>8300</v>
      </c>
      <c r="V67" s="61">
        <v>0.4</v>
      </c>
      <c r="W67" s="61">
        <v>0.4</v>
      </c>
      <c r="X67" s="58">
        <f t="shared" si="50"/>
        <v>100</v>
      </c>
      <c r="Y67" s="62">
        <f t="shared" si="43"/>
        <v>42.4</v>
      </c>
      <c r="Z67" s="62">
        <f t="shared" si="44"/>
        <v>134.9</v>
      </c>
      <c r="AA67" s="58">
        <f t="shared" si="12"/>
        <v>318.16037735849056</v>
      </c>
      <c r="AB67" s="61">
        <v>0.2</v>
      </c>
      <c r="AC67" s="61">
        <v>0.2</v>
      </c>
      <c r="AD67" s="58"/>
      <c r="AE67" s="61"/>
      <c r="AF67" s="61"/>
      <c r="AG67" s="58"/>
      <c r="AH67" s="61"/>
      <c r="AI67" s="61"/>
      <c r="AJ67" s="58"/>
      <c r="AK67" s="62">
        <f t="shared" si="56"/>
        <v>0.2</v>
      </c>
      <c r="AL67" s="62">
        <f t="shared" si="56"/>
        <v>0.2</v>
      </c>
      <c r="AM67" s="58">
        <f t="shared" si="15"/>
        <v>100</v>
      </c>
      <c r="AN67" s="61"/>
      <c r="AO67" s="61"/>
      <c r="AP67" s="61"/>
      <c r="AQ67" s="61"/>
      <c r="AR67" s="61"/>
      <c r="AS67" s="61"/>
      <c r="AT67" s="94">
        <f t="shared" si="23"/>
        <v>311.9</v>
      </c>
      <c r="AU67" s="94">
        <f t="shared" si="23"/>
        <v>311.90000000000003</v>
      </c>
      <c r="AV67" s="58">
        <f t="shared" si="17"/>
        <v>100.00000000000003</v>
      </c>
      <c r="AW67" s="62">
        <f t="shared" si="22"/>
        <v>0</v>
      </c>
      <c r="AX67" s="63">
        <f t="shared" si="45"/>
        <v>0.7999999999999545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/>
      <c r="E69" s="61">
        <v>0</v>
      </c>
      <c r="F69" s="59" t="e">
        <f t="shared" si="57"/>
        <v>#DIV/0!</v>
      </c>
      <c r="G69" s="61"/>
      <c r="H69" s="61"/>
      <c r="I69" s="64" t="e">
        <f t="shared" si="58"/>
        <v>#DIV/0!</v>
      </c>
      <c r="J69" s="61">
        <v>4.5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>
        <v>2.4</v>
      </c>
      <c r="R69" s="58" t="e">
        <f t="shared" si="19"/>
        <v>#DIV/0!</v>
      </c>
      <c r="S69" s="61"/>
      <c r="T69" s="61">
        <v>2.1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4.5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4.5</v>
      </c>
      <c r="AV69" s="58">
        <f t="shared" si="17"/>
        <v>100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169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>
        <f>34.8+80.8</f>
        <v>115.6</v>
      </c>
      <c r="Q71" s="61">
        <f>419.3+304.2</f>
        <v>723.5</v>
      </c>
      <c r="R71" s="58">
        <f t="shared" si="19"/>
        <v>625.8650519031141</v>
      </c>
      <c r="S71" s="61"/>
      <c r="T71" s="61">
        <f>77.3</f>
        <v>77.3</v>
      </c>
      <c r="U71" s="58" t="e">
        <f t="shared" si="20"/>
        <v>#DIV/0!</v>
      </c>
      <c r="V71" s="61"/>
      <c r="W71" s="61">
        <v>18.5</v>
      </c>
      <c r="X71" s="58" t="e">
        <f t="shared" si="50"/>
        <v>#DIV/0!</v>
      </c>
      <c r="Y71" s="62">
        <f t="shared" si="43"/>
        <v>115.6</v>
      </c>
      <c r="Z71" s="62">
        <f t="shared" si="44"/>
        <v>819.3</v>
      </c>
      <c r="AA71" s="58">
        <f t="shared" si="12"/>
        <v>708.7370242214533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2749.9</v>
      </c>
      <c r="AU71" s="94">
        <f t="shared" si="23"/>
        <v>2739.1</v>
      </c>
      <c r="AV71" s="58">
        <f t="shared" si="17"/>
        <v>99.60725844576166</v>
      </c>
      <c r="AW71" s="62">
        <f t="shared" si="22"/>
        <v>10.800000000000182</v>
      </c>
      <c r="AX71" s="63">
        <f t="shared" si="45"/>
        <v>-0.1999999999998181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19380</v>
      </c>
      <c r="E72" s="75">
        <f>SUM(E73:E75)</f>
        <v>116</v>
      </c>
      <c r="F72" s="59">
        <f>E72/D72*100</f>
        <v>0.5985552115583075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61194.8</v>
      </c>
      <c r="N72" s="58">
        <f t="shared" si="42"/>
        <v>30758.8</v>
      </c>
      <c r="O72" s="58">
        <f t="shared" si="7"/>
        <v>50.26374790014837</v>
      </c>
      <c r="P72" s="75">
        <f aca="true" t="shared" si="59" ref="P72:W72">SUM(P73:P75)</f>
        <v>11438.4</v>
      </c>
      <c r="Q72" s="75">
        <f t="shared" si="59"/>
        <v>15549.9</v>
      </c>
      <c r="R72" s="75" t="e">
        <f t="shared" si="59"/>
        <v>#DIV/0!</v>
      </c>
      <c r="S72" s="75">
        <f t="shared" si="59"/>
        <v>957.4</v>
      </c>
      <c r="T72" s="75">
        <f t="shared" si="59"/>
        <v>13361.4</v>
      </c>
      <c r="U72" s="75" t="e">
        <f t="shared" si="59"/>
        <v>#DIV/0!</v>
      </c>
      <c r="V72" s="75">
        <f t="shared" si="59"/>
        <v>372.9</v>
      </c>
      <c r="W72" s="75">
        <f t="shared" si="59"/>
        <v>5024.4</v>
      </c>
      <c r="X72" s="58">
        <f t="shared" si="50"/>
        <v>1347.3853580048271</v>
      </c>
      <c r="Y72" s="58">
        <f t="shared" si="43"/>
        <v>12768.699999999999</v>
      </c>
      <c r="Z72" s="58">
        <f t="shared" si="44"/>
        <v>33935.7</v>
      </c>
      <c r="AA72" s="58">
        <f t="shared" si="12"/>
        <v>265.7725531964883</v>
      </c>
      <c r="AB72" s="75">
        <f>SUM(AB73:AB75)</f>
        <v>263.5</v>
      </c>
      <c r="AC72" s="75">
        <f>SUM(AC73:AC75)</f>
        <v>2285.9</v>
      </c>
      <c r="AD72" s="58">
        <f>AC72/AB72*100</f>
        <v>867.5142314990513</v>
      </c>
      <c r="AE72" s="75">
        <f>SUM(AE73:AE75)</f>
        <v>299.3</v>
      </c>
      <c r="AF72" s="75">
        <f>SUM(AF73:AF75)</f>
        <v>1314.5</v>
      </c>
      <c r="AG72" s="58">
        <f>AF72/AE72*100</f>
        <v>439.1914467089876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562.8</v>
      </c>
      <c r="AL72" s="58">
        <f t="shared" si="56"/>
        <v>3600.4</v>
      </c>
      <c r="AM72" s="58">
        <f t="shared" si="15"/>
        <v>639.7299218194742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74526.3</v>
      </c>
      <c r="AU72" s="57">
        <f t="shared" si="23"/>
        <v>68294.9</v>
      </c>
      <c r="AV72" s="58">
        <f t="shared" si="17"/>
        <v>91.63865642061928</v>
      </c>
      <c r="AW72" s="79">
        <f>SUM(AW73:AW75)</f>
        <v>6231.400000000001</v>
      </c>
      <c r="AX72" s="79">
        <f>SUM(AX73:AX75)</f>
        <v>2130.4000000000005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>
        <v>10834</v>
      </c>
      <c r="Q73" s="61">
        <v>14264</v>
      </c>
      <c r="R73" s="58">
        <f t="shared" si="19"/>
        <v>131.6595901790659</v>
      </c>
      <c r="S73" s="61">
        <v>867</v>
      </c>
      <c r="T73" s="61">
        <v>12673</v>
      </c>
      <c r="U73" s="58">
        <f t="shared" si="20"/>
        <v>1461.7070357554785</v>
      </c>
      <c r="V73" s="61">
        <v>323</v>
      </c>
      <c r="W73" s="61">
        <v>4946</v>
      </c>
      <c r="X73" s="58">
        <f>W73/V73*100</f>
        <v>1531.269349845201</v>
      </c>
      <c r="Y73" s="62">
        <f t="shared" si="43"/>
        <v>12024</v>
      </c>
      <c r="Z73" s="62">
        <f t="shared" si="44"/>
        <v>31883</v>
      </c>
      <c r="AA73" s="58">
        <f t="shared" si="12"/>
        <v>265.1613439787092</v>
      </c>
      <c r="AB73" s="61">
        <v>215</v>
      </c>
      <c r="AC73" s="61">
        <v>2224</v>
      </c>
      <c r="AD73" s="58"/>
      <c r="AE73" s="61">
        <v>261</v>
      </c>
      <c r="AF73" s="61">
        <v>1266</v>
      </c>
      <c r="AG73" s="58"/>
      <c r="AH73" s="61"/>
      <c r="AI73" s="61"/>
      <c r="AJ73" s="58"/>
      <c r="AK73" s="62">
        <f aca="true" t="shared" si="61" ref="AK73:AL75">AB73+AE73+AH73</f>
        <v>476</v>
      </c>
      <c r="AL73" s="62">
        <f t="shared" si="61"/>
        <v>3490</v>
      </c>
      <c r="AM73" s="58">
        <f t="shared" si="15"/>
        <v>733.1932773109244</v>
      </c>
      <c r="AN73" s="61"/>
      <c r="AO73" s="61"/>
      <c r="AP73" s="61"/>
      <c r="AQ73" s="61"/>
      <c r="AR73" s="61"/>
      <c r="AS73" s="61"/>
      <c r="AT73" s="94">
        <f t="shared" si="23"/>
        <v>69520</v>
      </c>
      <c r="AU73" s="94">
        <f t="shared" si="23"/>
        <v>63327</v>
      </c>
      <c r="AV73" s="58">
        <f t="shared" si="17"/>
        <v>91.09177215189874</v>
      </c>
      <c r="AW73" s="62">
        <f>AT73-AU73</f>
        <v>6193</v>
      </c>
      <c r="AX73" s="63">
        <f>C73+AT73-AU73</f>
        <v>2092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1303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4174.8</v>
      </c>
      <c r="N74" s="62">
        <f t="shared" si="42"/>
        <v>2804.8</v>
      </c>
      <c r="O74" s="58">
        <f t="shared" si="7"/>
        <v>67.18405672128006</v>
      </c>
      <c r="P74" s="61">
        <v>604.4</v>
      </c>
      <c r="Q74" s="61">
        <v>1285.9</v>
      </c>
      <c r="R74" s="58">
        <f t="shared" si="19"/>
        <v>212.75645268034418</v>
      </c>
      <c r="S74" s="61">
        <v>90.4</v>
      </c>
      <c r="T74" s="61">
        <v>688.4</v>
      </c>
      <c r="U74" s="58">
        <f t="shared" si="20"/>
        <v>761.5044247787611</v>
      </c>
      <c r="V74" s="61">
        <v>49.9</v>
      </c>
      <c r="W74" s="61">
        <v>78.4</v>
      </c>
      <c r="X74" s="58">
        <f>W74/V74*100</f>
        <v>157.11422845691385</v>
      </c>
      <c r="Y74" s="62">
        <f t="shared" si="43"/>
        <v>744.6999999999999</v>
      </c>
      <c r="Z74" s="62">
        <f t="shared" si="44"/>
        <v>2052.7000000000003</v>
      </c>
      <c r="AA74" s="58">
        <f>Z74/Y74*100</f>
        <v>275.641197797771</v>
      </c>
      <c r="AB74" s="61">
        <v>48.5</v>
      </c>
      <c r="AC74" s="61">
        <v>61.9</v>
      </c>
      <c r="AD74" s="58"/>
      <c r="AE74" s="61">
        <v>38.3</v>
      </c>
      <c r="AF74" s="61">
        <v>48.5</v>
      </c>
      <c r="AG74" s="58"/>
      <c r="AH74" s="61"/>
      <c r="AI74" s="61"/>
      <c r="AJ74" s="58"/>
      <c r="AK74" s="62">
        <f t="shared" si="61"/>
        <v>86.8</v>
      </c>
      <c r="AL74" s="62">
        <f t="shared" si="61"/>
        <v>110.4</v>
      </c>
      <c r="AM74" s="58">
        <f>AL74/AK74*100</f>
        <v>127.18894009216591</v>
      </c>
      <c r="AN74" s="61"/>
      <c r="AO74" s="61"/>
      <c r="AP74" s="61"/>
      <c r="AQ74" s="61"/>
      <c r="AR74" s="61"/>
      <c r="AS74" s="61"/>
      <c r="AT74" s="94">
        <f t="shared" si="23"/>
        <v>5006.3</v>
      </c>
      <c r="AU74" s="94">
        <f t="shared" si="23"/>
        <v>4967.9</v>
      </c>
      <c r="AV74" s="58">
        <f t="shared" si="17"/>
        <v>99.23296646225754</v>
      </c>
      <c r="AW74" s="62">
        <f>AT74-AU74</f>
        <v>38.400000000000546</v>
      </c>
      <c r="AX74" s="63">
        <f>C74+AT74-AU74</f>
        <v>38.400000000000546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30259.5</v>
      </c>
      <c r="E76" s="79">
        <f>E72+E7</f>
        <v>1459.0999999999997</v>
      </c>
      <c r="F76" s="59">
        <f>E76/D76*100</f>
        <v>4.8219567408582416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30199.9</v>
      </c>
      <c r="K76" s="79">
        <f>K72+K7</f>
        <v>26708.3</v>
      </c>
      <c r="L76" s="58">
        <f t="shared" si="49"/>
        <v>88.4383723124911</v>
      </c>
      <c r="M76" s="79">
        <f>M72+M7</f>
        <v>94326.20000000001</v>
      </c>
      <c r="N76" s="79">
        <f>N72+N7</f>
        <v>51499.600000000006</v>
      </c>
      <c r="O76" s="58">
        <f t="shared" si="7"/>
        <v>54.597344110119984</v>
      </c>
      <c r="P76" s="79">
        <f>P72+P7</f>
        <v>14675.6</v>
      </c>
      <c r="Q76" s="79">
        <f>Q72+Q7</f>
        <v>24225.800000000003</v>
      </c>
      <c r="R76" s="58">
        <f t="shared" si="19"/>
        <v>165.0753631878765</v>
      </c>
      <c r="S76" s="79">
        <f>S72+S7</f>
        <v>1482.7</v>
      </c>
      <c r="T76" s="79">
        <f>T72+T7</f>
        <v>16468.600000000002</v>
      </c>
      <c r="U76" s="58">
        <f t="shared" si="20"/>
        <v>1110.716935320699</v>
      </c>
      <c r="V76" s="79">
        <f>V72+V7</f>
        <v>820.9999999999999</v>
      </c>
      <c r="W76" s="79">
        <f>W72+W7</f>
        <v>6170.2</v>
      </c>
      <c r="X76" s="58">
        <f>W76/V76*100</f>
        <v>751.5468940316688</v>
      </c>
      <c r="Y76" s="79">
        <f>Y72+Y7</f>
        <v>16979.3</v>
      </c>
      <c r="Z76" s="79">
        <f>Z72+Z7</f>
        <v>46864.6</v>
      </c>
      <c r="AA76" s="58">
        <f>Z76/Y76*100</f>
        <v>276.01020065609305</v>
      </c>
      <c r="AB76" s="79">
        <f>AB72+AB7</f>
        <v>731.7</v>
      </c>
      <c r="AC76" s="79">
        <f>AC72+AC7</f>
        <v>2833.1000000000004</v>
      </c>
      <c r="AD76" s="58">
        <f>AC76/AB76*100</f>
        <v>387.1942052753861</v>
      </c>
      <c r="AE76" s="79">
        <f>AE72+AE7</f>
        <v>753.2000000000003</v>
      </c>
      <c r="AF76" s="79">
        <f>AF72+AF7</f>
        <v>2795.8999999999996</v>
      </c>
      <c r="AG76" s="58">
        <f>AF76/AE76*100</f>
        <v>371.20286776420585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1484.9</v>
      </c>
      <c r="AL76" s="79">
        <f>AL72+AL7</f>
        <v>5629</v>
      </c>
      <c r="AM76" s="58">
        <f>AL76/AK76*100</f>
        <v>379.0827665162637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112790.40000000001</v>
      </c>
      <c r="AU76" s="57">
        <f t="shared" si="23"/>
        <v>103993.20000000001</v>
      </c>
      <c r="AV76" s="58">
        <f>AU76/AT76*100</f>
        <v>92.20040003404544</v>
      </c>
      <c r="AW76" s="79">
        <f>AW72+AW7</f>
        <v>8797.200000000003</v>
      </c>
      <c r="AX76" s="79">
        <f>AX72+AX7</f>
        <v>3149.399999999999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69" t="s">
        <v>58</v>
      </c>
      <c r="B77" s="169"/>
      <c r="C77" s="16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67" t="s">
        <v>49</v>
      </c>
      <c r="C82" s="167"/>
      <c r="D82" s="167"/>
      <c r="E82" s="167"/>
      <c r="F82" s="167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68" t="s">
        <v>48</v>
      </c>
      <c r="AX82" s="168"/>
    </row>
    <row r="83" spans="1:50" ht="73.5" customHeight="1" hidden="1">
      <c r="A83" s="166" t="s">
        <v>46</v>
      </c>
      <c r="B83" s="16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B82:F82"/>
    <mergeCell ref="S5:U5"/>
    <mergeCell ref="AR5:AS5"/>
    <mergeCell ref="AH5:AJ5"/>
    <mergeCell ref="D5:F5"/>
    <mergeCell ref="G5:I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60" zoomScaleNormal="50" zoomScalePageLayoutView="0" workbookViewId="0" topLeftCell="A3">
      <pane xSplit="6" ySplit="5" topLeftCell="W6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B4" sqref="AB1:AC16384"/>
    </sheetView>
  </sheetViews>
  <sheetFormatPr defaultColWidth="5.75390625" defaultRowHeight="12.75"/>
  <cols>
    <col min="1" max="1" width="5.00390625" style="1" hidden="1" customWidth="1"/>
    <col min="2" max="2" width="65.7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4" t="s">
        <v>42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</row>
    <row r="2" spans="1:50" s="31" customFormat="1" ht="60" customHeight="1" hidden="1">
      <c r="A2" s="30"/>
      <c r="B2" s="165" t="s">
        <v>172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</row>
    <row r="3" spans="1:50" s="44" customFormat="1" ht="60" customHeight="1">
      <c r="A3" s="43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</row>
    <row r="4" spans="2:50" ht="35.25" customHeight="1">
      <c r="B4" s="153"/>
      <c r="C4" s="153"/>
      <c r="D4" s="153"/>
      <c r="E4" s="153"/>
      <c r="F4" s="15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5" t="s">
        <v>59</v>
      </c>
      <c r="E5" s="156"/>
      <c r="F5" s="157"/>
      <c r="G5" s="155" t="s">
        <v>60</v>
      </c>
      <c r="H5" s="156"/>
      <c r="I5" s="157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8" t="s">
        <v>63</v>
      </c>
      <c r="T5" s="159"/>
      <c r="U5" s="160"/>
      <c r="V5" s="158" t="s">
        <v>64</v>
      </c>
      <c r="W5" s="159"/>
      <c r="X5" s="160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5" t="s">
        <v>130</v>
      </c>
      <c r="AU5" s="156"/>
      <c r="AV5" s="157"/>
      <c r="AW5" s="163" t="s">
        <v>173</v>
      </c>
      <c r="AX5" s="161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64"/>
      <c r="AX6" s="162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6015.700000000001</v>
      </c>
      <c r="K7" s="58">
        <f t="shared" si="0"/>
        <v>7305.6</v>
      </c>
      <c r="L7" s="56">
        <f>K7/J7*100</f>
        <v>121.44222617484249</v>
      </c>
      <c r="M7" s="58">
        <f t="shared" si="0"/>
        <v>21241.100000000002</v>
      </c>
      <c r="N7" s="58">
        <f t="shared" si="0"/>
        <v>18912.9</v>
      </c>
      <c r="O7" s="56">
        <f>N7/M7*100</f>
        <v>89.03917405407441</v>
      </c>
      <c r="P7" s="58">
        <f t="shared" si="0"/>
        <v>1253.8000000000002</v>
      </c>
      <c r="Q7" s="58">
        <f t="shared" si="0"/>
        <v>5120.399999999999</v>
      </c>
      <c r="R7" s="56">
        <f>Q7/P7*100</f>
        <v>408.390492901579</v>
      </c>
      <c r="S7" s="58">
        <f t="shared" si="0"/>
        <v>181.7</v>
      </c>
      <c r="T7" s="58">
        <f t="shared" si="0"/>
        <v>1942.2000000000003</v>
      </c>
      <c r="U7" s="56">
        <f>T7/S7*100</f>
        <v>1068.9047881122733</v>
      </c>
      <c r="V7" s="58">
        <f t="shared" si="0"/>
        <v>69.79999999999998</v>
      </c>
      <c r="W7" s="58">
        <f t="shared" si="0"/>
        <v>1050.0999999999997</v>
      </c>
      <c r="X7" s="56">
        <f>W7/V7*100</f>
        <v>1504.4412607449856</v>
      </c>
      <c r="Y7" s="58">
        <f t="shared" si="0"/>
        <v>1505.3000000000006</v>
      </c>
      <c r="Z7" s="58">
        <f t="shared" si="0"/>
        <v>8112.7</v>
      </c>
      <c r="AA7" s="56">
        <f>Z7/Y7*100</f>
        <v>538.9424035076062</v>
      </c>
      <c r="AB7" s="58">
        <f t="shared" si="0"/>
        <v>63.8</v>
      </c>
      <c r="AC7" s="58">
        <f t="shared" si="0"/>
        <v>549.5000000000001</v>
      </c>
      <c r="AD7" s="56">
        <f>AC7/AB7*100</f>
        <v>861.2852664576805</v>
      </c>
      <c r="AE7" s="58">
        <f t="shared" si="0"/>
        <v>74.8</v>
      </c>
      <c r="AF7" s="58">
        <f t="shared" si="0"/>
        <v>682.4000000000001</v>
      </c>
      <c r="AG7" s="56">
        <f>AF7/AE7*100</f>
        <v>912.2994652406419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138.6</v>
      </c>
      <c r="AL7" s="58">
        <f t="shared" si="0"/>
        <v>1231.9000000000003</v>
      </c>
      <c r="AM7" s="56">
        <f>AL7/AK7*100</f>
        <v>888.8167388167391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22885</v>
      </c>
      <c r="AU7" s="57">
        <f t="shared" si="1"/>
        <v>28257.500000000004</v>
      </c>
      <c r="AV7" s="56">
        <f>AU7/AT7*100</f>
        <v>123.47607603233561</v>
      </c>
      <c r="AW7" s="58">
        <f t="shared" si="0"/>
        <v>-5372.500000000003</v>
      </c>
      <c r="AX7" s="58">
        <f t="shared" si="0"/>
        <v>3050.3999999999996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9.2</v>
      </c>
      <c r="Q8" s="75">
        <f t="shared" si="8"/>
        <v>24.4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6.1</v>
      </c>
      <c r="X8" s="58" t="e">
        <f aca="true" t="shared" si="9" ref="X8:X24">W8/V8*100</f>
        <v>#DIV/0!</v>
      </c>
      <c r="Y8" s="58">
        <f aca="true" t="shared" si="10" ref="Y8:Y39">P8+S8+V8</f>
        <v>9.2</v>
      </c>
      <c r="Z8" s="58">
        <f aca="true" t="shared" si="11" ref="Z8:Z39">Q8+T8+W8</f>
        <v>30.5</v>
      </c>
      <c r="AA8" s="58">
        <f aca="true" t="shared" si="12" ref="AA8:AA73">Z8/Y8*100</f>
        <v>331.5217391304348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129.29999999999998</v>
      </c>
      <c r="AU8" s="57">
        <f t="shared" si="1"/>
        <v>95.5</v>
      </c>
      <c r="AV8" s="58">
        <f aca="true" t="shared" si="17" ref="AV8:AV75">AU8/AT8*100</f>
        <v>73.85924207269916</v>
      </c>
      <c r="AW8" s="58">
        <f>AT8-AU8</f>
        <v>33.79999999999998</v>
      </c>
      <c r="AX8" s="79">
        <f aca="true" t="shared" si="18" ref="AX8:AX39">C8+AT8-AU8</f>
        <v>49.099999999999994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>
        <v>9.2</v>
      </c>
      <c r="Q9" s="91">
        <v>24.4</v>
      </c>
      <c r="R9" s="56">
        <f aca="true" t="shared" si="19" ref="R9:R76">Q9/P9*100</f>
        <v>265.21739130434787</v>
      </c>
      <c r="S9" s="91"/>
      <c r="T9" s="91"/>
      <c r="U9" s="56" t="e">
        <f aca="true" t="shared" si="20" ref="U9:U76">T9/S9*100</f>
        <v>#DIV/0!</v>
      </c>
      <c r="V9" s="91"/>
      <c r="W9" s="91">
        <v>6.1</v>
      </c>
      <c r="X9" s="56" t="e">
        <f t="shared" si="9"/>
        <v>#DIV/0!</v>
      </c>
      <c r="Y9" s="93">
        <f t="shared" si="10"/>
        <v>9.2</v>
      </c>
      <c r="Z9" s="93">
        <f t="shared" si="11"/>
        <v>30.5</v>
      </c>
      <c r="AA9" s="56">
        <f t="shared" si="12"/>
        <v>331.5217391304348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129.2</v>
      </c>
      <c r="AU9" s="94">
        <f t="shared" si="1"/>
        <v>95.5</v>
      </c>
      <c r="AV9" s="56">
        <f t="shared" si="17"/>
        <v>73.91640866873065</v>
      </c>
      <c r="AW9" s="93">
        <f aca="true" t="shared" si="22" ref="AW9:AW75">AT9-AU9</f>
        <v>33.69999999999999</v>
      </c>
      <c r="AX9" s="95">
        <f t="shared" si="18"/>
        <v>51.69999999999999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273.90000000000003</v>
      </c>
      <c r="Q14" s="75">
        <f t="shared" si="24"/>
        <v>1505.3000000000002</v>
      </c>
      <c r="R14" s="75" t="e">
        <f t="shared" si="24"/>
        <v>#DIV/0!</v>
      </c>
      <c r="S14" s="75">
        <f t="shared" si="24"/>
        <v>0</v>
      </c>
      <c r="T14" s="75">
        <f t="shared" si="24"/>
        <v>261.3</v>
      </c>
      <c r="U14" s="75" t="e">
        <f t="shared" si="24"/>
        <v>#DIV/0!</v>
      </c>
      <c r="V14" s="75">
        <f t="shared" si="24"/>
        <v>0.8</v>
      </c>
      <c r="W14" s="75">
        <f t="shared" si="24"/>
        <v>101.7</v>
      </c>
      <c r="X14" s="58">
        <f t="shared" si="9"/>
        <v>12712.5</v>
      </c>
      <c r="Y14" s="58">
        <f t="shared" si="10"/>
        <v>274.70000000000005</v>
      </c>
      <c r="Z14" s="58">
        <f t="shared" si="11"/>
        <v>1868.3000000000002</v>
      </c>
      <c r="AA14" s="58">
        <f t="shared" si="12"/>
        <v>680.1237713869676</v>
      </c>
      <c r="AB14" s="75">
        <f aca="true" t="shared" si="25" ref="AB14:AI14">SUM(AB15:AB22)</f>
        <v>0</v>
      </c>
      <c r="AC14" s="75">
        <f t="shared" si="25"/>
        <v>79.1</v>
      </c>
      <c r="AD14" s="75">
        <f t="shared" si="25"/>
        <v>0</v>
      </c>
      <c r="AE14" s="75">
        <f t="shared" si="25"/>
        <v>0</v>
      </c>
      <c r="AF14" s="75">
        <f t="shared" si="25"/>
        <v>200.6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279.7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5355.2</v>
      </c>
      <c r="AU14" s="57">
        <f t="shared" si="23"/>
        <v>6643.2</v>
      </c>
      <c r="AV14" s="58">
        <f t="shared" si="17"/>
        <v>124.0513893038542</v>
      </c>
      <c r="AW14" s="58">
        <f t="shared" si="22"/>
        <v>-1288</v>
      </c>
      <c r="AX14" s="79">
        <f t="shared" si="18"/>
        <v>514.0999999999995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>
        <v>150.8</v>
      </c>
      <c r="Q15" s="61">
        <v>603.1</v>
      </c>
      <c r="R15" s="58">
        <f t="shared" si="19"/>
        <v>399.9336870026525</v>
      </c>
      <c r="S15" s="61"/>
      <c r="T15" s="61">
        <v>53.2</v>
      </c>
      <c r="U15" s="58" t="e">
        <f t="shared" si="20"/>
        <v>#DIV/0!</v>
      </c>
      <c r="V15" s="61"/>
      <c r="W15" s="61">
        <v>51</v>
      </c>
      <c r="X15" s="58" t="e">
        <f t="shared" si="9"/>
        <v>#DIV/0!</v>
      </c>
      <c r="Y15" s="62">
        <f t="shared" si="10"/>
        <v>150.8</v>
      </c>
      <c r="Z15" s="62">
        <f t="shared" si="11"/>
        <v>707.3000000000001</v>
      </c>
      <c r="AA15" s="58">
        <f t="shared" si="12"/>
        <v>469.03183023872674</v>
      </c>
      <c r="AB15" s="61"/>
      <c r="AC15" s="61">
        <v>14.7</v>
      </c>
      <c r="AD15" s="58"/>
      <c r="AE15" s="61"/>
      <c r="AF15" s="61">
        <v>167.3</v>
      </c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182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2307.1000000000004</v>
      </c>
      <c r="AU15" s="94">
        <f t="shared" si="23"/>
        <v>2632.2000000000003</v>
      </c>
      <c r="AV15" s="58">
        <f t="shared" si="17"/>
        <v>114.09128342941355</v>
      </c>
      <c r="AW15" s="62">
        <f t="shared" si="22"/>
        <v>-325.0999999999999</v>
      </c>
      <c r="AX15" s="63">
        <f t="shared" si="18"/>
        <v>102.40000000000009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>
        <v>7</v>
      </c>
      <c r="Q16" s="61">
        <v>165.1</v>
      </c>
      <c r="R16" s="58">
        <f t="shared" si="19"/>
        <v>2358.5714285714284</v>
      </c>
      <c r="S16" s="61"/>
      <c r="T16" s="61">
        <v>32.8</v>
      </c>
      <c r="U16" s="58" t="e">
        <f t="shared" si="20"/>
        <v>#DIV/0!</v>
      </c>
      <c r="V16" s="61"/>
      <c r="W16" s="61">
        <v>2.1</v>
      </c>
      <c r="X16" s="58" t="e">
        <f t="shared" si="9"/>
        <v>#DIV/0!</v>
      </c>
      <c r="Y16" s="62">
        <f t="shared" si="10"/>
        <v>7</v>
      </c>
      <c r="Z16" s="62">
        <f t="shared" si="11"/>
        <v>199.99999999999997</v>
      </c>
      <c r="AA16" s="58">
        <f t="shared" si="12"/>
        <v>2857.1428571428564</v>
      </c>
      <c r="AB16" s="61"/>
      <c r="AC16" s="61">
        <v>2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2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657</v>
      </c>
      <c r="AU16" s="94">
        <f t="shared" si="23"/>
        <v>888.4</v>
      </c>
      <c r="AV16" s="58">
        <f t="shared" si="17"/>
        <v>135.220700152207</v>
      </c>
      <c r="AW16" s="62">
        <f t="shared" si="22"/>
        <v>-231.39999999999998</v>
      </c>
      <c r="AX16" s="63">
        <f t="shared" si="18"/>
        <v>-7.899999999999977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>
        <v>13.4</v>
      </c>
      <c r="Q17" s="61">
        <v>169.6</v>
      </c>
      <c r="R17" s="58">
        <f t="shared" si="19"/>
        <v>1265.6716417910447</v>
      </c>
      <c r="S17" s="61"/>
      <c r="T17" s="61">
        <v>27.2</v>
      </c>
      <c r="U17" s="58" t="e">
        <f t="shared" si="20"/>
        <v>#DIV/0!</v>
      </c>
      <c r="V17" s="61"/>
      <c r="W17" s="61">
        <v>20.6</v>
      </c>
      <c r="X17" s="58" t="e">
        <f t="shared" si="9"/>
        <v>#DIV/0!</v>
      </c>
      <c r="Y17" s="62">
        <f t="shared" si="10"/>
        <v>13.4</v>
      </c>
      <c r="Z17" s="62">
        <f t="shared" si="11"/>
        <v>217.39999999999998</v>
      </c>
      <c r="AA17" s="58">
        <f t="shared" si="12"/>
        <v>1622.3880597014922</v>
      </c>
      <c r="AB17" s="61"/>
      <c r="AC17" s="61">
        <v>21</v>
      </c>
      <c r="AD17" s="58"/>
      <c r="AE17" s="61"/>
      <c r="AF17" s="61">
        <v>4.7</v>
      </c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25.7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629.6</v>
      </c>
      <c r="AU17" s="94">
        <f t="shared" si="23"/>
        <v>876.1</v>
      </c>
      <c r="AV17" s="58">
        <f t="shared" si="17"/>
        <v>139.1518424396442</v>
      </c>
      <c r="AW17" s="62">
        <f t="shared" si="22"/>
        <v>-246.5</v>
      </c>
      <c r="AX17" s="63">
        <f t="shared" si="18"/>
        <v>14.800000000000068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>
        <v>102.7</v>
      </c>
      <c r="Q19" s="61">
        <v>567.5</v>
      </c>
      <c r="R19" s="58">
        <f t="shared" si="19"/>
        <v>552.5803310613437</v>
      </c>
      <c r="S19" s="61"/>
      <c r="T19" s="61">
        <v>148.1</v>
      </c>
      <c r="U19" s="58" t="e">
        <f t="shared" si="20"/>
        <v>#DIV/0!</v>
      </c>
      <c r="V19" s="61">
        <v>0.8</v>
      </c>
      <c r="W19" s="61">
        <v>28</v>
      </c>
      <c r="X19" s="66">
        <f t="shared" si="9"/>
        <v>3500</v>
      </c>
      <c r="Y19" s="62">
        <f t="shared" si="10"/>
        <v>103.5</v>
      </c>
      <c r="Z19" s="62">
        <f t="shared" si="11"/>
        <v>743.6</v>
      </c>
      <c r="AA19" s="58">
        <f t="shared" si="12"/>
        <v>718.4541062801933</v>
      </c>
      <c r="AB19" s="61"/>
      <c r="AC19" s="61">
        <v>41.4</v>
      </c>
      <c r="AD19" s="58"/>
      <c r="AE19" s="61"/>
      <c r="AF19" s="61">
        <v>28.6</v>
      </c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70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1761.5</v>
      </c>
      <c r="AU19" s="94">
        <f t="shared" si="23"/>
        <v>2246.5</v>
      </c>
      <c r="AV19" s="58">
        <f t="shared" si="17"/>
        <v>127.5333522565995</v>
      </c>
      <c r="AW19" s="62">
        <f t="shared" si="22"/>
        <v>-485</v>
      </c>
      <c r="AX19" s="63">
        <f t="shared" si="18"/>
        <v>404.8000000000002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58.599999999999994</v>
      </c>
      <c r="Q23" s="75">
        <f t="shared" si="27"/>
        <v>225.2</v>
      </c>
      <c r="R23" s="75" t="e">
        <f t="shared" si="27"/>
        <v>#DIV/0!</v>
      </c>
      <c r="S23" s="75">
        <f t="shared" si="27"/>
        <v>0</v>
      </c>
      <c r="T23" s="75">
        <f t="shared" si="27"/>
        <v>263.1</v>
      </c>
      <c r="U23" s="75" t="e">
        <f t="shared" si="27"/>
        <v>#DIV/0!</v>
      </c>
      <c r="V23" s="75">
        <f t="shared" si="27"/>
        <v>0</v>
      </c>
      <c r="W23" s="75">
        <f t="shared" si="27"/>
        <v>87.39999999999999</v>
      </c>
      <c r="X23" s="72" t="e">
        <f t="shared" si="9"/>
        <v>#DIV/0!</v>
      </c>
      <c r="Y23" s="58">
        <f t="shared" si="10"/>
        <v>58.599999999999994</v>
      </c>
      <c r="Z23" s="58">
        <f t="shared" si="11"/>
        <v>575.7</v>
      </c>
      <c r="AA23" s="58">
        <f t="shared" si="12"/>
        <v>982.4232081911264</v>
      </c>
      <c r="AB23" s="75">
        <f aca="true" t="shared" si="28" ref="AB23:AI23">SUM(AB24:AB29)</f>
        <v>0</v>
      </c>
      <c r="AC23" s="75">
        <f t="shared" si="28"/>
        <v>130.9</v>
      </c>
      <c r="AD23" s="75">
        <f t="shared" si="28"/>
        <v>0</v>
      </c>
      <c r="AE23" s="75">
        <f t="shared" si="28"/>
        <v>0</v>
      </c>
      <c r="AF23" s="75">
        <f t="shared" si="28"/>
        <v>35.1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166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1622.6999999999998</v>
      </c>
      <c r="AU23" s="57">
        <f t="shared" si="23"/>
        <v>2149.7</v>
      </c>
      <c r="AV23" s="58">
        <f t="shared" si="17"/>
        <v>132.47673630369138</v>
      </c>
      <c r="AW23" s="58">
        <f t="shared" si="22"/>
        <v>-527</v>
      </c>
      <c r="AX23" s="79">
        <f t="shared" si="18"/>
        <v>205.80000000000018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>
        <v>0.3</v>
      </c>
      <c r="Q25" s="61">
        <v>10.7</v>
      </c>
      <c r="R25" s="58">
        <f t="shared" si="19"/>
        <v>3566.6666666666665</v>
      </c>
      <c r="S25" s="61"/>
      <c r="T25" s="61"/>
      <c r="U25" s="58" t="e">
        <f t="shared" si="20"/>
        <v>#DIV/0!</v>
      </c>
      <c r="V25" s="61"/>
      <c r="W25" s="61">
        <v>0.3</v>
      </c>
      <c r="X25" s="58" t="e">
        <f>W25/V25*100</f>
        <v>#DIV/0!</v>
      </c>
      <c r="Y25" s="62">
        <f t="shared" si="10"/>
        <v>0.3</v>
      </c>
      <c r="Z25" s="62">
        <f t="shared" si="11"/>
        <v>11</v>
      </c>
      <c r="AA25" s="58">
        <f t="shared" si="12"/>
        <v>3666.666666666667</v>
      </c>
      <c r="AB25" s="61"/>
      <c r="AC25" s="61"/>
      <c r="AD25" s="58"/>
      <c r="AE25" s="61"/>
      <c r="AF25" s="61">
        <v>0.7</v>
      </c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0.7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35.8</v>
      </c>
      <c r="AU25" s="94">
        <f t="shared" si="23"/>
        <v>32.6</v>
      </c>
      <c r="AV25" s="58">
        <f t="shared" si="17"/>
        <v>91.06145251396649</v>
      </c>
      <c r="AW25" s="62">
        <f t="shared" si="22"/>
        <v>3.1999999999999957</v>
      </c>
      <c r="AX25" s="63">
        <f t="shared" si="18"/>
        <v>-0.10000000000000142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>
        <v>58.3</v>
      </c>
      <c r="Q26" s="61">
        <v>214.5</v>
      </c>
      <c r="R26" s="58">
        <f t="shared" si="19"/>
        <v>367.9245283018868</v>
      </c>
      <c r="S26" s="61"/>
      <c r="T26" s="61">
        <v>263.1</v>
      </c>
      <c r="U26" s="58" t="e">
        <f t="shared" si="20"/>
        <v>#DIV/0!</v>
      </c>
      <c r="V26" s="61"/>
      <c r="W26" s="61">
        <v>87.1</v>
      </c>
      <c r="X26" s="58" t="e">
        <f>W26/V26*100</f>
        <v>#DIV/0!</v>
      </c>
      <c r="Y26" s="62">
        <f t="shared" si="10"/>
        <v>58.3</v>
      </c>
      <c r="Z26" s="62">
        <f t="shared" si="11"/>
        <v>564.7</v>
      </c>
      <c r="AA26" s="58">
        <f t="shared" si="12"/>
        <v>968.6106346483706</v>
      </c>
      <c r="AB26" s="61"/>
      <c r="AC26" s="61">
        <v>130.9</v>
      </c>
      <c r="AD26" s="58"/>
      <c r="AE26" s="61"/>
      <c r="AF26" s="61">
        <v>34.4</v>
      </c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165.3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1586.9</v>
      </c>
      <c r="AU26" s="94">
        <f t="shared" si="23"/>
        <v>2117.1</v>
      </c>
      <c r="AV26" s="58">
        <f t="shared" si="17"/>
        <v>133.41105299640807</v>
      </c>
      <c r="AW26" s="62">
        <f t="shared" si="22"/>
        <v>-530.1999999999998</v>
      </c>
      <c r="AX26" s="63">
        <f t="shared" si="18"/>
        <v>205.9000000000001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48.800000000000004</v>
      </c>
      <c r="Q30" s="108">
        <f t="shared" si="31"/>
        <v>712.0999999999999</v>
      </c>
      <c r="R30" s="108" t="e">
        <f t="shared" si="31"/>
        <v>#DIV/0!</v>
      </c>
      <c r="S30" s="108">
        <f t="shared" si="31"/>
        <v>0</v>
      </c>
      <c r="T30" s="108">
        <f t="shared" si="31"/>
        <v>61.1</v>
      </c>
      <c r="U30" s="108" t="e">
        <f t="shared" si="31"/>
        <v>#DIV/0!</v>
      </c>
      <c r="V30" s="108">
        <f t="shared" si="31"/>
        <v>0</v>
      </c>
      <c r="W30" s="108">
        <f t="shared" si="31"/>
        <v>20.2</v>
      </c>
      <c r="X30" s="56" t="e">
        <f t="shared" si="30"/>
        <v>#DIV/0!</v>
      </c>
      <c r="Y30" s="56">
        <f t="shared" si="10"/>
        <v>48.800000000000004</v>
      </c>
      <c r="Z30" s="56">
        <f t="shared" si="11"/>
        <v>793.4</v>
      </c>
      <c r="AA30" s="56">
        <f t="shared" si="12"/>
        <v>1625.8196721311474</v>
      </c>
      <c r="AB30" s="108">
        <f aca="true" t="shared" si="32" ref="AB30:AI30">SUM(AB31:AB38)</f>
        <v>0</v>
      </c>
      <c r="AC30" s="108">
        <f t="shared" si="32"/>
        <v>7.3</v>
      </c>
      <c r="AD30" s="108">
        <f t="shared" si="32"/>
        <v>0</v>
      </c>
      <c r="AE30" s="108">
        <f t="shared" si="32"/>
        <v>0</v>
      </c>
      <c r="AF30" s="108">
        <f t="shared" si="32"/>
        <v>7.7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15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2345.5</v>
      </c>
      <c r="AU30" s="57">
        <f t="shared" si="23"/>
        <v>3039.9</v>
      </c>
      <c r="AV30" s="56">
        <f t="shared" si="17"/>
        <v>129.6056277979109</v>
      </c>
      <c r="AW30" s="56">
        <f>AT30-AU30</f>
        <v>-694.4000000000001</v>
      </c>
      <c r="AX30" s="55">
        <f t="shared" si="18"/>
        <v>121.90000000000009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>
        <f>32+12.2</f>
        <v>44.2</v>
      </c>
      <c r="Q35" s="61">
        <f>450.2+81.1</f>
        <v>531.3</v>
      </c>
      <c r="R35" s="58">
        <f t="shared" si="19"/>
        <v>1202.0361990950225</v>
      </c>
      <c r="S35" s="61"/>
      <c r="T35" s="61">
        <f>32+25.4</f>
        <v>57.4</v>
      </c>
      <c r="U35" s="58" t="e">
        <f t="shared" si="20"/>
        <v>#DIV/0!</v>
      </c>
      <c r="V35" s="61"/>
      <c r="W35" s="61">
        <f>7.1+13.1</f>
        <v>20.2</v>
      </c>
      <c r="X35" s="58" t="e">
        <f t="shared" si="30"/>
        <v>#DIV/0!</v>
      </c>
      <c r="Y35" s="62">
        <f t="shared" si="10"/>
        <v>44.2</v>
      </c>
      <c r="Z35" s="62">
        <f t="shared" si="11"/>
        <v>608.9</v>
      </c>
      <c r="AA35" s="58">
        <f t="shared" si="12"/>
        <v>1377.601809954751</v>
      </c>
      <c r="AB35" s="61"/>
      <c r="AC35" s="61">
        <f>1+3.6</f>
        <v>4.6</v>
      </c>
      <c r="AD35" s="58"/>
      <c r="AE35" s="61"/>
      <c r="AF35" s="61">
        <v>5</v>
      </c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9.6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1834.3</v>
      </c>
      <c r="AU35" s="94">
        <f t="shared" si="23"/>
        <v>2384.1</v>
      </c>
      <c r="AV35" s="58">
        <f t="shared" si="36"/>
        <v>129.97328681240802</v>
      </c>
      <c r="AW35" s="62">
        <f t="shared" si="37"/>
        <v>-549.8</v>
      </c>
      <c r="AX35" s="63">
        <f t="shared" si="18"/>
        <v>100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>
        <v>4.6</v>
      </c>
      <c r="Q38" s="61">
        <v>180.8</v>
      </c>
      <c r="R38" s="58">
        <f t="shared" si="19"/>
        <v>3930.434782608696</v>
      </c>
      <c r="S38" s="61"/>
      <c r="T38" s="61">
        <v>3.7</v>
      </c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4.6</v>
      </c>
      <c r="Z38" s="62">
        <f t="shared" si="11"/>
        <v>184.5</v>
      </c>
      <c r="AA38" s="58">
        <f t="shared" si="12"/>
        <v>4010.8695652173915</v>
      </c>
      <c r="AB38" s="61"/>
      <c r="AC38" s="61">
        <v>2.7</v>
      </c>
      <c r="AD38" s="58"/>
      <c r="AE38" s="61"/>
      <c r="AF38" s="61">
        <v>2.7</v>
      </c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5.4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511.20000000000005</v>
      </c>
      <c r="AU38" s="94">
        <f t="shared" si="23"/>
        <v>655.8000000000001</v>
      </c>
      <c r="AV38" s="58">
        <f t="shared" si="36"/>
        <v>128.28638497652582</v>
      </c>
      <c r="AW38" s="62">
        <f t="shared" si="37"/>
        <v>-144.60000000000002</v>
      </c>
      <c r="AX38" s="63">
        <f t="shared" si="18"/>
        <v>21.899999999999977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266.9</v>
      </c>
      <c r="Q39" s="75">
        <f t="shared" si="38"/>
        <v>966.3</v>
      </c>
      <c r="R39" s="75" t="e">
        <f t="shared" si="38"/>
        <v>#DIV/0!</v>
      </c>
      <c r="S39" s="75">
        <f t="shared" si="38"/>
        <v>0</v>
      </c>
      <c r="T39" s="75">
        <f t="shared" si="38"/>
        <v>496.90000000000003</v>
      </c>
      <c r="U39" s="75" t="e">
        <f t="shared" si="38"/>
        <v>#DIV/0!</v>
      </c>
      <c r="V39" s="75">
        <f t="shared" si="38"/>
        <v>0</v>
      </c>
      <c r="W39" s="75">
        <f t="shared" si="38"/>
        <v>156.4</v>
      </c>
      <c r="X39" s="58" t="e">
        <f t="shared" si="30"/>
        <v>#DIV/0!</v>
      </c>
      <c r="Y39" s="58">
        <f t="shared" si="10"/>
        <v>266.9</v>
      </c>
      <c r="Z39" s="58">
        <f t="shared" si="11"/>
        <v>1619.6000000000001</v>
      </c>
      <c r="AA39" s="58">
        <f t="shared" si="12"/>
        <v>606.8190333458225</v>
      </c>
      <c r="AB39" s="75">
        <f aca="true" t="shared" si="39" ref="AB39:AI39">SUM(AB40:AB44)</f>
        <v>0</v>
      </c>
      <c r="AC39" s="75">
        <f t="shared" si="39"/>
        <v>102.89999999999999</v>
      </c>
      <c r="AD39" s="75">
        <f t="shared" si="39"/>
        <v>0</v>
      </c>
      <c r="AE39" s="75">
        <f t="shared" si="39"/>
        <v>0</v>
      </c>
      <c r="AF39" s="75">
        <f t="shared" si="39"/>
        <v>168.5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271.4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5345.4</v>
      </c>
      <c r="AU39" s="57">
        <f t="shared" si="23"/>
        <v>6456.7</v>
      </c>
      <c r="AV39" s="58">
        <f t="shared" si="36"/>
        <v>120.78983799154415</v>
      </c>
      <c r="AW39" s="58">
        <f t="shared" si="37"/>
        <v>-1111.3000000000002</v>
      </c>
      <c r="AX39" s="79">
        <f t="shared" si="18"/>
        <v>1687.1999999999998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>
        <f>222.5</f>
        <v>222.5</v>
      </c>
      <c r="Q42" s="61">
        <f>675.1</f>
        <v>675.1</v>
      </c>
      <c r="R42" s="58">
        <f t="shared" si="19"/>
        <v>303.4157303370787</v>
      </c>
      <c r="S42" s="61"/>
      <c r="T42" s="61">
        <v>439.8</v>
      </c>
      <c r="U42" s="58" t="e">
        <f t="shared" si="20"/>
        <v>#DIV/0!</v>
      </c>
      <c r="V42" s="61"/>
      <c r="W42" s="61">
        <v>94.4</v>
      </c>
      <c r="X42" s="58" t="e">
        <f t="shared" si="30"/>
        <v>#DIV/0!</v>
      </c>
      <c r="Y42" s="62">
        <f t="shared" si="43"/>
        <v>222.5</v>
      </c>
      <c r="Z42" s="62">
        <f t="shared" si="44"/>
        <v>1209.3000000000002</v>
      </c>
      <c r="AA42" s="58">
        <f t="shared" si="12"/>
        <v>543.5056179775282</v>
      </c>
      <c r="AB42" s="61"/>
      <c r="AC42" s="61">
        <f>84.6</f>
        <v>84.6</v>
      </c>
      <c r="AD42" s="58"/>
      <c r="AE42" s="61"/>
      <c r="AF42" s="61">
        <v>154.1</v>
      </c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238.7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4391.9</v>
      </c>
      <c r="AU42" s="94">
        <f t="shared" si="23"/>
        <v>5234.4</v>
      </c>
      <c r="AV42" s="58">
        <f t="shared" si="36"/>
        <v>119.18304150823107</v>
      </c>
      <c r="AW42" s="62">
        <f t="shared" si="37"/>
        <v>-842.5</v>
      </c>
      <c r="AX42" s="63">
        <f t="shared" si="45"/>
        <v>1285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>
        <v>44.4</v>
      </c>
      <c r="Q44" s="61">
        <v>291.2</v>
      </c>
      <c r="R44" s="58">
        <f t="shared" si="19"/>
        <v>655.8558558558558</v>
      </c>
      <c r="S44" s="61"/>
      <c r="T44" s="61">
        <v>57.1</v>
      </c>
      <c r="U44" s="58" t="e">
        <f t="shared" si="20"/>
        <v>#DIV/0!</v>
      </c>
      <c r="V44" s="61"/>
      <c r="W44" s="61">
        <v>62</v>
      </c>
      <c r="X44" s="72" t="e">
        <f t="shared" si="30"/>
        <v>#DIV/0!</v>
      </c>
      <c r="Y44" s="62">
        <f t="shared" si="43"/>
        <v>44.4</v>
      </c>
      <c r="Z44" s="62">
        <f t="shared" si="44"/>
        <v>410.3</v>
      </c>
      <c r="AA44" s="58">
        <f t="shared" si="12"/>
        <v>924.0990990990992</v>
      </c>
      <c r="AB44" s="61"/>
      <c r="AC44" s="61">
        <v>18.3</v>
      </c>
      <c r="AD44" s="58"/>
      <c r="AE44" s="61"/>
      <c r="AF44" s="61">
        <v>14.4</v>
      </c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32.7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953.5</v>
      </c>
      <c r="AU44" s="94">
        <f t="shared" si="23"/>
        <v>1222.3</v>
      </c>
      <c r="AV44" s="58">
        <f t="shared" si="36"/>
        <v>128.1908757210278</v>
      </c>
      <c r="AW44" s="62">
        <f t="shared" si="37"/>
        <v>-268.79999999999995</v>
      </c>
      <c r="AX44" s="63">
        <f t="shared" si="45"/>
        <v>402.20000000000005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>
        <v>0</v>
      </c>
      <c r="Q57" s="61">
        <v>46.1</v>
      </c>
      <c r="R57" s="58" t="e">
        <f t="shared" si="19"/>
        <v>#DIV/0!</v>
      </c>
      <c r="S57" s="61"/>
      <c r="T57" s="61">
        <v>10.3</v>
      </c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56.400000000000006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242.70000000000002</v>
      </c>
      <c r="AV57" s="58">
        <f t="shared" si="17"/>
        <v>151.40361821584528</v>
      </c>
      <c r="AW57" s="62">
        <f t="shared" si="22"/>
        <v>-82.4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1888.9</v>
      </c>
      <c r="K61" s="109">
        <f>SUM(K62:K71)</f>
        <v>2682.5</v>
      </c>
      <c r="L61" s="58">
        <f t="shared" si="49"/>
        <v>142.01387050664408</v>
      </c>
      <c r="M61" s="58">
        <f t="shared" si="41"/>
        <v>6716.799999999999</v>
      </c>
      <c r="N61" s="58">
        <f t="shared" si="42"/>
        <v>5744.1</v>
      </c>
      <c r="O61" s="58">
        <f t="shared" si="7"/>
        <v>85.51840161981897</v>
      </c>
      <c r="P61" s="109">
        <f aca="true" t="shared" si="53" ref="P61:W61">SUM(P62:P71)</f>
        <v>596.4</v>
      </c>
      <c r="Q61" s="109">
        <f t="shared" si="53"/>
        <v>1641</v>
      </c>
      <c r="R61" s="109" t="e">
        <f t="shared" si="53"/>
        <v>#DIV/0!</v>
      </c>
      <c r="S61" s="109">
        <f t="shared" si="53"/>
        <v>181.7</v>
      </c>
      <c r="T61" s="109">
        <f t="shared" si="53"/>
        <v>849.5</v>
      </c>
      <c r="U61" s="109" t="e">
        <f t="shared" si="53"/>
        <v>#DIV/0!</v>
      </c>
      <c r="V61" s="109">
        <f t="shared" si="53"/>
        <v>69</v>
      </c>
      <c r="W61" s="109">
        <f t="shared" si="53"/>
        <v>678.3</v>
      </c>
      <c r="X61" s="58">
        <f t="shared" si="50"/>
        <v>983.0434782608695</v>
      </c>
      <c r="Y61" s="58">
        <f t="shared" si="43"/>
        <v>847.0999999999999</v>
      </c>
      <c r="Z61" s="58">
        <f t="shared" si="44"/>
        <v>3168.8</v>
      </c>
      <c r="AA61" s="58">
        <f t="shared" si="12"/>
        <v>374.0762601817968</v>
      </c>
      <c r="AB61" s="109">
        <f aca="true" t="shared" si="54" ref="AB61:AI61">SUM(AB62:AB71)</f>
        <v>63.8</v>
      </c>
      <c r="AC61" s="109">
        <f t="shared" si="54"/>
        <v>229.29999999999998</v>
      </c>
      <c r="AD61" s="109">
        <f t="shared" si="54"/>
        <v>0</v>
      </c>
      <c r="AE61" s="109">
        <f t="shared" si="54"/>
        <v>74.8</v>
      </c>
      <c r="AF61" s="109">
        <f t="shared" si="54"/>
        <v>270.5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138.6</v>
      </c>
      <c r="AL61" s="58">
        <f t="shared" si="21"/>
        <v>499.79999999999995</v>
      </c>
      <c r="AM61" s="58">
        <f t="shared" si="15"/>
        <v>360.6060606060606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7702.5</v>
      </c>
      <c r="AU61" s="57">
        <f t="shared" si="23"/>
        <v>9412.7</v>
      </c>
      <c r="AV61" s="58">
        <f t="shared" si="17"/>
        <v>122.20318078545928</v>
      </c>
      <c r="AW61" s="58">
        <f t="shared" si="22"/>
        <v>-1710.2000000000007</v>
      </c>
      <c r="AX61" s="79">
        <f t="shared" si="45"/>
        <v>171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>
        <v>32.8</v>
      </c>
      <c r="Q62" s="61">
        <v>338.8</v>
      </c>
      <c r="R62" s="58">
        <f t="shared" si="19"/>
        <v>1032.9268292682927</v>
      </c>
      <c r="S62" s="61"/>
      <c r="T62" s="61">
        <v>50.9</v>
      </c>
      <c r="U62" s="58" t="e">
        <f t="shared" si="20"/>
        <v>#DIV/0!</v>
      </c>
      <c r="V62" s="61"/>
      <c r="W62" s="61">
        <v>408.7</v>
      </c>
      <c r="X62" s="58" t="e">
        <f t="shared" si="50"/>
        <v>#DIV/0!</v>
      </c>
      <c r="Y62" s="62">
        <f t="shared" si="43"/>
        <v>32.8</v>
      </c>
      <c r="Z62" s="62">
        <f t="shared" si="44"/>
        <v>798.4</v>
      </c>
      <c r="AA62" s="58">
        <f t="shared" si="12"/>
        <v>2434.146341463415</v>
      </c>
      <c r="AB62" s="61"/>
      <c r="AC62" s="61">
        <v>18.1</v>
      </c>
      <c r="AD62" s="58"/>
      <c r="AE62" s="61"/>
      <c r="AF62" s="61">
        <v>22.2</v>
      </c>
      <c r="AG62" s="58"/>
      <c r="AH62" s="61"/>
      <c r="AI62" s="61"/>
      <c r="AJ62" s="58"/>
      <c r="AK62" s="62">
        <f t="shared" si="21"/>
        <v>0</v>
      </c>
      <c r="AL62" s="62">
        <f t="shared" si="21"/>
        <v>40.3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1470.8999999999999</v>
      </c>
      <c r="AU62" s="94">
        <f t="shared" si="23"/>
        <v>1834.6</v>
      </c>
      <c r="AV62" s="58">
        <f t="shared" si="17"/>
        <v>124.72635801210143</v>
      </c>
      <c r="AW62" s="62">
        <f t="shared" si="22"/>
        <v>-363.70000000000005</v>
      </c>
      <c r="AX62" s="63">
        <f t="shared" si="45"/>
        <v>89.09999999999991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>
        <v>4.8</v>
      </c>
      <c r="Q63" s="61">
        <v>23</v>
      </c>
      <c r="R63" s="58">
        <f t="shared" si="19"/>
        <v>479.1666666666667</v>
      </c>
      <c r="S63" s="61"/>
      <c r="T63" s="61">
        <f>2.4+10.1</f>
        <v>12.5</v>
      </c>
      <c r="U63" s="58" t="e">
        <f t="shared" si="20"/>
        <v>#DIV/0!</v>
      </c>
      <c r="V63" s="61"/>
      <c r="W63" s="61">
        <v>-1.4</v>
      </c>
      <c r="X63" s="58" t="e">
        <f t="shared" si="50"/>
        <v>#DIV/0!</v>
      </c>
      <c r="Y63" s="62">
        <f t="shared" si="43"/>
        <v>4.8</v>
      </c>
      <c r="Z63" s="62">
        <f t="shared" si="44"/>
        <v>34.1</v>
      </c>
      <c r="AA63" s="58">
        <f t="shared" si="12"/>
        <v>710.4166666666667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76.1</v>
      </c>
      <c r="AU63" s="94">
        <f t="shared" si="23"/>
        <v>110.30000000000001</v>
      </c>
      <c r="AV63" s="58">
        <f t="shared" si="17"/>
        <v>144.94086727989492</v>
      </c>
      <c r="AW63" s="62">
        <f t="shared" si="22"/>
        <v>-34.20000000000002</v>
      </c>
      <c r="AX63" s="63">
        <f t="shared" si="45"/>
        <v>1.59999999999998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>
        <v>464</v>
      </c>
      <c r="Q67" s="61">
        <v>682.3</v>
      </c>
      <c r="R67" s="58">
        <f t="shared" si="19"/>
        <v>147.04741379310343</v>
      </c>
      <c r="S67" s="61">
        <v>181.7</v>
      </c>
      <c r="T67" s="61">
        <v>640</v>
      </c>
      <c r="U67" s="58">
        <f t="shared" si="20"/>
        <v>352.2289488167309</v>
      </c>
      <c r="V67" s="61">
        <v>69</v>
      </c>
      <c r="W67" s="61">
        <v>171</v>
      </c>
      <c r="X67" s="58">
        <f t="shared" si="50"/>
        <v>247.82608695652172</v>
      </c>
      <c r="Y67" s="62">
        <f t="shared" si="43"/>
        <v>714.7</v>
      </c>
      <c r="Z67" s="62">
        <f t="shared" si="44"/>
        <v>1493.3</v>
      </c>
      <c r="AA67" s="58">
        <f t="shared" si="12"/>
        <v>208.94081432768994</v>
      </c>
      <c r="AB67" s="61">
        <v>63.8</v>
      </c>
      <c r="AC67" s="61">
        <v>168.2</v>
      </c>
      <c r="AD67" s="58"/>
      <c r="AE67" s="61">
        <v>74.8</v>
      </c>
      <c r="AF67" s="61">
        <v>217.5</v>
      </c>
      <c r="AG67" s="58"/>
      <c r="AH67" s="61"/>
      <c r="AI67" s="61"/>
      <c r="AJ67" s="58"/>
      <c r="AK67" s="62">
        <f t="shared" si="56"/>
        <v>138.6</v>
      </c>
      <c r="AL67" s="62">
        <f t="shared" si="56"/>
        <v>385.7</v>
      </c>
      <c r="AM67" s="58">
        <f t="shared" si="15"/>
        <v>278.2828282828283</v>
      </c>
      <c r="AN67" s="61"/>
      <c r="AO67" s="61"/>
      <c r="AP67" s="61"/>
      <c r="AQ67" s="61"/>
      <c r="AR67" s="61"/>
      <c r="AS67" s="61"/>
      <c r="AT67" s="94">
        <f t="shared" si="23"/>
        <v>3693.1999999999994</v>
      </c>
      <c r="AU67" s="94">
        <f t="shared" si="23"/>
        <v>4301.4</v>
      </c>
      <c r="AV67" s="58">
        <f t="shared" si="17"/>
        <v>116.46810354164413</v>
      </c>
      <c r="AW67" s="62">
        <f t="shared" si="22"/>
        <v>-608.2000000000003</v>
      </c>
      <c r="AX67" s="63">
        <f t="shared" si="45"/>
        <v>-59.400000000000546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81.5</v>
      </c>
      <c r="K69" s="61">
        <v>81.5</v>
      </c>
      <c r="L69" s="58">
        <f t="shared" si="49"/>
        <v>100</v>
      </c>
      <c r="M69" s="62">
        <f t="shared" si="41"/>
        <v>233.2</v>
      </c>
      <c r="N69" s="62">
        <f t="shared" si="42"/>
        <v>233.8</v>
      </c>
      <c r="O69" s="58">
        <f t="shared" si="7"/>
        <v>100.25728987993139</v>
      </c>
      <c r="P69" s="61">
        <v>0</v>
      </c>
      <c r="Q69" s="61">
        <v>74.7</v>
      </c>
      <c r="R69" s="58" t="e">
        <f t="shared" si="19"/>
        <v>#DIV/0!</v>
      </c>
      <c r="S69" s="61"/>
      <c r="T69" s="61">
        <v>0.7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75.4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233.2</v>
      </c>
      <c r="AU69" s="94">
        <f t="shared" si="23"/>
        <v>309.20000000000005</v>
      </c>
      <c r="AV69" s="58">
        <f t="shared" si="17"/>
        <v>132.59005145797602</v>
      </c>
      <c r="AW69" s="62">
        <f t="shared" si="22"/>
        <v>-76.00000000000006</v>
      </c>
      <c r="AX69" s="63">
        <f t="shared" si="45"/>
        <v>14.999999999999943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>
        <v>94.8</v>
      </c>
      <c r="Q71" s="61">
        <v>522.2</v>
      </c>
      <c r="R71" s="58">
        <f t="shared" si="19"/>
        <v>550.8438818565401</v>
      </c>
      <c r="S71" s="61"/>
      <c r="T71" s="61">
        <v>145.4</v>
      </c>
      <c r="U71" s="58" t="e">
        <f t="shared" si="20"/>
        <v>#DIV/0!</v>
      </c>
      <c r="V71" s="61"/>
      <c r="W71" s="61">
        <v>100</v>
      </c>
      <c r="X71" s="58" t="e">
        <f t="shared" si="50"/>
        <v>#DIV/0!</v>
      </c>
      <c r="Y71" s="62">
        <f t="shared" si="43"/>
        <v>94.8</v>
      </c>
      <c r="Z71" s="62">
        <f t="shared" si="44"/>
        <v>767.6</v>
      </c>
      <c r="AA71" s="58">
        <f t="shared" si="12"/>
        <v>809.704641350211</v>
      </c>
      <c r="AB71" s="61"/>
      <c r="AC71" s="61">
        <v>43</v>
      </c>
      <c r="AD71" s="58"/>
      <c r="AE71" s="61"/>
      <c r="AF71" s="61">
        <v>30.8</v>
      </c>
      <c r="AG71" s="58"/>
      <c r="AH71" s="61"/>
      <c r="AI71" s="61"/>
      <c r="AJ71" s="58"/>
      <c r="AK71" s="62">
        <f t="shared" si="56"/>
        <v>0</v>
      </c>
      <c r="AL71" s="62">
        <f t="shared" si="56"/>
        <v>73.8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2229.1000000000004</v>
      </c>
      <c r="AU71" s="94">
        <f t="shared" si="23"/>
        <v>2857.2000000000003</v>
      </c>
      <c r="AV71" s="58">
        <f t="shared" si="17"/>
        <v>128.17729128347764</v>
      </c>
      <c r="AW71" s="62">
        <f t="shared" si="22"/>
        <v>-628.0999999999999</v>
      </c>
      <c r="AX71" s="63">
        <f t="shared" si="45"/>
        <v>124.70000000000027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179962.4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36888.4</v>
      </c>
      <c r="Q72" s="75">
        <f t="shared" si="59"/>
        <v>53824.3</v>
      </c>
      <c r="R72" s="75">
        <f t="shared" si="59"/>
        <v>449.805652792101</v>
      </c>
      <c r="S72" s="75">
        <f t="shared" si="59"/>
        <v>11633.800000000001</v>
      </c>
      <c r="T72" s="75">
        <f t="shared" si="59"/>
        <v>37353.2</v>
      </c>
      <c r="U72" s="75">
        <f t="shared" si="59"/>
        <v>2260.728347224229</v>
      </c>
      <c r="V72" s="75">
        <f t="shared" si="59"/>
        <v>14126.6</v>
      </c>
      <c r="W72" s="75">
        <f t="shared" si="59"/>
        <v>28957</v>
      </c>
      <c r="X72" s="58">
        <f t="shared" si="50"/>
        <v>204.9820905242592</v>
      </c>
      <c r="Y72" s="58">
        <f t="shared" si="43"/>
        <v>62648.8</v>
      </c>
      <c r="Z72" s="58">
        <f t="shared" si="44"/>
        <v>120134.5</v>
      </c>
      <c r="AA72" s="58">
        <f t="shared" si="12"/>
        <v>191.75866097993895</v>
      </c>
      <c r="AB72" s="75">
        <f>SUM(AB73:AB75)</f>
        <v>13665.6</v>
      </c>
      <c r="AC72" s="75">
        <f>SUM(AC73:AC75)</f>
        <v>20624.3</v>
      </c>
      <c r="AD72" s="58">
        <f>AC72/AB72*100</f>
        <v>150.92129141786674</v>
      </c>
      <c r="AE72" s="75">
        <f>SUM(AE73:AE75)</f>
        <v>12897.4</v>
      </c>
      <c r="AF72" s="75">
        <f>SUM(AF73:AF75)</f>
        <v>38693.7</v>
      </c>
      <c r="AG72" s="58">
        <f>AF72/AE72*100</f>
        <v>300.01163025105836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26563</v>
      </c>
      <c r="AL72" s="58">
        <f t="shared" si="56"/>
        <v>59318</v>
      </c>
      <c r="AM72" s="58">
        <f t="shared" si="15"/>
        <v>223.31062003538756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340716.8</v>
      </c>
      <c r="AU72" s="57">
        <f t="shared" si="23"/>
        <v>357143.1</v>
      </c>
      <c r="AV72" s="58">
        <f t="shared" si="17"/>
        <v>104.82110069124857</v>
      </c>
      <c r="AW72" s="79">
        <f>SUM(AW73:AW75)</f>
        <v>-16426.29999999999</v>
      </c>
      <c r="AX72" s="79">
        <f>SUM(AX73:AX75)</f>
        <v>163536.1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>
        <v>25975</v>
      </c>
      <c r="Q73" s="61">
        <v>41471</v>
      </c>
      <c r="R73" s="58">
        <f t="shared" si="19"/>
        <v>159.65736284889317</v>
      </c>
      <c r="S73" s="61">
        <v>1474</v>
      </c>
      <c r="T73" s="61">
        <v>23454</v>
      </c>
      <c r="U73" s="58">
        <f t="shared" si="20"/>
        <v>1591.180461329715</v>
      </c>
      <c r="V73" s="61">
        <v>2427</v>
      </c>
      <c r="W73" s="61">
        <v>16509</v>
      </c>
      <c r="X73" s="58">
        <f>W73/V73*100</f>
        <v>680.2224969097651</v>
      </c>
      <c r="Y73" s="62">
        <f t="shared" si="43"/>
        <v>29876</v>
      </c>
      <c r="Z73" s="62">
        <f t="shared" si="44"/>
        <v>81434</v>
      </c>
      <c r="AA73" s="58">
        <f t="shared" si="12"/>
        <v>272.5733029856741</v>
      </c>
      <c r="AB73" s="61">
        <v>994</v>
      </c>
      <c r="AC73" s="61">
        <v>8809</v>
      </c>
      <c r="AD73" s="58"/>
      <c r="AE73" s="61">
        <v>1834</v>
      </c>
      <c r="AF73" s="61">
        <v>27741</v>
      </c>
      <c r="AG73" s="58"/>
      <c r="AH73" s="61"/>
      <c r="AI73" s="61"/>
      <c r="AJ73" s="58"/>
      <c r="AK73" s="62">
        <f aca="true" t="shared" si="61" ref="AK73:AL75">AB73+AE73+AH73</f>
        <v>2828</v>
      </c>
      <c r="AL73" s="62">
        <f t="shared" si="61"/>
        <v>36550</v>
      </c>
      <c r="AM73" s="58">
        <f t="shared" si="15"/>
        <v>1292.4328147100425</v>
      </c>
      <c r="AN73" s="61"/>
      <c r="AO73" s="61"/>
      <c r="AP73" s="61"/>
      <c r="AQ73" s="61"/>
      <c r="AR73" s="61"/>
      <c r="AS73" s="61"/>
      <c r="AT73" s="94">
        <f t="shared" si="23"/>
        <v>252024</v>
      </c>
      <c r="AU73" s="94">
        <f t="shared" si="23"/>
        <v>264710</v>
      </c>
      <c r="AV73" s="58">
        <f t="shared" si="17"/>
        <v>105.0336475891185</v>
      </c>
      <c r="AW73" s="62">
        <f>AT73-AU73</f>
        <v>-12686</v>
      </c>
      <c r="AX73" s="63">
        <f>C73+AT73-AU73</f>
        <v>164256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>
        <v>843.3</v>
      </c>
      <c r="Q74" s="61">
        <v>1541.4</v>
      </c>
      <c r="R74" s="58">
        <f t="shared" si="19"/>
        <v>182.7819281394522</v>
      </c>
      <c r="S74" s="61">
        <v>116.6</v>
      </c>
      <c r="T74" s="61">
        <v>626.6</v>
      </c>
      <c r="U74" s="58">
        <f t="shared" si="20"/>
        <v>537.3927958833619</v>
      </c>
      <c r="V74" s="61">
        <v>139.9</v>
      </c>
      <c r="W74" s="61">
        <v>44.4</v>
      </c>
      <c r="X74" s="58">
        <f>W74/V74*100</f>
        <v>31.736954967834162</v>
      </c>
      <c r="Y74" s="62">
        <f t="shared" si="43"/>
        <v>1099.8</v>
      </c>
      <c r="Z74" s="62">
        <f t="shared" si="44"/>
        <v>2212.4</v>
      </c>
      <c r="AA74" s="58">
        <f>Z74/Y74*100</f>
        <v>201.1638479723586</v>
      </c>
      <c r="AB74" s="61">
        <v>121.4</v>
      </c>
      <c r="AC74" s="61">
        <v>130</v>
      </c>
      <c r="AD74" s="58"/>
      <c r="AE74" s="61">
        <v>109.5</v>
      </c>
      <c r="AF74" s="61">
        <v>249.5</v>
      </c>
      <c r="AG74" s="58"/>
      <c r="AH74" s="61"/>
      <c r="AI74" s="61"/>
      <c r="AJ74" s="58"/>
      <c r="AK74" s="62">
        <f t="shared" si="61"/>
        <v>230.9</v>
      </c>
      <c r="AL74" s="62">
        <f t="shared" si="61"/>
        <v>379.5</v>
      </c>
      <c r="AM74" s="58">
        <f>AL74/AK74*100</f>
        <v>164.35686444348204</v>
      </c>
      <c r="AN74" s="61"/>
      <c r="AO74" s="61"/>
      <c r="AP74" s="61"/>
      <c r="AQ74" s="61"/>
      <c r="AR74" s="61"/>
      <c r="AS74" s="61"/>
      <c r="AT74" s="94">
        <f t="shared" si="23"/>
        <v>5537.2</v>
      </c>
      <c r="AU74" s="94">
        <f t="shared" si="23"/>
        <v>5500.700000000001</v>
      </c>
      <c r="AV74" s="58">
        <f t="shared" si="17"/>
        <v>99.34082207613957</v>
      </c>
      <c r="AW74" s="62">
        <f>AT74-AU74</f>
        <v>36.49999999999909</v>
      </c>
      <c r="AX74" s="63">
        <f>C74+AT74-AU74</f>
        <v>1824.8999999999996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1232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>
        <v>10070.1</v>
      </c>
      <c r="Q75" s="61">
        <v>10811.9</v>
      </c>
      <c r="R75" s="58">
        <f t="shared" si="19"/>
        <v>107.36636180375567</v>
      </c>
      <c r="S75" s="61">
        <v>10043.2</v>
      </c>
      <c r="T75" s="61">
        <v>13272.6</v>
      </c>
      <c r="U75" s="58">
        <f t="shared" si="20"/>
        <v>132.15509001115183</v>
      </c>
      <c r="V75" s="61">
        <v>11559.7</v>
      </c>
      <c r="W75" s="61">
        <v>12403.6</v>
      </c>
      <c r="X75" s="58">
        <f>W75/V75*100</f>
        <v>107.30036246615396</v>
      </c>
      <c r="Y75" s="62">
        <f t="shared" si="43"/>
        <v>31673.000000000004</v>
      </c>
      <c r="Z75" s="62">
        <f t="shared" si="44"/>
        <v>36488.1</v>
      </c>
      <c r="AA75" s="58">
        <f>Z75/Y75*100</f>
        <v>115.20253843968047</v>
      </c>
      <c r="AB75" s="61">
        <v>12550.2</v>
      </c>
      <c r="AC75" s="61">
        <v>11685.3</v>
      </c>
      <c r="AD75" s="58"/>
      <c r="AE75" s="61">
        <v>10953.9</v>
      </c>
      <c r="AF75" s="61">
        <v>10703.2</v>
      </c>
      <c r="AG75" s="58"/>
      <c r="AH75" s="61"/>
      <c r="AI75" s="61"/>
      <c r="AJ75" s="58"/>
      <c r="AK75" s="62">
        <f t="shared" si="61"/>
        <v>23504.1</v>
      </c>
      <c r="AL75" s="62">
        <f t="shared" si="61"/>
        <v>22388.5</v>
      </c>
      <c r="AM75" s="58">
        <f>AL75/AK75*100</f>
        <v>95.25359405380338</v>
      </c>
      <c r="AN75" s="61"/>
      <c r="AO75" s="61"/>
      <c r="AP75" s="61"/>
      <c r="AQ75" s="61"/>
      <c r="AR75" s="61"/>
      <c r="AS75" s="61"/>
      <c r="AT75" s="94">
        <f t="shared" si="23"/>
        <v>83155.6</v>
      </c>
      <c r="AU75" s="94">
        <f t="shared" si="23"/>
        <v>86932.4</v>
      </c>
      <c r="AV75" s="58">
        <f t="shared" si="17"/>
        <v>104.54184685096372</v>
      </c>
      <c r="AW75" s="62">
        <f t="shared" si="22"/>
        <v>-3776.7999999999884</v>
      </c>
      <c r="AX75" s="63">
        <f>C75+AT75-AU75</f>
        <v>-2544.7999999999884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188385.3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84737</v>
      </c>
      <c r="K76" s="79">
        <f>K72+K7</f>
        <v>66883.6</v>
      </c>
      <c r="L76" s="58">
        <f t="shared" si="49"/>
        <v>78.9308094456967</v>
      </c>
      <c r="M76" s="79">
        <f>M72+M7</f>
        <v>272746.1</v>
      </c>
      <c r="N76" s="79">
        <f>N72+N7</f>
        <v>196603.5</v>
      </c>
      <c r="O76" s="58">
        <f t="shared" si="7"/>
        <v>72.08297387203703</v>
      </c>
      <c r="P76" s="79">
        <f>P72+P7</f>
        <v>38142.200000000004</v>
      </c>
      <c r="Q76" s="79">
        <f>Q72+Q7</f>
        <v>58944.700000000004</v>
      </c>
      <c r="R76" s="58">
        <f t="shared" si="19"/>
        <v>154.53932914200018</v>
      </c>
      <c r="S76" s="79">
        <f>S72+S7</f>
        <v>11815.500000000002</v>
      </c>
      <c r="T76" s="79">
        <f>T72+T7</f>
        <v>39295.399999999994</v>
      </c>
      <c r="U76" s="58">
        <f t="shared" si="20"/>
        <v>332.57500740552655</v>
      </c>
      <c r="V76" s="79">
        <f>V72+V7</f>
        <v>14196.4</v>
      </c>
      <c r="W76" s="79">
        <f>W72+W7</f>
        <v>30007.1</v>
      </c>
      <c r="X76" s="58">
        <f>W76/V76*100</f>
        <v>211.37119269674</v>
      </c>
      <c r="Y76" s="79">
        <f>Y72+Y7</f>
        <v>64154.100000000006</v>
      </c>
      <c r="Z76" s="79">
        <f>Z72+Z7</f>
        <v>128247.2</v>
      </c>
      <c r="AA76" s="58">
        <f>Z76/Y76*100</f>
        <v>199.90491644337615</v>
      </c>
      <c r="AB76" s="79">
        <f>AB72+AB7</f>
        <v>13729.4</v>
      </c>
      <c r="AC76" s="79">
        <f>AC72+AC7</f>
        <v>21173.8</v>
      </c>
      <c r="AD76" s="58">
        <f>AC76/AB76*100</f>
        <v>154.22232581176164</v>
      </c>
      <c r="AE76" s="79">
        <f>AE72+AE7</f>
        <v>12972.199999999999</v>
      </c>
      <c r="AF76" s="79">
        <f>AF72+AF7</f>
        <v>39376.1</v>
      </c>
      <c r="AG76" s="58">
        <f>AF76/AE76*100</f>
        <v>303.5421902221674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26701.6</v>
      </c>
      <c r="AL76" s="79">
        <f>AL72+AL7</f>
        <v>60549.9</v>
      </c>
      <c r="AM76" s="58">
        <f>AL76/AK76*100</f>
        <v>226.76506276777422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363601.79999999993</v>
      </c>
      <c r="AU76" s="57">
        <f t="shared" si="23"/>
        <v>385400.60000000003</v>
      </c>
      <c r="AV76" s="58">
        <f>AU76/AT76*100</f>
        <v>105.99523984754752</v>
      </c>
      <c r="AW76" s="79">
        <f>AW72+AW7</f>
        <v>-21798.799999999992</v>
      </c>
      <c r="AX76" s="79">
        <f>AX72+AX7</f>
        <v>166586.5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6" t="s">
        <v>46</v>
      </c>
      <c r="B77" s="16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B4:F4"/>
    <mergeCell ref="D5:F5"/>
    <mergeCell ref="AK5:AM5"/>
    <mergeCell ref="G5:I5"/>
    <mergeCell ref="B2:AX3"/>
    <mergeCell ref="AE5:AG5"/>
    <mergeCell ref="P5:R5"/>
    <mergeCell ref="AW5:AW6"/>
    <mergeCell ref="AT5:AV5"/>
    <mergeCell ref="AR5:AS5"/>
    <mergeCell ref="AN5:AO5"/>
    <mergeCell ref="J5:L5"/>
    <mergeCell ref="M5:O5"/>
    <mergeCell ref="AX5:AX6"/>
    <mergeCell ref="S5:U5"/>
    <mergeCell ref="A77:B77"/>
    <mergeCell ref="AH5:AJ5"/>
    <mergeCell ref="V5:X5"/>
    <mergeCell ref="AB5:AD5"/>
    <mergeCell ref="Y5:AA5"/>
    <mergeCell ref="AP5:AQ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2021-09-20T10:09:45Z</cp:lastPrinted>
  <dcterms:created xsi:type="dcterms:W3CDTF">2001-09-14T09:33:50Z</dcterms:created>
  <dcterms:modified xsi:type="dcterms:W3CDTF">2021-09-20T10:10:41Z</dcterms:modified>
  <cp:category/>
  <cp:version/>
  <cp:contentType/>
  <cp:contentStatus/>
</cp:coreProperties>
</file>